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mezkh\271-ФЗ_Изменения в ЖК РФ\Проект постановления по внесению изменений в КП\2017\"/>
    </mc:Choice>
  </mc:AlternateContent>
  <bookViews>
    <workbookView xWindow="0" yWindow="180" windowWidth="28800" windowHeight="11660" tabRatio="586"/>
  </bookViews>
  <sheets>
    <sheet name="форма 1" sheetId="1" r:id="rId1"/>
    <sheet name="Форма 2" sheetId="4" r:id="rId2"/>
  </sheets>
  <definedNames>
    <definedName name="_xlnm._FilterDatabase" localSheetId="0" hidden="1">'форма 1'!$A$8:$BG$913</definedName>
    <definedName name="_xlnm._FilterDatabase" localSheetId="1" hidden="1">'Форма 2'!$A$4:$K$3074</definedName>
    <definedName name="Z_071E1129_87BE_443E_A630_49B570385858_.wvu.FilterData" localSheetId="0" hidden="1">'форма 1'!$A$8:$S$13</definedName>
    <definedName name="Z_2153793A_FA21_4C81_8AE5_3C176D0CDF9C_.wvu.FilterData" localSheetId="0" hidden="1">'форма 1'!$A$8:$S$13</definedName>
    <definedName name="Z_3511D8A4_2A8D_4563_8DF1_C381EEDBF68F_.wvu.FilterData" localSheetId="0" hidden="1">'форма 1'!$A$8:$S$13</definedName>
    <definedName name="Z_3511D8A4_2A8D_4563_8DF1_C381EEDBF68F_.wvu.FilterData" localSheetId="1" hidden="1">'Форма 2'!$A$4:$K$4</definedName>
    <definedName name="Z_3511D8A4_2A8D_4563_8DF1_C381EEDBF68F_.wvu.PrintArea" localSheetId="0" hidden="1">'форма 1'!$A$1:$S$13</definedName>
    <definedName name="Z_3511D8A4_2A8D_4563_8DF1_C381EEDBF68F_.wvu.PrintArea" localSheetId="1" hidden="1">'Форма 2'!$A$1:$K$1154</definedName>
    <definedName name="Z_3511D8A4_2A8D_4563_8DF1_C381EEDBF68F_.wvu.PrintTitles" localSheetId="1" hidden="1">'Форма 2'!$4:$4</definedName>
    <definedName name="Z_4A739215_D16A_4EE7_A2DF_5890D7372CF6_.wvu.FilterData" localSheetId="0" hidden="1">'форма 1'!$A$8:$S$13</definedName>
    <definedName name="Z_4A739215_D16A_4EE7_A2DF_5890D7372CF6_.wvu.FilterData" localSheetId="1" hidden="1">'Форма 2'!$A$4:$K$6</definedName>
    <definedName name="Z_4BBD3242_ADF1_41E0_9651_34A11444B844_.wvu.FilterData" localSheetId="0" hidden="1">'форма 1'!$A$8:$S$13</definedName>
    <definedName name="Z_4BBD3242_ADF1_41E0_9651_34A11444B844_.wvu.FilterData" localSheetId="1" hidden="1">'Форма 2'!$A$4:$K$6</definedName>
    <definedName name="Z_513E810E_3E48_4817_A3BD_1F59CB59F4CA_.wvu.FilterData" localSheetId="1" hidden="1">'Форма 2'!$A$4:$K$6</definedName>
    <definedName name="Z_5F42B46C_E737_4DDF_A6B3_D01B97AD9617_.wvu.FilterData" localSheetId="0" hidden="1">'форма 1'!$A$8:$S$13</definedName>
    <definedName name="Z_5F42B46C_E737_4DDF_A6B3_D01B97AD9617_.wvu.FilterData" localSheetId="1" hidden="1">'Форма 2'!$A$4:$K$6</definedName>
    <definedName name="Z_6B855072_AFE4_4509_A179_E4F6A2796966_.wvu.FilterData" localSheetId="1" hidden="1">'Форма 2'!$A$4:$K$6</definedName>
    <definedName name="Z_7B1C413C_CFA4_46EC_80EB_4C481039F7CE_.wvu.FilterData" localSheetId="1" hidden="1">'Форма 2'!$A$4:$K$6</definedName>
    <definedName name="Z_7D125628_27D8_424A_B039_7F6935A9E22F_.wvu.FilterData" localSheetId="0" hidden="1">'форма 1'!$A$8:$S$13</definedName>
    <definedName name="Z_7D125628_27D8_424A_B039_7F6935A9E22F_.wvu.FilterData" localSheetId="1" hidden="1">'Форма 2'!$A$4:$K$6</definedName>
    <definedName name="Z_894246BE_CC98_45CA_9015_348B720E2996_.wvu.FilterData" localSheetId="0" hidden="1">'форма 1'!$A$8:$S$13</definedName>
    <definedName name="Z_9A08A02A_49DA_4249_BF63_47BD16E54DDA_.wvu.FilterData" localSheetId="1" hidden="1">'Форма 2'!$A$4:$K$6</definedName>
    <definedName name="Z_B69FB2D8_BCA5_4AC2_B0C9_F7BAD98AD860_.wvu.FilterData" localSheetId="0" hidden="1">'форма 1'!$A$8:$S$13</definedName>
    <definedName name="Z_B69FB2D8_BCA5_4AC2_B0C9_F7BAD98AD860_.wvu.FilterData" localSheetId="1" hidden="1">'Форма 2'!$A$4:$K$6</definedName>
    <definedName name="Z_BA9FD3DD_4F2C_454E_A268_F4AB041FD291_.wvu.FilterData" localSheetId="1" hidden="1">'Форма 2'!$A$4:$K$6</definedName>
    <definedName name="Z_C9A56928_F6D8_45BD_A377_A02C7A3A4EC3_.wvu.FilterData" localSheetId="0" hidden="1">'форма 1'!$A$8:$S$13</definedName>
    <definedName name="Z_C9A56928_F6D8_45BD_A377_A02C7A3A4EC3_.wvu.FilterData" localSheetId="1" hidden="1">'Форма 2'!$A$4:$K$6</definedName>
    <definedName name="Z_CC3EEC02_30D2_4905_AE21_71EA71520321_.wvu.FilterData" localSheetId="0" hidden="1">'форма 1'!$A$8:$S$13</definedName>
    <definedName name="Z_CC3EEC02_30D2_4905_AE21_71EA71520321_.wvu.FilterData" localSheetId="1" hidden="1">'Форма 2'!$A$4:$K$6</definedName>
    <definedName name="Z_CC3EEC02_30D2_4905_AE21_71EA71520321_.wvu.PrintArea" localSheetId="1" hidden="1">'Форма 2'!$A$1:$K$1154</definedName>
    <definedName name="Z_CC3EEC02_30D2_4905_AE21_71EA71520321_.wvu.PrintTitles" localSheetId="1" hidden="1">'Форма 2'!$4:$4</definedName>
    <definedName name="Z_D58D1C63_6768_4CFA_8358_86EE19640CB2_.wvu.FilterData" localSheetId="1" hidden="1">'Форма 2'!$A$4:$K$6</definedName>
    <definedName name="Z_E0198BA7_4C17_4517_AE42_FD3FC28E3706_.wvu.FilterData" localSheetId="0" hidden="1">'форма 1'!$A$8:$S$13</definedName>
    <definedName name="Z_E0198BA7_4C17_4517_AE42_FD3FC28E3706_.wvu.FilterData" localSheetId="1" hidden="1">'Форма 2'!$A$4:$K$6</definedName>
    <definedName name="Z_E4B115D4_BEE0_43CB_9EA7_2190A66EBA3F_.wvu.FilterData" localSheetId="0" hidden="1">'форма 1'!$A$8:$S$13</definedName>
    <definedName name="Z_E4B115D4_BEE0_43CB_9EA7_2190A66EBA3F_.wvu.FilterData" localSheetId="1" hidden="1">'Форма 2'!$A$4:$K$6</definedName>
    <definedName name="Z_F3AFC384_A20B_4171_8881_A61C399C6A68_.wvu.FilterData" localSheetId="1" hidden="1">'Форма 2'!$A$4:$K$6</definedName>
    <definedName name="_xlnm.Print_Titles" localSheetId="0">'форма 1'!$8:$8</definedName>
    <definedName name="_xlnm.Print_Titles" localSheetId="1">'Форма 2'!$4:$4</definedName>
    <definedName name="_xlnm.Print_Area" localSheetId="0">'форма 1'!$A$1:$S$913</definedName>
    <definedName name="_xlnm.Print_Area" localSheetId="1">'Форма 2'!$A$1:$K$3083</definedName>
  </definedNames>
  <calcPr calcId="152511" fullPrecision="0"/>
  <customWorkbookViews>
    <customWorkbookView name="Светлана Сергеевна Карпова - Личное представление" guid="{3511D8A4-2A8D-4563-8DF1-C381EEDBF68F}" mergeInterval="0" personalView="1" maximized="1" xWindow="-8" yWindow="-8" windowWidth="1936" windowHeight="1056" activeSheetId="4"/>
    <customWorkbookView name="Сыроватская Татьяна Иннокентьевна - Личное представление" guid="{CC3EEC02-30D2-4905-AE21-71EA71520321}" mergeInterval="0" personalView="1" maximized="1" xWindow="-8" yWindow="-8" windowWidth="1936" windowHeight="1056" activeSheetId="4"/>
    <customWorkbookView name="Алыкова Анна Фаридовна - Личное представление" guid="{114D0552-1D3C-4C9A-AF28-55BD1176DD7C}" mergeInterval="0" personalView="1" maximized="1" xWindow="-8" yWindow="-8" windowWidth="1936" windowHeight="1056" activeSheetId="1"/>
  </customWorkbookViews>
</workbook>
</file>

<file path=xl/calcChain.xml><?xml version="1.0" encoding="utf-8"?>
<calcChain xmlns="http://schemas.openxmlformats.org/spreadsheetml/2006/main">
  <c r="K2027" i="4" l="1"/>
  <c r="K1299" i="4" l="1"/>
  <c r="K2341" i="4" l="1"/>
  <c r="K2340" i="4"/>
  <c r="I2340" i="4" s="1"/>
  <c r="K2339" i="4" l="1"/>
  <c r="J2340" i="4"/>
  <c r="K1440" i="4"/>
  <c r="J1955" i="4" l="1"/>
  <c r="I1924" i="4"/>
  <c r="I1923" i="4"/>
  <c r="J1923" i="4" s="1"/>
  <c r="I627" i="4"/>
  <c r="G543" i="1" l="1"/>
  <c r="G189" i="1"/>
  <c r="J2632" i="4" l="1"/>
  <c r="J2626" i="4"/>
  <c r="J2631" i="4"/>
  <c r="J2629" i="4"/>
  <c r="J2628" i="4"/>
  <c r="J2625" i="4"/>
  <c r="I2683" i="4"/>
  <c r="I2680" i="4"/>
  <c r="J2680" i="4" s="1"/>
  <c r="J2679" i="4" s="1"/>
  <c r="I2677" i="4"/>
  <c r="J2677" i="4" s="1"/>
  <c r="J2676" i="4" s="1"/>
  <c r="I2674" i="4"/>
  <c r="J2674" i="4" s="1"/>
  <c r="J2673" i="4" s="1"/>
  <c r="I2667" i="4"/>
  <c r="J2667" i="4" s="1"/>
  <c r="J2666" i="4" s="1"/>
  <c r="I2664" i="4"/>
  <c r="J2664" i="4" s="1"/>
  <c r="J2663" i="4" s="1"/>
  <c r="I2661" i="4"/>
  <c r="J2661" i="4" s="1"/>
  <c r="J2660" i="4" s="1"/>
  <c r="I2658" i="4"/>
  <c r="J2658" i="4" s="1"/>
  <c r="J2657" i="4" s="1"/>
  <c r="I2655" i="4"/>
  <c r="J2655" i="4" s="1"/>
  <c r="J2654" i="4" s="1"/>
  <c r="I2652" i="4"/>
  <c r="J2652" i="4" s="1"/>
  <c r="J2651" i="4" s="1"/>
  <c r="I2650" i="4"/>
  <c r="J2650" i="4" s="1"/>
  <c r="J2649" i="4" s="1"/>
  <c r="I2647" i="4"/>
  <c r="J2647" i="4" s="1"/>
  <c r="J2646" i="4" s="1"/>
  <c r="I2644" i="4"/>
  <c r="J2644" i="4" s="1"/>
  <c r="J2643" i="4" s="1"/>
  <c r="I2641" i="4"/>
  <c r="J2641" i="4" s="1"/>
  <c r="J2640" i="4" s="1"/>
  <c r="I2639" i="4"/>
  <c r="J2639" i="4" s="1"/>
  <c r="I2638" i="4"/>
  <c r="J2638" i="4" s="1"/>
  <c r="I2635" i="4"/>
  <c r="I2634" i="4" s="1"/>
  <c r="K2624" i="4"/>
  <c r="I2624" i="4"/>
  <c r="I2622" i="4"/>
  <c r="J2622" i="4" s="1"/>
  <c r="J2621" i="4" s="1"/>
  <c r="I2619" i="4"/>
  <c r="J2619" i="4" s="1"/>
  <c r="J2618" i="4" s="1"/>
  <c r="I2616" i="4"/>
  <c r="J2616" i="4" s="1"/>
  <c r="J2615" i="4" s="1"/>
  <c r="I2613" i="4"/>
  <c r="J2613" i="4" s="1"/>
  <c r="J2612" i="4" s="1"/>
  <c r="K2649" i="4"/>
  <c r="K2690" i="4"/>
  <c r="K2687" i="4"/>
  <c r="K2679" i="4"/>
  <c r="K2676" i="4"/>
  <c r="K2673" i="4"/>
  <c r="K2666" i="4"/>
  <c r="K2663" i="4"/>
  <c r="K2660" i="4"/>
  <c r="K2657" i="4"/>
  <c r="K2654" i="4"/>
  <c r="K2651" i="4"/>
  <c r="K2646" i="4"/>
  <c r="K2643" i="4"/>
  <c r="K2640" i="4"/>
  <c r="K2637" i="4"/>
  <c r="K2634" i="4"/>
  <c r="K2621" i="4"/>
  <c r="K2618" i="4"/>
  <c r="K2615" i="4"/>
  <c r="K2612" i="4"/>
  <c r="I2676" i="4" l="1"/>
  <c r="I2673" i="4"/>
  <c r="J2624" i="4"/>
  <c r="I2640" i="4"/>
  <c r="I2657" i="4"/>
  <c r="I2646" i="4"/>
  <c r="I2651" i="4"/>
  <c r="I2663" i="4"/>
  <c r="I2679" i="4"/>
  <c r="I2618" i="4"/>
  <c r="I2643" i="4"/>
  <c r="I2660" i="4"/>
  <c r="I2612" i="4"/>
  <c r="I2654" i="4"/>
  <c r="I2666" i="4"/>
  <c r="I2649" i="4"/>
  <c r="I2615" i="4"/>
  <c r="I2621" i="4"/>
  <c r="I2637" i="4"/>
  <c r="J2637" i="4"/>
  <c r="D2611" i="4"/>
  <c r="I2318" i="4" l="1"/>
  <c r="I2317" i="4"/>
  <c r="I2308" i="4"/>
  <c r="I2307" i="4"/>
  <c r="J2307" i="4" s="1"/>
  <c r="I1717" i="4"/>
  <c r="I1716" i="4"/>
  <c r="I920" i="4"/>
  <c r="I917" i="4"/>
  <c r="I470" i="4"/>
  <c r="I561" i="4" l="1"/>
  <c r="I469" i="4" l="1"/>
  <c r="D377" i="4" l="1"/>
  <c r="I2269" i="4"/>
  <c r="K2268" i="4"/>
  <c r="K2267" i="4" s="1"/>
  <c r="Q636" i="1" s="1"/>
  <c r="K2264" i="4"/>
  <c r="I2264" i="4" s="1"/>
  <c r="I2260" i="4"/>
  <c r="K2259" i="4"/>
  <c r="K2258" i="4" s="1"/>
  <c r="Q634" i="1" s="1"/>
  <c r="I2259" i="4" l="1"/>
  <c r="J2259" i="4" s="1"/>
  <c r="K2263" i="4"/>
  <c r="Q635" i="1" s="1"/>
  <c r="I2268" i="4"/>
  <c r="J2268" i="4" s="1"/>
  <c r="J2264" i="4"/>
  <c r="J2269" i="4"/>
  <c r="J2260" i="4"/>
  <c r="I1133" i="4" l="1"/>
  <c r="G885" i="1"/>
  <c r="I867" i="1"/>
  <c r="H867" i="1"/>
  <c r="I843" i="1"/>
  <c r="H843" i="1"/>
  <c r="G843" i="1"/>
  <c r="I831" i="1"/>
  <c r="H831" i="1"/>
  <c r="G831" i="1"/>
  <c r="A812" i="1"/>
  <c r="D2754" i="4"/>
  <c r="I2999" i="4"/>
  <c r="I2998" i="4"/>
  <c r="K2997" i="4"/>
  <c r="Q884" i="1" s="1"/>
  <c r="G867" i="1" l="1"/>
  <c r="A813" i="1"/>
  <c r="J2998" i="4"/>
  <c r="J2999" i="4"/>
  <c r="I2997" i="4"/>
  <c r="A814" i="1" l="1"/>
  <c r="J2997" i="4"/>
  <c r="J884" i="1"/>
  <c r="G690" i="1"/>
  <c r="G659" i="1"/>
  <c r="G657" i="1"/>
  <c r="O644" i="1"/>
  <c r="M644" i="1"/>
  <c r="L644" i="1"/>
  <c r="K644" i="1"/>
  <c r="I644" i="1"/>
  <c r="H644" i="1"/>
  <c r="O558" i="1"/>
  <c r="M558" i="1"/>
  <c r="L558" i="1"/>
  <c r="K558" i="1"/>
  <c r="I558" i="1"/>
  <c r="H558" i="1"/>
  <c r="G558" i="1"/>
  <c r="O510" i="1"/>
  <c r="M510" i="1"/>
  <c r="L510" i="1"/>
  <c r="K510" i="1"/>
  <c r="I510" i="1"/>
  <c r="H510" i="1"/>
  <c r="G510" i="1"/>
  <c r="A436" i="1"/>
  <c r="O434" i="1"/>
  <c r="M434" i="1"/>
  <c r="L434" i="1"/>
  <c r="K434" i="1"/>
  <c r="I434" i="1"/>
  <c r="H434" i="1"/>
  <c r="G434" i="1"/>
  <c r="D1609" i="4"/>
  <c r="K2410" i="4"/>
  <c r="I2410" i="4" s="1"/>
  <c r="I2409" i="4" s="1"/>
  <c r="I2408" i="4"/>
  <c r="K2407" i="4"/>
  <c r="I2407" i="4"/>
  <c r="I2406" i="4"/>
  <c r="I2405" i="4"/>
  <c r="K2404" i="4"/>
  <c r="K2403" i="4"/>
  <c r="I2401" i="4"/>
  <c r="I2400" i="4"/>
  <c r="K2399" i="4"/>
  <c r="K2398" i="4"/>
  <c r="K2397" i="4" s="1"/>
  <c r="I2398" i="4"/>
  <c r="K2396" i="4"/>
  <c r="K2394" i="4"/>
  <c r="K2392" i="4"/>
  <c r="K2391" i="4" s="1"/>
  <c r="K2390" i="4"/>
  <c r="I2390" i="4" s="1"/>
  <c r="I2389" i="4" s="1"/>
  <c r="K2388" i="4"/>
  <c r="I2386" i="4"/>
  <c r="I2385" i="4"/>
  <c r="K2384" i="4"/>
  <c r="K2383" i="4"/>
  <c r="K2381" i="4"/>
  <c r="K2379" i="4"/>
  <c r="K2377" i="4"/>
  <c r="K2376" i="4" s="1"/>
  <c r="I2375" i="4"/>
  <c r="K2374" i="4"/>
  <c r="K2373" i="4" s="1"/>
  <c r="I2374" i="4"/>
  <c r="K2372" i="4"/>
  <c r="K2371" i="4" s="1"/>
  <c r="I2370" i="4"/>
  <c r="I2369" i="4"/>
  <c r="K2368" i="4"/>
  <c r="I2367" i="4"/>
  <c r="I2366" i="4"/>
  <c r="K2365" i="4"/>
  <c r="I2364" i="4"/>
  <c r="I2363" i="4"/>
  <c r="K2362" i="4"/>
  <c r="K2361" i="4"/>
  <c r="K2359" i="4"/>
  <c r="I2359" i="4" s="1"/>
  <c r="K2357" i="4"/>
  <c r="K2356" i="4"/>
  <c r="I2356" i="4" s="1"/>
  <c r="K2354" i="4"/>
  <c r="K2352" i="4"/>
  <c r="K2350" i="4"/>
  <c r="I2348" i="4"/>
  <c r="I2347" i="4"/>
  <c r="K2346" i="4"/>
  <c r="K2345" i="4"/>
  <c r="K2344" i="4" s="1"/>
  <c r="K2343" i="4"/>
  <c r="I2338" i="4"/>
  <c r="I2337" i="4"/>
  <c r="K2336" i="4"/>
  <c r="I2335" i="4"/>
  <c r="I2334" i="4"/>
  <c r="K2333" i="4"/>
  <c r="I2331" i="4"/>
  <c r="I2330" i="4"/>
  <c r="K2329" i="4"/>
  <c r="I2328" i="4"/>
  <c r="I2327" i="4"/>
  <c r="K2326" i="4"/>
  <c r="I2325" i="4"/>
  <c r="I2324" i="4"/>
  <c r="K2323" i="4"/>
  <c r="K2322" i="4"/>
  <c r="K2321" i="4" s="1"/>
  <c r="K2320" i="4"/>
  <c r="I2320" i="4" s="1"/>
  <c r="K2316" i="4"/>
  <c r="K2315" i="4"/>
  <c r="J2315" i="4"/>
  <c r="K2314" i="4"/>
  <c r="J2314" i="4"/>
  <c r="K2313" i="4"/>
  <c r="J2313" i="4"/>
  <c r="K2312" i="4"/>
  <c r="J2312" i="4"/>
  <c r="K2311" i="4"/>
  <c r="J2311" i="4"/>
  <c r="K2310" i="4"/>
  <c r="J2310" i="4"/>
  <c r="J2309" i="4" s="1"/>
  <c r="I2309" i="4"/>
  <c r="K2306" i="4"/>
  <c r="I2305" i="4"/>
  <c r="I2304" i="4"/>
  <c r="K2303" i="4"/>
  <c r="I2302" i="4"/>
  <c r="I2301" i="4"/>
  <c r="K2300" i="4"/>
  <c r="K2299" i="4"/>
  <c r="K2298" i="4" s="1"/>
  <c r="I2297" i="4"/>
  <c r="I2296" i="4"/>
  <c r="K2295" i="4"/>
  <c r="K2294" i="4"/>
  <c r="K2293" i="4" s="1"/>
  <c r="K2292" i="4"/>
  <c r="J2292" i="4"/>
  <c r="K2291" i="4"/>
  <c r="J2291" i="4"/>
  <c r="K2290" i="4"/>
  <c r="J2290" i="4"/>
  <c r="I2289" i="4"/>
  <c r="K2288" i="4"/>
  <c r="K2286" i="4"/>
  <c r="J2286" i="4"/>
  <c r="K2285" i="4"/>
  <c r="J2285" i="4"/>
  <c r="I2284" i="4"/>
  <c r="K2283" i="4"/>
  <c r="K2282" i="4" s="1"/>
  <c r="Q640" i="1" s="1"/>
  <c r="K2281" i="4"/>
  <c r="K2280" i="4" s="1"/>
  <c r="Q639" i="1" s="1"/>
  <c r="I2279" i="4"/>
  <c r="K2278" i="4"/>
  <c r="I2278" i="4" s="1"/>
  <c r="I2277" i="4"/>
  <c r="K2276" i="4"/>
  <c r="I2276" i="4" s="1"/>
  <c r="I2274" i="4"/>
  <c r="K2273" i="4"/>
  <c r="K2272" i="4" s="1"/>
  <c r="Q637" i="1" s="1"/>
  <c r="I2271" i="4"/>
  <c r="I2270" i="4"/>
  <c r="I2266" i="4"/>
  <c r="I2265" i="4"/>
  <c r="I2262" i="4"/>
  <c r="I2261" i="4"/>
  <c r="K2257" i="4"/>
  <c r="K2256" i="4" s="1"/>
  <c r="Q633" i="1" s="1"/>
  <c r="K2255" i="4"/>
  <c r="I2255" i="4" s="1"/>
  <c r="K2254" i="4"/>
  <c r="K2253" i="4"/>
  <c r="I2253" i="4" s="1"/>
  <c r="K2251" i="4"/>
  <c r="I2249" i="4"/>
  <c r="I2248" i="4"/>
  <c r="K2247" i="4"/>
  <c r="K2245" i="4"/>
  <c r="I2245" i="4" s="1"/>
  <c r="K2244" i="4"/>
  <c r="I2244" i="4" s="1"/>
  <c r="K2243" i="4"/>
  <c r="I2243" i="4" s="1"/>
  <c r="K2241" i="4"/>
  <c r="K2240" i="4" s="1"/>
  <c r="Q628" i="1" s="1"/>
  <c r="K2239" i="4"/>
  <c r="K2237" i="4"/>
  <c r="K2236" i="4" s="1"/>
  <c r="Q626" i="1" s="1"/>
  <c r="K2235" i="4"/>
  <c r="K2234" i="4" s="1"/>
  <c r="Q625" i="1" s="1"/>
  <c r="K2233" i="4"/>
  <c r="I2233" i="4" s="1"/>
  <c r="I2231" i="4"/>
  <c r="I2230" i="4"/>
  <c r="K2229" i="4"/>
  <c r="Q623" i="1" s="1"/>
  <c r="I2228" i="4"/>
  <c r="I2227" i="4"/>
  <c r="K2226" i="4"/>
  <c r="Q622" i="1" s="1"/>
  <c r="I2225" i="4"/>
  <c r="I2224" i="4"/>
  <c r="K2223" i="4"/>
  <c r="Q621" i="1" s="1"/>
  <c r="I2222" i="4"/>
  <c r="I2221" i="4"/>
  <c r="K2220" i="4"/>
  <c r="Q620" i="1" s="1"/>
  <c r="K2219" i="4"/>
  <c r="K2217" i="4"/>
  <c r="I2217" i="4" s="1"/>
  <c r="K2215" i="4"/>
  <c r="K2213" i="4"/>
  <c r="K2211" i="4"/>
  <c r="K2209" i="4"/>
  <c r="K2207" i="4"/>
  <c r="K2206" i="4" s="1"/>
  <c r="Q613" i="1" s="1"/>
  <c r="K2205" i="4"/>
  <c r="K2204" i="4" s="1"/>
  <c r="Q612" i="1" s="1"/>
  <c r="I2205" i="4"/>
  <c r="K2203" i="4"/>
  <c r="K2201" i="4"/>
  <c r="I2201" i="4" s="1"/>
  <c r="K2199" i="4"/>
  <c r="K2197" i="4"/>
  <c r="K2196" i="4" s="1"/>
  <c r="Q608" i="1" s="1"/>
  <c r="K2195" i="4"/>
  <c r="K2193" i="4"/>
  <c r="J2193" i="4"/>
  <c r="K2192" i="4"/>
  <c r="J2192" i="4"/>
  <c r="K2191" i="4"/>
  <c r="J2191" i="4"/>
  <c r="K2190" i="4"/>
  <c r="J2190" i="4"/>
  <c r="K2189" i="4"/>
  <c r="J2189" i="4"/>
  <c r="K2188" i="4"/>
  <c r="J2188" i="4"/>
  <c r="K2187" i="4"/>
  <c r="K2185" i="4"/>
  <c r="J2185" i="4"/>
  <c r="K2184" i="4"/>
  <c r="J2184" i="4"/>
  <c r="K2183" i="4"/>
  <c r="J2183" i="4"/>
  <c r="K2182" i="4"/>
  <c r="J2182" i="4"/>
  <c r="K2181" i="4"/>
  <c r="J2181" i="4"/>
  <c r="K2180" i="4"/>
  <c r="J2180" i="4"/>
  <c r="K2179" i="4"/>
  <c r="J2179" i="4"/>
  <c r="K2178" i="4"/>
  <c r="J2178" i="4"/>
  <c r="K2177" i="4"/>
  <c r="J2177" i="4"/>
  <c r="K2176" i="4"/>
  <c r="J2176" i="4"/>
  <c r="K2175" i="4"/>
  <c r="J2175" i="4"/>
  <c r="K2174" i="4"/>
  <c r="J2174" i="4"/>
  <c r="K2173" i="4"/>
  <c r="J2173" i="4"/>
  <c r="K2172" i="4"/>
  <c r="J2172" i="4"/>
  <c r="K2171" i="4"/>
  <c r="J2171" i="4"/>
  <c r="I2170" i="4"/>
  <c r="K2169" i="4"/>
  <c r="K2167" i="4"/>
  <c r="J2167" i="4"/>
  <c r="K2166" i="4"/>
  <c r="J2166" i="4"/>
  <c r="K2165" i="4"/>
  <c r="J2165" i="4"/>
  <c r="K2164" i="4"/>
  <c r="J2164" i="4"/>
  <c r="K2163" i="4"/>
  <c r="J2163" i="4"/>
  <c r="K2162" i="4"/>
  <c r="J2162" i="4"/>
  <c r="K2161" i="4"/>
  <c r="J2161" i="4"/>
  <c r="K2160" i="4"/>
  <c r="J2160" i="4"/>
  <c r="K2159" i="4"/>
  <c r="J2159" i="4"/>
  <c r="K2158" i="4"/>
  <c r="J2158" i="4"/>
  <c r="K2157" i="4"/>
  <c r="J2157" i="4"/>
  <c r="K2156" i="4"/>
  <c r="J2156" i="4"/>
  <c r="I2155" i="4"/>
  <c r="K2154" i="4"/>
  <c r="K2153" i="4" s="1"/>
  <c r="Q602" i="1" s="1"/>
  <c r="K2152" i="4"/>
  <c r="K2151" i="4" s="1"/>
  <c r="Q601" i="1" s="1"/>
  <c r="K2150" i="4"/>
  <c r="I2150" i="4" s="1"/>
  <c r="K2148" i="4"/>
  <c r="K2146" i="4"/>
  <c r="I2146" i="4" s="1"/>
  <c r="K2144" i="4"/>
  <c r="J2144" i="4"/>
  <c r="K2143" i="4"/>
  <c r="J2143" i="4"/>
  <c r="I2142" i="4"/>
  <c r="K2141" i="4"/>
  <c r="K2139" i="4"/>
  <c r="K2138" i="4" s="1"/>
  <c r="Q595" i="1" s="1"/>
  <c r="K2137" i="4"/>
  <c r="J2137" i="4"/>
  <c r="K2136" i="4"/>
  <c r="J2136" i="4"/>
  <c r="K2135" i="4"/>
  <c r="J2135" i="4"/>
  <c r="K2134" i="4"/>
  <c r="J2134" i="4"/>
  <c r="I2133" i="4"/>
  <c r="K2132" i="4"/>
  <c r="K2131" i="4" s="1"/>
  <c r="Q593" i="1" s="1"/>
  <c r="K2130" i="4"/>
  <c r="I2130" i="4" s="1"/>
  <c r="K2128" i="4"/>
  <c r="K2126" i="4"/>
  <c r="K2124" i="4"/>
  <c r="K2123" i="4" s="1"/>
  <c r="Q589" i="1" s="1"/>
  <c r="I2122" i="4"/>
  <c r="I2121" i="4"/>
  <c r="K2120" i="4"/>
  <c r="Q588" i="1" s="1"/>
  <c r="K2119" i="4"/>
  <c r="K2118" i="4" s="1"/>
  <c r="Q587" i="1" s="1"/>
  <c r="K2117" i="4"/>
  <c r="K2116" i="4" s="1"/>
  <c r="Q586" i="1" s="1"/>
  <c r="K2115" i="4"/>
  <c r="K2114" i="4" s="1"/>
  <c r="Q585" i="1" s="1"/>
  <c r="I2113" i="4"/>
  <c r="I2112" i="4"/>
  <c r="I2111" i="4"/>
  <c r="I2110" i="4"/>
  <c r="I2109" i="4"/>
  <c r="I2108" i="4"/>
  <c r="I2107" i="4"/>
  <c r="I2106" i="4"/>
  <c r="K2105" i="4"/>
  <c r="Q584" i="1" s="1"/>
  <c r="K2104" i="4"/>
  <c r="I2103" i="4"/>
  <c r="I2102" i="4"/>
  <c r="I2101" i="4"/>
  <c r="I2100" i="4"/>
  <c r="I2099" i="4"/>
  <c r="I2098" i="4"/>
  <c r="I2097" i="4"/>
  <c r="I2096" i="4"/>
  <c r="K2094" i="4"/>
  <c r="K2085" i="4" s="1"/>
  <c r="Q582" i="1" s="1"/>
  <c r="I2093" i="4"/>
  <c r="I2092" i="4"/>
  <c r="I2091" i="4"/>
  <c r="I2090" i="4"/>
  <c r="I2089" i="4"/>
  <c r="I2088" i="4"/>
  <c r="I2087" i="4"/>
  <c r="I2086" i="4"/>
  <c r="K2084" i="4"/>
  <c r="K2083" i="4" s="1"/>
  <c r="Q581" i="1" s="1"/>
  <c r="K2082" i="4"/>
  <c r="K2081" i="4" s="1"/>
  <c r="Q580" i="1" s="1"/>
  <c r="K2080" i="4"/>
  <c r="I2080" i="4" s="1"/>
  <c r="K2079" i="4"/>
  <c r="I2079" i="4" s="1"/>
  <c r="K2078" i="4"/>
  <c r="K2076" i="4"/>
  <c r="I2076" i="4" s="1"/>
  <c r="K2074" i="4"/>
  <c r="K2072" i="4"/>
  <c r="K2070" i="4"/>
  <c r="K2069" i="4" s="1"/>
  <c r="Q575" i="1" s="1"/>
  <c r="I2070" i="4"/>
  <c r="K2068" i="4"/>
  <c r="K2067" i="4" s="1"/>
  <c r="Q574" i="1" s="1"/>
  <c r="K2066" i="4"/>
  <c r="J2066" i="4"/>
  <c r="K2065" i="4"/>
  <c r="J2065" i="4"/>
  <c r="K2064" i="4"/>
  <c r="J2064" i="4"/>
  <c r="K2063" i="4"/>
  <c r="J2063" i="4"/>
  <c r="I2062" i="4"/>
  <c r="K2061" i="4"/>
  <c r="K2060" i="4" s="1"/>
  <c r="Q572" i="1" s="1"/>
  <c r="K2059" i="4"/>
  <c r="I2059" i="4" s="1"/>
  <c r="K2057" i="4"/>
  <c r="K2055" i="4"/>
  <c r="K2054" i="4" s="1"/>
  <c r="Q569" i="1" s="1"/>
  <c r="K2053" i="4"/>
  <c r="K2052" i="4" s="1"/>
  <c r="Q568" i="1" s="1"/>
  <c r="K2051" i="4"/>
  <c r="I2051" i="4" s="1"/>
  <c r="K2050" i="4"/>
  <c r="I2050" i="4" s="1"/>
  <c r="K2048" i="4"/>
  <c r="I2048" i="4" s="1"/>
  <c r="K2046" i="4"/>
  <c r="K2045" i="4" s="1"/>
  <c r="Q565" i="1" s="1"/>
  <c r="K2044" i="4"/>
  <c r="I2044" i="4" s="1"/>
  <c r="K2042" i="4"/>
  <c r="J2042" i="4"/>
  <c r="K2041" i="4"/>
  <c r="J2041" i="4"/>
  <c r="K2040" i="4"/>
  <c r="J2040" i="4"/>
  <c r="K2039" i="4"/>
  <c r="J2039" i="4"/>
  <c r="K2038" i="4"/>
  <c r="J2038" i="4"/>
  <c r="K2037" i="4"/>
  <c r="J2037" i="4"/>
  <c r="K2036" i="4"/>
  <c r="J2036" i="4"/>
  <c r="K2035" i="4"/>
  <c r="J2035" i="4"/>
  <c r="K2034" i="4"/>
  <c r="J2034" i="4"/>
  <c r="I2033" i="4"/>
  <c r="K2032" i="4"/>
  <c r="K2031" i="4" s="1"/>
  <c r="Q562" i="1" s="1"/>
  <c r="K2030" i="4"/>
  <c r="J2030" i="4"/>
  <c r="K2029" i="4"/>
  <c r="J2029" i="4"/>
  <c r="K2028" i="4"/>
  <c r="J2028" i="4"/>
  <c r="J2027" i="4"/>
  <c r="I2026" i="4"/>
  <c r="K2025" i="4"/>
  <c r="J2025" i="4"/>
  <c r="K2024" i="4"/>
  <c r="J2024" i="4"/>
  <c r="K2023" i="4"/>
  <c r="J2023" i="4"/>
  <c r="K2022" i="4"/>
  <c r="J2022" i="4"/>
  <c r="K2021" i="4"/>
  <c r="J2021" i="4"/>
  <c r="K2020" i="4"/>
  <c r="J2020" i="4"/>
  <c r="I2019" i="4"/>
  <c r="K2018" i="4"/>
  <c r="J2018" i="4"/>
  <c r="K2017" i="4"/>
  <c r="J2017" i="4"/>
  <c r="K2016" i="4"/>
  <c r="J2016" i="4"/>
  <c r="K2015" i="4"/>
  <c r="J2015" i="4"/>
  <c r="K2014" i="4"/>
  <c r="J2014" i="4"/>
  <c r="K2013" i="4"/>
  <c r="J2013" i="4"/>
  <c r="I2012" i="4"/>
  <c r="K2011" i="4"/>
  <c r="I2011" i="4" s="1"/>
  <c r="K2009" i="4"/>
  <c r="K2007" i="4"/>
  <c r="K2006" i="4" s="1"/>
  <c r="Q555" i="1" s="1"/>
  <c r="K2005" i="4"/>
  <c r="K2004" i="4" s="1"/>
  <c r="Q554" i="1" s="1"/>
  <c r="K2003" i="4"/>
  <c r="I2003" i="4" s="1"/>
  <c r="K2002" i="4"/>
  <c r="I2002" i="4" s="1"/>
  <c r="K2000" i="4"/>
  <c r="I2000" i="4" s="1"/>
  <c r="I1998" i="4"/>
  <c r="I1997" i="4"/>
  <c r="K1996" i="4"/>
  <c r="Q551" i="1" s="1"/>
  <c r="K1995" i="4"/>
  <c r="K1994" i="4" s="1"/>
  <c r="Q550" i="1" s="1"/>
  <c r="K1993" i="4"/>
  <c r="I1993" i="4" s="1"/>
  <c r="K1991" i="4"/>
  <c r="K1989" i="4"/>
  <c r="K1988" i="4" s="1"/>
  <c r="Q547" i="1" s="1"/>
  <c r="K1987" i="4"/>
  <c r="K1986" i="4" s="1"/>
  <c r="Q546" i="1" s="1"/>
  <c r="K1985" i="4"/>
  <c r="K1984" i="4" s="1"/>
  <c r="Q545" i="1" s="1"/>
  <c r="I1983" i="4"/>
  <c r="I1982" i="4"/>
  <c r="K1981" i="4"/>
  <c r="Q544" i="1" s="1"/>
  <c r="I1980" i="4"/>
  <c r="I1979" i="4"/>
  <c r="K1978" i="4"/>
  <c r="Q543" i="1" s="1"/>
  <c r="I1977" i="4"/>
  <c r="I1976" i="4"/>
  <c r="K1975" i="4"/>
  <c r="Q542" i="1" s="1"/>
  <c r="I1974" i="4"/>
  <c r="I1973" i="4"/>
  <c r="K1972" i="4"/>
  <c r="Q541" i="1" s="1"/>
  <c r="I1971" i="4"/>
  <c r="I1970" i="4"/>
  <c r="K1969" i="4"/>
  <c r="Q540" i="1" s="1"/>
  <c r="K1968" i="4"/>
  <c r="K1967" i="4" s="1"/>
  <c r="Q539" i="1" s="1"/>
  <c r="I1966" i="4"/>
  <c r="I1965" i="4"/>
  <c r="K1964" i="4"/>
  <c r="Q538" i="1" s="1"/>
  <c r="I1963" i="4"/>
  <c r="K1962" i="4"/>
  <c r="I1962" i="4" s="1"/>
  <c r="K1960" i="4"/>
  <c r="I1960" i="4" s="1"/>
  <c r="K1959" i="4"/>
  <c r="I1959" i="4" s="1"/>
  <c r="K1958" i="4"/>
  <c r="I1958" i="4" s="1"/>
  <c r="I1956" i="4"/>
  <c r="K1954" i="4"/>
  <c r="Q535" i="1" s="1"/>
  <c r="K1953" i="4"/>
  <c r="K1952" i="4" s="1"/>
  <c r="Q534" i="1" s="1"/>
  <c r="I1951" i="4"/>
  <c r="I1950" i="4"/>
  <c r="K1949" i="4"/>
  <c r="I1949" i="4" s="1"/>
  <c r="K1948" i="4"/>
  <c r="K1946" i="4"/>
  <c r="I1946" i="4" s="1"/>
  <c r="I1944" i="4"/>
  <c r="I1943" i="4"/>
  <c r="K1942" i="4"/>
  <c r="Q531" i="1" s="1"/>
  <c r="K1941" i="4"/>
  <c r="I1941" i="4" s="1"/>
  <c r="K1940" i="4"/>
  <c r="I1940" i="4" s="1"/>
  <c r="K1939" i="4"/>
  <c r="I1937" i="4"/>
  <c r="I1936" i="4"/>
  <c r="K1935" i="4"/>
  <c r="Q529" i="1" s="1"/>
  <c r="I1934" i="4"/>
  <c r="I1933" i="4"/>
  <c r="K1932" i="4"/>
  <c r="Q528" i="1" s="1"/>
  <c r="I1931" i="4"/>
  <c r="I1930" i="4"/>
  <c r="I1929" i="4"/>
  <c r="I1928" i="4"/>
  <c r="I1927" i="4"/>
  <c r="I1926" i="4"/>
  <c r="K1925" i="4"/>
  <c r="Q527" i="1" s="1"/>
  <c r="K1922" i="4"/>
  <c r="Q526" i="1" s="1"/>
  <c r="I1921" i="4"/>
  <c r="I1920" i="4"/>
  <c r="K1919" i="4"/>
  <c r="Q525" i="1" s="1"/>
  <c r="I1918" i="4"/>
  <c r="I1917" i="4"/>
  <c r="K1916" i="4"/>
  <c r="Q524" i="1" s="1"/>
  <c r="I1915" i="4"/>
  <c r="I1914" i="4"/>
  <c r="K1913" i="4"/>
  <c r="Q523" i="1" s="1"/>
  <c r="K1912" i="4"/>
  <c r="K1911" i="4" s="1"/>
  <c r="Q522" i="1" s="1"/>
  <c r="K1910" i="4"/>
  <c r="K1909" i="4" s="1"/>
  <c r="Q521" i="1" s="1"/>
  <c r="I1908" i="4"/>
  <c r="I1907" i="4"/>
  <c r="I1906" i="4"/>
  <c r="I1905" i="4"/>
  <c r="I1904" i="4"/>
  <c r="I1903" i="4"/>
  <c r="K1902" i="4"/>
  <c r="Q520" i="1" s="1"/>
  <c r="K1901" i="4"/>
  <c r="K1900" i="4" s="1"/>
  <c r="Q519" i="1" s="1"/>
  <c r="I1898" i="4"/>
  <c r="K1897" i="4"/>
  <c r="Q518" i="1" s="1"/>
  <c r="K1896" i="4"/>
  <c r="I1896" i="4" s="1"/>
  <c r="K1895" i="4"/>
  <c r="I1895" i="4" s="1"/>
  <c r="K1894" i="4"/>
  <c r="I1892" i="4"/>
  <c r="I1891" i="4"/>
  <c r="K1890" i="4"/>
  <c r="Q516" i="1" s="1"/>
  <c r="K1889" i="4"/>
  <c r="I1889" i="4" s="1"/>
  <c r="K1888" i="4"/>
  <c r="K1886" i="4"/>
  <c r="I1886" i="4" s="1"/>
  <c r="K1885" i="4"/>
  <c r="I1885" i="4" s="1"/>
  <c r="K1884" i="4"/>
  <c r="I1884" i="4" s="1"/>
  <c r="K1882" i="4"/>
  <c r="K1881" i="4" s="1"/>
  <c r="Q513" i="1" s="1"/>
  <c r="I1880" i="4"/>
  <c r="I1879" i="4"/>
  <c r="K1878" i="4"/>
  <c r="Q512" i="1" s="1"/>
  <c r="K1877" i="4"/>
  <c r="I1877" i="4" s="1"/>
  <c r="I1875" i="4"/>
  <c r="I1874" i="4"/>
  <c r="K1873" i="4"/>
  <c r="Q509" i="1" s="1"/>
  <c r="I1872" i="4"/>
  <c r="I1871" i="4"/>
  <c r="K1870" i="4"/>
  <c r="Q508" i="1" s="1"/>
  <c r="K1869" i="4"/>
  <c r="K1868" i="4" s="1"/>
  <c r="Q507" i="1" s="1"/>
  <c r="K1867" i="4"/>
  <c r="I1867" i="4" s="1"/>
  <c r="K1865" i="4"/>
  <c r="K1863" i="4"/>
  <c r="I1863" i="4" s="1"/>
  <c r="K1862" i="4"/>
  <c r="I1862" i="4" s="1"/>
  <c r="K1861" i="4"/>
  <c r="I1861" i="4" s="1"/>
  <c r="K1860" i="4"/>
  <c r="I1860" i="4" s="1"/>
  <c r="K1858" i="4"/>
  <c r="I1858" i="4" s="1"/>
  <c r="K1857" i="4"/>
  <c r="I1857" i="4" s="1"/>
  <c r="K1856" i="4"/>
  <c r="I1856" i="4" s="1"/>
  <c r="I1855" i="4"/>
  <c r="I1854" i="4"/>
  <c r="K1853" i="4"/>
  <c r="I1853" i="4" s="1"/>
  <c r="I1852" i="4"/>
  <c r="I1851" i="4"/>
  <c r="K1850" i="4"/>
  <c r="I1850" i="4" s="1"/>
  <c r="I1849" i="4"/>
  <c r="I1848" i="4"/>
  <c r="K1847" i="4"/>
  <c r="K1846" i="4"/>
  <c r="I1846" i="4" s="1"/>
  <c r="J1845" i="4"/>
  <c r="I1844" i="4"/>
  <c r="K1842" i="4"/>
  <c r="I1842" i="4" s="1"/>
  <c r="K1841" i="4"/>
  <c r="I1841" i="4" s="1"/>
  <c r="K1840" i="4"/>
  <c r="I1840" i="4" s="1"/>
  <c r="K1838" i="4"/>
  <c r="I1838" i="4" s="1"/>
  <c r="K1837" i="4"/>
  <c r="I1837" i="4" s="1"/>
  <c r="K1835" i="4"/>
  <c r="I1835" i="4" s="1"/>
  <c r="K1834" i="4"/>
  <c r="I1834" i="4" s="1"/>
  <c r="K1832" i="4"/>
  <c r="I1832" i="4" s="1"/>
  <c r="K1831" i="4"/>
  <c r="I1831" i="4" s="1"/>
  <c r="K1830" i="4"/>
  <c r="K1828" i="4"/>
  <c r="K1827" i="4" s="1"/>
  <c r="Q498" i="1" s="1"/>
  <c r="I1826" i="4"/>
  <c r="K1825" i="4"/>
  <c r="K1824" i="4" s="1"/>
  <c r="Q497" i="1" s="1"/>
  <c r="I1825" i="4"/>
  <c r="K1823" i="4"/>
  <c r="I1823" i="4" s="1"/>
  <c r="K1822" i="4"/>
  <c r="I1822" i="4" s="1"/>
  <c r="K1821" i="4"/>
  <c r="K1819" i="4"/>
  <c r="K1818" i="4" s="1"/>
  <c r="Q495" i="1" s="1"/>
  <c r="K1817" i="4"/>
  <c r="K1816" i="4" s="1"/>
  <c r="Q494" i="1" s="1"/>
  <c r="I1815" i="4"/>
  <c r="I1814" i="4"/>
  <c r="K1813" i="4"/>
  <c r="Q493" i="1" s="1"/>
  <c r="K1812" i="4"/>
  <c r="I1812" i="4" s="1"/>
  <c r="K1811" i="4"/>
  <c r="I1811" i="4" s="1"/>
  <c r="K1810" i="4"/>
  <c r="I1810" i="4" s="1"/>
  <c r="K1809" i="4"/>
  <c r="I1809" i="4" s="1"/>
  <c r="I1807" i="4"/>
  <c r="I1806" i="4"/>
  <c r="K1805" i="4"/>
  <c r="Q491" i="1" s="1"/>
  <c r="K1804" i="4"/>
  <c r="I1804" i="4" s="1"/>
  <c r="K1803" i="4"/>
  <c r="I1803" i="4" s="1"/>
  <c r="K1802" i="4"/>
  <c r="I1802" i="4" s="1"/>
  <c r="K1800" i="4"/>
  <c r="I1800" i="4" s="1"/>
  <c r="K1799" i="4"/>
  <c r="I1797" i="4"/>
  <c r="I1796" i="4"/>
  <c r="I1795" i="4"/>
  <c r="I1794" i="4"/>
  <c r="I1793" i="4"/>
  <c r="I1792" i="4"/>
  <c r="K1791" i="4"/>
  <c r="Q488" i="1" s="1"/>
  <c r="K1790" i="4"/>
  <c r="K1789" i="4" s="1"/>
  <c r="Q487" i="1" s="1"/>
  <c r="I1788" i="4"/>
  <c r="I1787" i="4"/>
  <c r="K1786" i="4"/>
  <c r="Q486" i="1" s="1"/>
  <c r="I1785" i="4"/>
  <c r="I1784" i="4"/>
  <c r="K1783" i="4"/>
  <c r="Q485" i="1" s="1"/>
  <c r="K1782" i="4"/>
  <c r="I1782" i="4" s="1"/>
  <c r="K1780" i="4"/>
  <c r="K1778" i="4"/>
  <c r="K1777" i="4" s="1"/>
  <c r="Q482" i="1" s="1"/>
  <c r="I1776" i="4"/>
  <c r="I1775" i="4"/>
  <c r="I1774" i="4"/>
  <c r="I1773" i="4"/>
  <c r="I1772" i="4"/>
  <c r="I1771" i="4"/>
  <c r="K1770" i="4"/>
  <c r="Q481" i="1" s="1"/>
  <c r="K1769" i="4"/>
  <c r="K1768" i="4" s="1"/>
  <c r="Q480" i="1" s="1"/>
  <c r="I1767" i="4"/>
  <c r="I1766" i="4"/>
  <c r="K1765" i="4"/>
  <c r="I1765" i="4" s="1"/>
  <c r="I1764" i="4"/>
  <c r="I1763" i="4"/>
  <c r="I1762" i="4"/>
  <c r="I1761" i="4"/>
  <c r="I1760" i="4"/>
  <c r="I1759" i="4"/>
  <c r="I1757" i="4"/>
  <c r="I1756" i="4"/>
  <c r="K1755" i="4"/>
  <c r="Q478" i="1" s="1"/>
  <c r="K1754" i="4"/>
  <c r="I1752" i="4"/>
  <c r="I1751" i="4"/>
  <c r="K1750" i="4"/>
  <c r="Q476" i="1" s="1"/>
  <c r="K1749" i="4"/>
  <c r="I1749" i="4" s="1"/>
  <c r="I1747" i="4"/>
  <c r="I1746" i="4"/>
  <c r="K1745" i="4"/>
  <c r="I1745" i="4" s="1"/>
  <c r="I1744" i="4"/>
  <c r="I1743" i="4"/>
  <c r="K1742" i="4"/>
  <c r="I1740" i="4"/>
  <c r="I1739" i="4"/>
  <c r="K1738" i="4"/>
  <c r="I1738" i="4" s="1"/>
  <c r="I1737" i="4"/>
  <c r="I1736" i="4"/>
  <c r="K1735" i="4"/>
  <c r="I1735" i="4" s="1"/>
  <c r="I1733" i="4"/>
  <c r="I1732" i="4"/>
  <c r="K1731" i="4"/>
  <c r="Q472" i="1" s="1"/>
  <c r="K1730" i="4"/>
  <c r="I1728" i="4"/>
  <c r="K1727" i="4"/>
  <c r="I1727" i="4"/>
  <c r="K1726" i="4"/>
  <c r="Q470" i="1" s="1"/>
  <c r="K1725" i="4"/>
  <c r="I1723" i="4"/>
  <c r="I1722" i="4"/>
  <c r="K1721" i="4"/>
  <c r="Q468" i="1" s="1"/>
  <c r="I1720" i="4"/>
  <c r="I1719" i="4"/>
  <c r="K1718" i="4"/>
  <c r="Q467" i="1" s="1"/>
  <c r="K1715" i="4"/>
  <c r="Q466" i="1" s="1"/>
  <c r="K1714" i="4"/>
  <c r="I1714" i="4" s="1"/>
  <c r="I1712" i="4"/>
  <c r="I1711" i="4"/>
  <c r="K1710" i="4"/>
  <c r="Q464" i="1" s="1"/>
  <c r="I1709" i="4"/>
  <c r="I1708" i="4"/>
  <c r="K1707" i="4"/>
  <c r="Q463" i="1" s="1"/>
  <c r="K1706" i="4"/>
  <c r="I1704" i="4"/>
  <c r="I1703" i="4"/>
  <c r="K1702" i="4"/>
  <c r="Q461" i="1" s="1"/>
  <c r="I1701" i="4"/>
  <c r="I1700" i="4"/>
  <c r="K1699" i="4"/>
  <c r="I1699" i="4" s="1"/>
  <c r="I1698" i="4"/>
  <c r="I1697" i="4"/>
  <c r="K1696" i="4"/>
  <c r="K1694" i="4"/>
  <c r="K1693" i="4" s="1"/>
  <c r="Q459" i="1" s="1"/>
  <c r="K1692" i="4"/>
  <c r="I1692" i="4" s="1"/>
  <c r="K1691" i="4"/>
  <c r="I1691" i="4" s="1"/>
  <c r="K1689" i="4"/>
  <c r="I1689" i="4" s="1"/>
  <c r="K1688" i="4"/>
  <c r="I1686" i="4"/>
  <c r="I1685" i="4"/>
  <c r="K1684" i="4"/>
  <c r="I1684" i="4" s="1"/>
  <c r="I1683" i="4"/>
  <c r="I1682" i="4"/>
  <c r="K1681" i="4"/>
  <c r="I1681" i="4" s="1"/>
  <c r="I1679" i="4"/>
  <c r="I1678" i="4"/>
  <c r="K1677" i="4"/>
  <c r="I1677" i="4" s="1"/>
  <c r="I1676" i="4"/>
  <c r="I1675" i="4"/>
  <c r="K1674" i="4"/>
  <c r="I1674" i="4" s="1"/>
  <c r="I1673" i="4"/>
  <c r="I1672" i="4"/>
  <c r="K1671" i="4"/>
  <c r="I1671" i="4" s="1"/>
  <c r="K1669" i="4"/>
  <c r="I1669" i="4" s="1"/>
  <c r="K1668" i="4"/>
  <c r="K1666" i="4"/>
  <c r="K1665" i="4" s="1"/>
  <c r="Q453" i="1" s="1"/>
  <c r="I1664" i="4"/>
  <c r="I1663" i="4"/>
  <c r="K1662" i="4"/>
  <c r="Q452" i="1" s="1"/>
  <c r="K1661" i="4"/>
  <c r="K1660" i="4" s="1"/>
  <c r="Q451" i="1" s="1"/>
  <c r="I1659" i="4"/>
  <c r="I1658" i="4"/>
  <c r="K1657" i="4"/>
  <c r="Q450" i="1" s="1"/>
  <c r="I1656" i="4"/>
  <c r="I1655" i="4"/>
  <c r="K1654" i="4"/>
  <c r="Q449" i="1" s="1"/>
  <c r="I1653" i="4"/>
  <c r="I1652" i="4"/>
  <c r="K1651" i="4"/>
  <c r="Q448" i="1" s="1"/>
  <c r="K1650" i="4"/>
  <c r="I1650" i="4" s="1"/>
  <c r="K1649" i="4"/>
  <c r="K1647" i="4"/>
  <c r="K1645" i="4"/>
  <c r="K1644" i="4" s="1"/>
  <c r="Q445" i="1" s="1"/>
  <c r="I1643" i="4"/>
  <c r="I1642" i="4"/>
  <c r="K1641" i="4"/>
  <c r="Q444" i="1" s="1"/>
  <c r="K1640" i="4"/>
  <c r="I1640" i="4" s="1"/>
  <c r="K1639" i="4"/>
  <c r="I1639" i="4" s="1"/>
  <c r="K1638" i="4"/>
  <c r="K1636" i="4"/>
  <c r="I1636" i="4" s="1"/>
  <c r="K1635" i="4"/>
  <c r="I1635" i="4" s="1"/>
  <c r="K1634" i="4"/>
  <c r="I1634" i="4" s="1"/>
  <c r="K1632" i="4"/>
  <c r="I1632" i="4" s="1"/>
  <c r="K1631" i="4"/>
  <c r="I1629" i="4"/>
  <c r="I1628" i="4"/>
  <c r="K1627" i="4"/>
  <c r="Q440" i="1" s="1"/>
  <c r="I1626" i="4"/>
  <c r="I1625" i="4"/>
  <c r="K1624" i="4"/>
  <c r="Q439" i="1" s="1"/>
  <c r="K1623" i="4"/>
  <c r="I1623" i="4" s="1"/>
  <c r="K1622" i="4"/>
  <c r="I1622" i="4" s="1"/>
  <c r="K1621" i="4"/>
  <c r="K1619" i="4"/>
  <c r="I1619" i="4" s="1"/>
  <c r="K1618" i="4"/>
  <c r="I1618" i="4" s="1"/>
  <c r="K1617" i="4"/>
  <c r="I1617" i="4" s="1"/>
  <c r="I1615" i="4"/>
  <c r="I1614" i="4"/>
  <c r="K1613" i="4"/>
  <c r="Q436" i="1" s="1"/>
  <c r="A1613" i="4"/>
  <c r="A1616" i="4" s="1"/>
  <c r="A1620" i="4" s="1"/>
  <c r="A1624" i="4" s="1"/>
  <c r="A1627" i="4" s="1"/>
  <c r="A1630" i="4" s="1"/>
  <c r="A1633" i="4" s="1"/>
  <c r="A1637" i="4" s="1"/>
  <c r="A1641" i="4" s="1"/>
  <c r="A1644" i="4" s="1"/>
  <c r="A1646" i="4" s="1"/>
  <c r="A1648" i="4" s="1"/>
  <c r="A1651" i="4" s="1"/>
  <c r="A1654" i="4" s="1"/>
  <c r="A1657" i="4" s="1"/>
  <c r="A1660" i="4" s="1"/>
  <c r="A1662" i="4" s="1"/>
  <c r="A1665" i="4" s="1"/>
  <c r="A1667" i="4" s="1"/>
  <c r="A1670" i="4" s="1"/>
  <c r="A1680" i="4" s="1"/>
  <c r="A1687" i="4" s="1"/>
  <c r="A1690" i="4" s="1"/>
  <c r="A1693" i="4" s="1"/>
  <c r="A1695" i="4" s="1"/>
  <c r="A1702" i="4" s="1"/>
  <c r="A1705" i="4" s="1"/>
  <c r="A1707" i="4" s="1"/>
  <c r="A1710" i="4" s="1"/>
  <c r="A1713" i="4" s="1"/>
  <c r="A1715" i="4" s="1"/>
  <c r="A1718" i="4" s="1"/>
  <c r="A1721" i="4" s="1"/>
  <c r="A1724" i="4" s="1"/>
  <c r="A1726" i="4" s="1"/>
  <c r="A1729" i="4" s="1"/>
  <c r="A1731" i="4" s="1"/>
  <c r="A1734" i="4" s="1"/>
  <c r="A1741" i="4" s="1"/>
  <c r="A1748" i="4" s="1"/>
  <c r="A1750" i="4" s="1"/>
  <c r="A1753" i="4" s="1"/>
  <c r="A1755" i="4" s="1"/>
  <c r="A1758" i="4" s="1"/>
  <c r="A1768" i="4" s="1"/>
  <c r="A1770" i="4" s="1"/>
  <c r="A1777" i="4" s="1"/>
  <c r="A1779" i="4" s="1"/>
  <c r="A1781" i="4" s="1"/>
  <c r="A1783" i="4" s="1"/>
  <c r="A1786" i="4" s="1"/>
  <c r="A1789" i="4" s="1"/>
  <c r="A1791" i="4" s="1"/>
  <c r="A1798" i="4" s="1"/>
  <c r="A1801" i="4" s="1"/>
  <c r="A1805" i="4" s="1"/>
  <c r="A1808" i="4" s="1"/>
  <c r="A1813" i="4" s="1"/>
  <c r="A1816" i="4" s="1"/>
  <c r="A1818" i="4" s="1"/>
  <c r="A1820" i="4" s="1"/>
  <c r="A1824" i="4" s="1"/>
  <c r="A1827" i="4" s="1"/>
  <c r="A1829" i="4" s="1"/>
  <c r="A1833" i="4" s="1"/>
  <c r="A1836" i="4" s="1"/>
  <c r="A1839" i="4" s="1"/>
  <c r="A1843" i="4" s="1"/>
  <c r="A1859" i="4" s="1"/>
  <c r="A1864" i="4" s="1"/>
  <c r="A1866" i="4" s="1"/>
  <c r="A1868" i="4" s="1"/>
  <c r="A1870" i="4" s="1"/>
  <c r="A1873" i="4" s="1"/>
  <c r="A1876" i="4" s="1"/>
  <c r="A1878" i="4" s="1"/>
  <c r="A1881" i="4" s="1"/>
  <c r="A1883" i="4" s="1"/>
  <c r="A1887" i="4" s="1"/>
  <c r="A1890" i="4" s="1"/>
  <c r="A1893" i="4" s="1"/>
  <c r="A1897" i="4" s="1"/>
  <c r="A1900" i="4" s="1"/>
  <c r="A1902" i="4" s="1"/>
  <c r="A1909" i="4" s="1"/>
  <c r="A1911" i="4" s="1"/>
  <c r="A1913" i="4" s="1"/>
  <c r="A1916" i="4" s="1"/>
  <c r="A1919" i="4" s="1"/>
  <c r="A1922" i="4" s="1"/>
  <c r="A1925" i="4" s="1"/>
  <c r="A1932" i="4" s="1"/>
  <c r="A1935" i="4" s="1"/>
  <c r="A1938" i="4" s="1"/>
  <c r="A1942" i="4" s="1"/>
  <c r="A1945" i="4" s="1"/>
  <c r="A1947" i="4" s="1"/>
  <c r="A1952" i="4" s="1"/>
  <c r="A1954" i="4" s="1"/>
  <c r="A1957" i="4" s="1"/>
  <c r="A1961" i="4" s="1"/>
  <c r="A1964" i="4" s="1"/>
  <c r="A1967" i="4" s="1"/>
  <c r="A1969" i="4" s="1"/>
  <c r="A1972" i="4" s="1"/>
  <c r="A1975" i="4" s="1"/>
  <c r="A1978" i="4" s="1"/>
  <c r="A1981" i="4" s="1"/>
  <c r="A1984" i="4" s="1"/>
  <c r="A1986" i="4" s="1"/>
  <c r="A1988" i="4" s="1"/>
  <c r="A1990" i="4" s="1"/>
  <c r="A1992" i="4" s="1"/>
  <c r="A1994" i="4" s="1"/>
  <c r="A1996" i="4" s="1"/>
  <c r="A1999" i="4" s="1"/>
  <c r="A2001" i="4" s="1"/>
  <c r="A2004" i="4" s="1"/>
  <c r="A2006" i="4" s="1"/>
  <c r="A2008" i="4" s="1"/>
  <c r="A2010" i="4" s="1"/>
  <c r="A2012" i="4" s="1"/>
  <c r="A2019" i="4" s="1"/>
  <c r="A2026" i="4" s="1"/>
  <c r="A2031" i="4" s="1"/>
  <c r="A2033" i="4" s="1"/>
  <c r="A2043" i="4" s="1"/>
  <c r="A2045" i="4" s="1"/>
  <c r="A2047" i="4" s="1"/>
  <c r="A2049" i="4" s="1"/>
  <c r="A2052" i="4" s="1"/>
  <c r="A2054" i="4" s="1"/>
  <c r="A2056" i="4" s="1"/>
  <c r="A2058" i="4" s="1"/>
  <c r="A2060" i="4" s="1"/>
  <c r="A2062" i="4" s="1"/>
  <c r="A2067" i="4" s="1"/>
  <c r="A2069" i="4" s="1"/>
  <c r="A2071" i="4" s="1"/>
  <c r="A2073" i="4" s="1"/>
  <c r="A2075" i="4" s="1"/>
  <c r="A2077" i="4" s="1"/>
  <c r="A2081" i="4" s="1"/>
  <c r="A2083" i="4" s="1"/>
  <c r="A2085" i="4" s="1"/>
  <c r="A2095" i="4" s="1"/>
  <c r="A2105" i="4" s="1"/>
  <c r="A2114" i="4" s="1"/>
  <c r="A2116" i="4" s="1"/>
  <c r="A2118" i="4" s="1"/>
  <c r="A2120" i="4" s="1"/>
  <c r="A2123" i="4" s="1"/>
  <c r="A2125" i="4" s="1"/>
  <c r="A2127" i="4" s="1"/>
  <c r="A2129" i="4" s="1"/>
  <c r="A2131" i="4" s="1"/>
  <c r="A2133" i="4" s="1"/>
  <c r="A2138" i="4" s="1"/>
  <c r="A2140" i="4" s="1"/>
  <c r="A2142" i="4" s="1"/>
  <c r="A2145" i="4" s="1"/>
  <c r="A2147" i="4" s="1"/>
  <c r="A2149" i="4" s="1"/>
  <c r="A2151" i="4" s="1"/>
  <c r="A2153" i="4" s="1"/>
  <c r="A2155" i="4" s="1"/>
  <c r="A2168" i="4" s="1"/>
  <c r="A2170" i="4" s="1"/>
  <c r="A2186" i="4" s="1"/>
  <c r="A2194" i="4" s="1"/>
  <c r="A2196" i="4" s="1"/>
  <c r="A2198" i="4" s="1"/>
  <c r="A2200" i="4" s="1"/>
  <c r="A2202" i="4" s="1"/>
  <c r="A2204" i="4" s="1"/>
  <c r="A2206" i="4" s="1"/>
  <c r="A2208" i="4" s="1"/>
  <c r="A2210" i="4" s="1"/>
  <c r="A2212" i="4" s="1"/>
  <c r="A2214" i="4" s="1"/>
  <c r="A2216" i="4" s="1"/>
  <c r="A2218" i="4" s="1"/>
  <c r="A2220" i="4" s="1"/>
  <c r="A2223" i="4" s="1"/>
  <c r="A2226" i="4" s="1"/>
  <c r="A2229" i="4" s="1"/>
  <c r="A2232" i="4" s="1"/>
  <c r="A2234" i="4" s="1"/>
  <c r="A2236" i="4" s="1"/>
  <c r="A2238" i="4" s="1"/>
  <c r="A2240" i="4" s="1"/>
  <c r="A2242" i="4" s="1"/>
  <c r="A2246" i="4" s="1"/>
  <c r="A2250" i="4" s="1"/>
  <c r="A2252" i="4" s="1"/>
  <c r="A2256" i="4" s="1"/>
  <c r="A2258" i="4" s="1"/>
  <c r="A2263" i="4" s="1"/>
  <c r="A2267" i="4" s="1"/>
  <c r="A2272" i="4" s="1"/>
  <c r="A2275" i="4" s="1"/>
  <c r="A2280" i="4" s="1"/>
  <c r="A2282" i="4" s="1"/>
  <c r="A2284" i="4" s="1"/>
  <c r="A2287" i="4" s="1"/>
  <c r="A2289" i="4" s="1"/>
  <c r="A2293" i="4" s="1"/>
  <c r="A2295" i="4" s="1"/>
  <c r="A2298" i="4" s="1"/>
  <c r="A2300" i="4" s="1"/>
  <c r="A2303" i="4" s="1"/>
  <c r="A2306" i="4" s="1"/>
  <c r="A2309" i="4" s="1"/>
  <c r="A2316" i="4" s="1"/>
  <c r="A2319" i="4" s="1"/>
  <c r="A2321" i="4" s="1"/>
  <c r="A2323" i="4" s="1"/>
  <c r="A2326" i="4" s="1"/>
  <c r="A2329" i="4" s="1"/>
  <c r="A2332" i="4" s="1"/>
  <c r="A2336" i="4" s="1"/>
  <c r="A2339" i="4" s="1"/>
  <c r="A2342" i="4" s="1"/>
  <c r="A2344" i="4" s="1"/>
  <c r="A2346" i="4" s="1"/>
  <c r="A2349" i="4" s="1"/>
  <c r="A2351" i="4" s="1"/>
  <c r="A2353" i="4" s="1"/>
  <c r="A2355" i="4" s="1"/>
  <c r="A2358" i="4" s="1"/>
  <c r="A2360" i="4" s="1"/>
  <c r="A2362" i="4" s="1"/>
  <c r="A2365" i="4" s="1"/>
  <c r="A2368" i="4" s="1"/>
  <c r="A2371" i="4" s="1"/>
  <c r="A2373" i="4" s="1"/>
  <c r="A2376" i="4" s="1"/>
  <c r="A2378" i="4" s="1"/>
  <c r="A2380" i="4" s="1"/>
  <c r="A2382" i="4" s="1"/>
  <c r="A2384" i="4" s="1"/>
  <c r="A2387" i="4" s="1"/>
  <c r="A2389" i="4" s="1"/>
  <c r="A2391" i="4" s="1"/>
  <c r="A2393" i="4" s="1"/>
  <c r="A2395" i="4" s="1"/>
  <c r="A2397" i="4" s="1"/>
  <c r="A2399" i="4" s="1"/>
  <c r="A2402" i="4" s="1"/>
  <c r="A2404" i="4" s="1"/>
  <c r="A2407" i="4" s="1"/>
  <c r="A2409" i="4" s="1"/>
  <c r="K1612" i="4"/>
  <c r="I1612" i="4" s="1"/>
  <c r="K1611" i="4"/>
  <c r="I1611" i="4" s="1"/>
  <c r="K2309" i="4" l="1"/>
  <c r="J2033" i="4"/>
  <c r="J2284" i="4"/>
  <c r="J2289" i="4"/>
  <c r="J2062" i="4"/>
  <c r="K2033" i="4"/>
  <c r="Q563" i="1" s="1"/>
  <c r="K2012" i="4"/>
  <c r="Q559" i="1" s="1"/>
  <c r="J2019" i="4"/>
  <c r="K2155" i="4"/>
  <c r="Q603" i="1" s="1"/>
  <c r="K2062" i="4"/>
  <c r="Q573" i="1" s="1"/>
  <c r="J2142" i="4"/>
  <c r="J2170" i="4"/>
  <c r="K2133" i="4"/>
  <c r="Q594" i="1" s="1"/>
  <c r="J2155" i="4"/>
  <c r="J2026" i="4"/>
  <c r="J2012" i="4"/>
  <c r="K2026" i="4"/>
  <c r="Q561" i="1" s="1"/>
  <c r="J2133" i="4"/>
  <c r="K2142" i="4"/>
  <c r="Q597" i="1" s="1"/>
  <c r="K2170" i="4"/>
  <c r="Q605" i="1" s="1"/>
  <c r="K2289" i="4"/>
  <c r="Q643" i="1" s="1"/>
  <c r="K2186" i="4"/>
  <c r="Q606" i="1" s="1"/>
  <c r="K2284" i="4"/>
  <c r="Q641" i="1" s="1"/>
  <c r="A437" i="1"/>
  <c r="A815" i="1"/>
  <c r="I2361" i="4"/>
  <c r="I2360" i="4" s="1"/>
  <c r="K2360" i="4"/>
  <c r="I1821" i="4"/>
  <c r="J1821" i="4" s="1"/>
  <c r="K1820" i="4"/>
  <c r="Q496" i="1" s="1"/>
  <c r="I1649" i="4"/>
  <c r="I1648" i="4" s="1"/>
  <c r="K1648" i="4"/>
  <c r="Q447" i="1" s="1"/>
  <c r="K1690" i="4"/>
  <c r="Q458" i="1" s="1"/>
  <c r="I1755" i="4"/>
  <c r="J478" i="1" s="1"/>
  <c r="K1947" i="4"/>
  <c r="Q533" i="1" s="1"/>
  <c r="K1610" i="4"/>
  <c r="Q435" i="1" s="1"/>
  <c r="I1953" i="4"/>
  <c r="K2389" i="4"/>
  <c r="Q681" i="1" s="1"/>
  <c r="K1680" i="4"/>
  <c r="Q456" i="1" s="1"/>
  <c r="J1756" i="4"/>
  <c r="J1757" i="4"/>
  <c r="K1781" i="4"/>
  <c r="Q484" i="1" s="1"/>
  <c r="K1798" i="4"/>
  <c r="Q489" i="1" s="1"/>
  <c r="K1801" i="4"/>
  <c r="Q490" i="1" s="1"/>
  <c r="K1866" i="4"/>
  <c r="Q506" i="1" s="1"/>
  <c r="K2145" i="4"/>
  <c r="Q598" i="1" s="1"/>
  <c r="K2319" i="4"/>
  <c r="Q653" i="1" s="1"/>
  <c r="K2409" i="4"/>
  <c r="Q690" i="1" s="1"/>
  <c r="J1625" i="4"/>
  <c r="J1629" i="4"/>
  <c r="J1642" i="4"/>
  <c r="J1719" i="4"/>
  <c r="J1723" i="4"/>
  <c r="J1732" i="4"/>
  <c r="J1751" i="4"/>
  <c r="J1785" i="4"/>
  <c r="J1792" i="4"/>
  <c r="J1794" i="4"/>
  <c r="J1796" i="4"/>
  <c r="J1807" i="4"/>
  <c r="J1872" i="4"/>
  <c r="J1905" i="4"/>
  <c r="J1907" i="4"/>
  <c r="J1915" i="4"/>
  <c r="J1928" i="4"/>
  <c r="J1930" i="4"/>
  <c r="J1934" i="4"/>
  <c r="J1973" i="4"/>
  <c r="J1977" i="4"/>
  <c r="J2088" i="4"/>
  <c r="J2090" i="4"/>
  <c r="J2092" i="4"/>
  <c r="J2122" i="4"/>
  <c r="J2205" i="4"/>
  <c r="J2204" i="4" s="1"/>
  <c r="J2297" i="4"/>
  <c r="J2304" i="4"/>
  <c r="J2330" i="4"/>
  <c r="J2337" i="4"/>
  <c r="J2370" i="4"/>
  <c r="J1626" i="4"/>
  <c r="J1628" i="4"/>
  <c r="J1643" i="4"/>
  <c r="J1720" i="4"/>
  <c r="J1722" i="4"/>
  <c r="J1733" i="4"/>
  <c r="J1752" i="4"/>
  <c r="J1784" i="4"/>
  <c r="J1795" i="4"/>
  <c r="J1797" i="4"/>
  <c r="J1806" i="4"/>
  <c r="I1870" i="4"/>
  <c r="J508" i="1" s="1"/>
  <c r="J1871" i="4"/>
  <c r="J1880" i="4"/>
  <c r="J1904" i="4"/>
  <c r="J1906" i="4"/>
  <c r="J1908" i="4"/>
  <c r="J1927" i="4"/>
  <c r="J1929" i="4"/>
  <c r="J1931" i="4"/>
  <c r="J1937" i="4"/>
  <c r="K1961" i="4"/>
  <c r="Q537" i="1" s="1"/>
  <c r="J1974" i="4"/>
  <c r="J1976" i="4"/>
  <c r="K1992" i="4"/>
  <c r="Q549" i="1" s="1"/>
  <c r="K1999" i="4"/>
  <c r="Q552" i="1" s="1"/>
  <c r="J2087" i="4"/>
  <c r="J2089" i="4"/>
  <c r="J2091" i="4"/>
  <c r="J2093" i="4"/>
  <c r="I2204" i="4"/>
  <c r="J612" i="1" s="1"/>
  <c r="K2216" i="4"/>
  <c r="Q618" i="1" s="1"/>
  <c r="J2301" i="4"/>
  <c r="J2338" i="4"/>
  <c r="J2367" i="4"/>
  <c r="I2392" i="4"/>
  <c r="I2391" i="4" s="1"/>
  <c r="N884" i="1"/>
  <c r="I2105" i="4"/>
  <c r="Q645" i="1"/>
  <c r="Q647" i="1"/>
  <c r="Q649" i="1"/>
  <c r="Q651" i="1"/>
  <c r="Q654" i="1"/>
  <c r="Q656" i="1"/>
  <c r="Q660" i="1"/>
  <c r="Q662" i="1"/>
  <c r="Q670" i="1"/>
  <c r="Q672" i="1"/>
  <c r="Q682" i="1"/>
  <c r="Q685" i="1"/>
  <c r="Q646" i="1"/>
  <c r="Q648" i="1"/>
  <c r="Q650" i="1"/>
  <c r="Q652" i="1"/>
  <c r="Q655" i="1"/>
  <c r="Q657" i="1"/>
  <c r="Q659" i="1"/>
  <c r="Q663" i="1"/>
  <c r="Q671" i="1"/>
  <c r="Q673" i="1"/>
  <c r="Q674" i="1"/>
  <c r="Q675" i="1"/>
  <c r="Q679" i="1"/>
  <c r="Q686" i="1"/>
  <c r="Q688" i="1"/>
  <c r="Q689" i="1"/>
  <c r="P884" i="1"/>
  <c r="J1623" i="4"/>
  <c r="J1640" i="4"/>
  <c r="J1669" i="4"/>
  <c r="J1832" i="4"/>
  <c r="J1848" i="4"/>
  <c r="J1852" i="4"/>
  <c r="J1854" i="4"/>
  <c r="J1858" i="4"/>
  <c r="J1895" i="4"/>
  <c r="J1940" i="4"/>
  <c r="J1951" i="4"/>
  <c r="J2051" i="4"/>
  <c r="J573" i="1"/>
  <c r="J2079" i="4"/>
  <c r="J597" i="1"/>
  <c r="J2245" i="4"/>
  <c r="J641" i="1"/>
  <c r="J2356" i="4"/>
  <c r="J1619" i="4"/>
  <c r="J1622" i="4"/>
  <c r="J1634" i="4"/>
  <c r="J1636" i="4"/>
  <c r="J1639" i="4"/>
  <c r="J1802" i="4"/>
  <c r="J1804" i="4"/>
  <c r="J1831" i="4"/>
  <c r="J1849" i="4"/>
  <c r="J1851" i="4"/>
  <c r="J1855" i="4"/>
  <c r="J1857" i="4"/>
  <c r="J1886" i="4"/>
  <c r="J1896" i="4"/>
  <c r="J1941" i="4"/>
  <c r="J1950" i="4"/>
  <c r="J561" i="1"/>
  <c r="J2080" i="4"/>
  <c r="J594" i="1"/>
  <c r="J2244" i="4"/>
  <c r="J1614" i="4"/>
  <c r="J1617" i="4"/>
  <c r="J1618" i="4"/>
  <c r="J1650" i="4"/>
  <c r="J1652" i="4"/>
  <c r="J1656" i="4"/>
  <c r="J1658" i="4"/>
  <c r="J1663" i="4"/>
  <c r="J1671" i="4"/>
  <c r="J1672" i="4"/>
  <c r="J1674" i="4"/>
  <c r="J1676" i="4"/>
  <c r="J1678" i="4"/>
  <c r="J1684" i="4"/>
  <c r="J1686" i="4"/>
  <c r="J1689" i="4"/>
  <c r="J1691" i="4"/>
  <c r="J1697" i="4"/>
  <c r="J1699" i="4"/>
  <c r="J1701" i="4"/>
  <c r="J1703" i="4"/>
  <c r="J1708" i="4"/>
  <c r="J1712" i="4"/>
  <c r="J1717" i="4"/>
  <c r="J1735" i="4"/>
  <c r="J1737" i="4"/>
  <c r="J1739" i="4"/>
  <c r="J1744" i="4"/>
  <c r="J1746" i="4"/>
  <c r="J1760" i="4"/>
  <c r="J1762" i="4"/>
  <c r="J1764" i="4"/>
  <c r="J1771" i="4"/>
  <c r="J1773" i="4"/>
  <c r="J1775" i="4"/>
  <c r="J1787" i="4"/>
  <c r="J1810" i="4"/>
  <c r="J1812" i="4"/>
  <c r="J1822" i="4"/>
  <c r="J1826" i="4"/>
  <c r="J1838" i="4"/>
  <c r="J1846" i="4"/>
  <c r="J1850" i="4"/>
  <c r="J1856" i="4"/>
  <c r="J1861" i="4"/>
  <c r="J1863" i="4"/>
  <c r="J1874" i="4"/>
  <c r="J1885" i="4"/>
  <c r="J1892" i="4"/>
  <c r="J1921" i="4"/>
  <c r="J1944" i="4"/>
  <c r="J1960" i="4"/>
  <c r="J1962" i="4"/>
  <c r="J1966" i="4"/>
  <c r="J1971" i="4"/>
  <c r="J1979" i="4"/>
  <c r="J1983" i="4"/>
  <c r="J1998" i="4"/>
  <c r="J2003" i="4"/>
  <c r="J560" i="1"/>
  <c r="J2097" i="4"/>
  <c r="J2099" i="4"/>
  <c r="J2101" i="4"/>
  <c r="J2103" i="4"/>
  <c r="J2106" i="4"/>
  <c r="J2108" i="4"/>
  <c r="J2110" i="4"/>
  <c r="J2112" i="4"/>
  <c r="J2221" i="4"/>
  <c r="J2225" i="4"/>
  <c r="J2227" i="4"/>
  <c r="J2231" i="4"/>
  <c r="J2278" i="4"/>
  <c r="J643" i="1"/>
  <c r="J2318" i="4"/>
  <c r="J2327" i="4"/>
  <c r="J2334" i="4"/>
  <c r="J2348" i="4"/>
  <c r="J2386" i="4"/>
  <c r="J681" i="1"/>
  <c r="J2390" i="4"/>
  <c r="J2389" i="4" s="1"/>
  <c r="J2398" i="4"/>
  <c r="J2397" i="4" s="1"/>
  <c r="J2401" i="4"/>
  <c r="J2406" i="4"/>
  <c r="J690" i="1"/>
  <c r="J2410" i="4"/>
  <c r="J2409" i="4" s="1"/>
  <c r="J1611" i="4"/>
  <c r="J1612" i="4"/>
  <c r="J1615" i="4"/>
  <c r="J1653" i="4"/>
  <c r="J1655" i="4"/>
  <c r="J1659" i="4"/>
  <c r="J1664" i="4"/>
  <c r="J1673" i="4"/>
  <c r="J1675" i="4"/>
  <c r="J1677" i="4"/>
  <c r="J1679" i="4"/>
  <c r="J1681" i="4"/>
  <c r="J1683" i="4"/>
  <c r="J1685" i="4"/>
  <c r="J1698" i="4"/>
  <c r="J1700" i="4"/>
  <c r="J1704" i="4"/>
  <c r="J1709" i="4"/>
  <c r="J1711" i="4"/>
  <c r="J1716" i="4"/>
  <c r="J1727" i="4"/>
  <c r="J1738" i="4"/>
  <c r="J1740" i="4"/>
  <c r="J1743" i="4"/>
  <c r="J1745" i="4"/>
  <c r="J1747" i="4"/>
  <c r="J1759" i="4"/>
  <c r="J1761" i="4"/>
  <c r="J1763" i="4"/>
  <c r="J1765" i="4"/>
  <c r="J1767" i="4"/>
  <c r="J1772" i="4"/>
  <c r="J1774" i="4"/>
  <c r="J1776" i="4"/>
  <c r="J1788" i="4"/>
  <c r="J1793" i="4"/>
  <c r="J1800" i="4"/>
  <c r="J1811" i="4"/>
  <c r="J1815" i="4"/>
  <c r="J1823" i="4"/>
  <c r="J1834" i="4"/>
  <c r="J1837" i="4"/>
  <c r="J1840" i="4"/>
  <c r="J1842" i="4"/>
  <c r="J1853" i="4"/>
  <c r="J1862" i="4"/>
  <c r="J1875" i="4"/>
  <c r="J1884" i="4"/>
  <c r="J1889" i="4"/>
  <c r="J1918" i="4"/>
  <c r="J1924" i="4"/>
  <c r="J1943" i="4"/>
  <c r="J1949" i="4"/>
  <c r="J1956" i="4"/>
  <c r="J1954" i="4" s="1"/>
  <c r="J1959" i="4"/>
  <c r="J1963" i="4"/>
  <c r="J1970" i="4"/>
  <c r="J1969" i="4" s="1"/>
  <c r="J1980" i="4"/>
  <c r="J1982" i="4"/>
  <c r="J1981" i="4" s="1"/>
  <c r="J1997" i="4"/>
  <c r="J1996" i="4" s="1"/>
  <c r="J559" i="1"/>
  <c r="J563" i="1"/>
  <c r="J2098" i="4"/>
  <c r="J2100" i="4"/>
  <c r="J2102" i="4"/>
  <c r="J2107" i="4"/>
  <c r="J2109" i="4"/>
  <c r="J2111" i="4"/>
  <c r="J2113" i="4"/>
  <c r="J603" i="1"/>
  <c r="J605" i="1"/>
  <c r="J2222" i="4"/>
  <c r="J2224" i="4"/>
  <c r="J2228" i="4"/>
  <c r="J2230" i="4"/>
  <c r="J2249" i="4"/>
  <c r="J2253" i="4"/>
  <c r="J2255" i="4"/>
  <c r="J2274" i="4"/>
  <c r="J2277" i="4"/>
  <c r="J2279" i="4"/>
  <c r="J651" i="1"/>
  <c r="J2317" i="4"/>
  <c r="J2324" i="4"/>
  <c r="J2335" i="4"/>
  <c r="J2364" i="4"/>
  <c r="J2374" i="4"/>
  <c r="J2375" i="4"/>
  <c r="J2405" i="4"/>
  <c r="J689" i="1"/>
  <c r="J2408" i="4"/>
  <c r="J2407" i="4" s="1"/>
  <c r="J2320" i="4"/>
  <c r="J2319" i="4" s="1"/>
  <c r="I2319" i="4"/>
  <c r="J1867" i="4"/>
  <c r="J1866" i="4" s="1"/>
  <c r="I1866" i="4"/>
  <c r="J2265" i="4"/>
  <c r="I2263" i="4"/>
  <c r="K1876" i="4"/>
  <c r="Q511" i="1" s="1"/>
  <c r="K1883" i="4"/>
  <c r="Q514" i="1" s="1"/>
  <c r="K2043" i="4"/>
  <c r="Q564" i="1" s="1"/>
  <c r="I2068" i="4"/>
  <c r="I2067" i="4" s="1"/>
  <c r="K2075" i="4"/>
  <c r="Q578" i="1" s="1"/>
  <c r="I2115" i="4"/>
  <c r="I2119" i="4"/>
  <c r="K2129" i="4"/>
  <c r="Q592" i="1" s="1"/>
  <c r="I2187" i="4"/>
  <c r="J2261" i="4"/>
  <c r="I2258" i="4"/>
  <c r="J2270" i="4"/>
  <c r="I2267" i="4"/>
  <c r="I2273" i="4"/>
  <c r="I2322" i="4"/>
  <c r="I2336" i="4"/>
  <c r="J2130" i="4"/>
  <c r="J2129" i="4" s="1"/>
  <c r="I2129" i="4"/>
  <c r="J2146" i="4"/>
  <c r="J2145" i="4" s="1"/>
  <c r="I2145" i="4"/>
  <c r="K1630" i="4"/>
  <c r="Q441" i="1" s="1"/>
  <c r="I1731" i="4"/>
  <c r="K1734" i="4"/>
  <c r="Q473" i="1" s="1"/>
  <c r="K1893" i="4"/>
  <c r="Q517" i="1" s="1"/>
  <c r="I1912" i="4"/>
  <c r="I1911" i="4" s="1"/>
  <c r="K2010" i="4"/>
  <c r="Q557" i="1" s="1"/>
  <c r="K2047" i="4"/>
  <c r="Q566" i="1" s="1"/>
  <c r="I2094" i="4"/>
  <c r="I2085" i="4" s="1"/>
  <c r="I2139" i="4"/>
  <c r="K2200" i="4"/>
  <c r="Q610" i="1" s="1"/>
  <c r="K2232" i="4"/>
  <c r="Q624" i="1" s="1"/>
  <c r="K2358" i="4"/>
  <c r="J2011" i="4"/>
  <c r="J2010" i="4" s="1"/>
  <c r="I2010" i="4"/>
  <c r="J2201" i="4"/>
  <c r="J2200" i="4" s="1"/>
  <c r="I2200" i="4"/>
  <c r="J2359" i="4"/>
  <c r="J2358" i="4" s="1"/>
  <c r="I2358" i="4"/>
  <c r="J2000" i="4"/>
  <c r="J1999" i="4" s="1"/>
  <c r="I1999" i="4"/>
  <c r="J2044" i="4"/>
  <c r="J2043" i="4" s="1"/>
  <c r="I2043" i="4"/>
  <c r="J2076" i="4"/>
  <c r="J2075" i="4" s="1"/>
  <c r="I2075" i="4"/>
  <c r="J2217" i="4"/>
  <c r="J2216" i="4" s="1"/>
  <c r="I2216" i="4"/>
  <c r="K1616" i="4"/>
  <c r="Q437" i="1" s="1"/>
  <c r="I1645" i="4"/>
  <c r="I1644" i="4" s="1"/>
  <c r="K1713" i="4"/>
  <c r="Q465" i="1" s="1"/>
  <c r="K1748" i="4"/>
  <c r="Q475" i="1" s="1"/>
  <c r="K1758" i="4"/>
  <c r="Q479" i="1" s="1"/>
  <c r="I1778" i="4"/>
  <c r="I1777" i="4" s="1"/>
  <c r="I1819" i="4"/>
  <c r="I1818" i="4" s="1"/>
  <c r="I1901" i="4"/>
  <c r="I1900" i="4" s="1"/>
  <c r="K1945" i="4"/>
  <c r="Q532" i="1" s="1"/>
  <c r="I1968" i="4"/>
  <c r="I1996" i="4"/>
  <c r="K2077" i="4"/>
  <c r="Q579" i="1" s="1"/>
  <c r="K2149" i="4"/>
  <c r="Q600" i="1" s="1"/>
  <c r="I2207" i="4"/>
  <c r="I2241" i="4"/>
  <c r="I2294" i="4"/>
  <c r="I2293" i="4" s="1"/>
  <c r="I2341" i="4"/>
  <c r="I2339" i="4" s="1"/>
  <c r="I2345" i="4"/>
  <c r="I2372" i="4"/>
  <c r="J1749" i="4"/>
  <c r="J1748" i="4" s="1"/>
  <c r="I1748" i="4"/>
  <c r="J1946" i="4"/>
  <c r="J1945" i="4" s="1"/>
  <c r="I1945" i="4"/>
  <c r="J2150" i="4"/>
  <c r="J2149" i="4" s="1"/>
  <c r="I2149" i="4"/>
  <c r="J1714" i="4"/>
  <c r="J1713" i="4" s="1"/>
  <c r="I1713" i="4"/>
  <c r="J1782" i="4"/>
  <c r="J1781" i="4" s="1"/>
  <c r="I1781" i="4"/>
  <c r="J1877" i="4"/>
  <c r="J1876" i="4" s="1"/>
  <c r="I1876" i="4"/>
  <c r="J1993" i="4"/>
  <c r="J1992" i="4" s="1"/>
  <c r="I1992" i="4"/>
  <c r="J2048" i="4"/>
  <c r="J2047" i="4" s="1"/>
  <c r="I2047" i="4"/>
  <c r="J2233" i="4"/>
  <c r="J2232" i="4" s="1"/>
  <c r="I2232" i="4"/>
  <c r="I1613" i="4"/>
  <c r="K1620" i="4"/>
  <c r="Q438" i="1" s="1"/>
  <c r="I1624" i="4"/>
  <c r="I1627" i="4"/>
  <c r="I1631" i="4"/>
  <c r="I1630" i="4" s="1"/>
  <c r="I1661" i="4"/>
  <c r="K1687" i="4"/>
  <c r="Q457" i="1" s="1"/>
  <c r="I1707" i="4"/>
  <c r="I1710" i="4"/>
  <c r="K1741" i="4"/>
  <c r="Q474" i="1" s="1"/>
  <c r="K2019" i="4"/>
  <c r="Q560" i="1" s="1"/>
  <c r="I1769" i="4"/>
  <c r="I1790" i="4"/>
  <c r="I1789" i="4" s="1"/>
  <c r="I1828" i="4"/>
  <c r="I1827" i="4" s="1"/>
  <c r="I1873" i="4"/>
  <c r="I1942" i="4"/>
  <c r="I1972" i="4"/>
  <c r="I1975" i="4"/>
  <c r="K2058" i="4"/>
  <c r="Q571" i="1" s="1"/>
  <c r="I2082" i="4"/>
  <c r="I2081" i="4" s="1"/>
  <c r="I2152" i="4"/>
  <c r="I2154" i="4"/>
  <c r="I2153" i="4" s="1"/>
  <c r="I2197" i="4"/>
  <c r="I2220" i="4"/>
  <c r="I2223" i="4"/>
  <c r="I2226" i="4"/>
  <c r="I2229" i="4"/>
  <c r="I2235" i="4"/>
  <c r="J2235" i="4" s="1"/>
  <c r="J2234" i="4" s="1"/>
  <c r="I2237" i="4"/>
  <c r="I2257" i="4"/>
  <c r="I2256" i="4" s="1"/>
  <c r="I2281" i="4"/>
  <c r="I2283" i="4"/>
  <c r="I2282" i="4" s="1"/>
  <c r="I2299" i="4"/>
  <c r="I2377" i="4"/>
  <c r="I2376" i="4" s="1"/>
  <c r="I433" i="1"/>
  <c r="L433" i="1"/>
  <c r="O433" i="1"/>
  <c r="G644" i="1"/>
  <c r="H433" i="1"/>
  <c r="K433" i="1"/>
  <c r="M433" i="1"/>
  <c r="I1662" i="4"/>
  <c r="I2316" i="4"/>
  <c r="I2404" i="4"/>
  <c r="I1791" i="4"/>
  <c r="I1954" i="4"/>
  <c r="I1969" i="4"/>
  <c r="I1978" i="4"/>
  <c r="I1981" i="4"/>
  <c r="I2373" i="4"/>
  <c r="I2397" i="4"/>
  <c r="J1632" i="4"/>
  <c r="K1646" i="4"/>
  <c r="Q446" i="1" s="1"/>
  <c r="I1647" i="4"/>
  <c r="I1646" i="4" s="1"/>
  <c r="J1682" i="4"/>
  <c r="I1680" i="4"/>
  <c r="J1692" i="4"/>
  <c r="I1690" i="4"/>
  <c r="K1705" i="4"/>
  <c r="Q462" i="1" s="1"/>
  <c r="I1706" i="4"/>
  <c r="I1705" i="4" s="1"/>
  <c r="J1728" i="4"/>
  <c r="I1726" i="4"/>
  <c r="J1736" i="4"/>
  <c r="I1734" i="4"/>
  <c r="K1753" i="4"/>
  <c r="Q477" i="1" s="1"/>
  <c r="I1754" i="4"/>
  <c r="I1753" i="4" s="1"/>
  <c r="K1779" i="4"/>
  <c r="Q483" i="1" s="1"/>
  <c r="I1780" i="4"/>
  <c r="I1779" i="4" s="1"/>
  <c r="J1803" i="4"/>
  <c r="I1801" i="4"/>
  <c r="K1864" i="4"/>
  <c r="Q505" i="1" s="1"/>
  <c r="I1865" i="4"/>
  <c r="I1899" i="4"/>
  <c r="J1898" i="4"/>
  <c r="K2071" i="4"/>
  <c r="Q576" i="1" s="1"/>
  <c r="I2072" i="4"/>
  <c r="J2086" i="4"/>
  <c r="K2095" i="4"/>
  <c r="Q583" i="1" s="1"/>
  <c r="I2104" i="4"/>
  <c r="K2208" i="4"/>
  <c r="Q614" i="1" s="1"/>
  <c r="I2209" i="4"/>
  <c r="K2246" i="4"/>
  <c r="Q630" i="1" s="1"/>
  <c r="I2247" i="4"/>
  <c r="J2266" i="4"/>
  <c r="J2305" i="4"/>
  <c r="I2303" i="4"/>
  <c r="J2325" i="4"/>
  <c r="I2323" i="4"/>
  <c r="J2331" i="4"/>
  <c r="I2329" i="4"/>
  <c r="K2351" i="4"/>
  <c r="I2352" i="4"/>
  <c r="K2378" i="4"/>
  <c r="I2379" i="4"/>
  <c r="K2393" i="4"/>
  <c r="I2394" i="4"/>
  <c r="I1610" i="4"/>
  <c r="I1616" i="4"/>
  <c r="I1621" i="4"/>
  <c r="K1633" i="4"/>
  <c r="Q442" i="1" s="1"/>
  <c r="J1635" i="4"/>
  <c r="I1633" i="4"/>
  <c r="K1637" i="4"/>
  <c r="Q443" i="1" s="1"/>
  <c r="I1638" i="4"/>
  <c r="I1637" i="4" s="1"/>
  <c r="I1641" i="4"/>
  <c r="I1666" i="4"/>
  <c r="K1667" i="4"/>
  <c r="Q454" i="1" s="1"/>
  <c r="I1668" i="4"/>
  <c r="I1688" i="4"/>
  <c r="I1694" i="4"/>
  <c r="K1695" i="4"/>
  <c r="Q460" i="1" s="1"/>
  <c r="I1696" i="4"/>
  <c r="I1695" i="4" s="1"/>
  <c r="K1724" i="4"/>
  <c r="Q469" i="1" s="1"/>
  <c r="I1725" i="4"/>
  <c r="I1724" i="4" s="1"/>
  <c r="K1729" i="4"/>
  <c r="Q471" i="1" s="1"/>
  <c r="I1730" i="4"/>
  <c r="I1742" i="4"/>
  <c r="J1766" i="4"/>
  <c r="I1758" i="4"/>
  <c r="I1770" i="4"/>
  <c r="I1799" i="4"/>
  <c r="K1836" i="4"/>
  <c r="Q501" i="1" s="1"/>
  <c r="I1985" i="4"/>
  <c r="I1989" i="4"/>
  <c r="K1990" i="4"/>
  <c r="Q548" i="1" s="1"/>
  <c r="I1991" i="4"/>
  <c r="I2007" i="4"/>
  <c r="K2008" i="4"/>
  <c r="Q556" i="1" s="1"/>
  <c r="I2009" i="4"/>
  <c r="I2008" i="4" s="1"/>
  <c r="I2055" i="4"/>
  <c r="K2056" i="4"/>
  <c r="Q570" i="1" s="1"/>
  <c r="I2057" i="4"/>
  <c r="J2059" i="4"/>
  <c r="J2058" i="4" s="1"/>
  <c r="I2058" i="4"/>
  <c r="K2125" i="4"/>
  <c r="Q590" i="1" s="1"/>
  <c r="I2126" i="4"/>
  <c r="K2198" i="4"/>
  <c r="Q609" i="1" s="1"/>
  <c r="I2199" i="4"/>
  <c r="K2212" i="4"/>
  <c r="Q616" i="1" s="1"/>
  <c r="I2213" i="4"/>
  <c r="J2262" i="4"/>
  <c r="J2271" i="4"/>
  <c r="J2302" i="4"/>
  <c r="I2300" i="4"/>
  <c r="J2308" i="4"/>
  <c r="I2306" i="4"/>
  <c r="J2328" i="4"/>
  <c r="I2326" i="4"/>
  <c r="K2332" i="4"/>
  <c r="I2333" i="4"/>
  <c r="K2382" i="4"/>
  <c r="I2383" i="4"/>
  <c r="K1670" i="4"/>
  <c r="Q455" i="1" s="1"/>
  <c r="K1829" i="4"/>
  <c r="Q499" i="1" s="1"/>
  <c r="K1843" i="4"/>
  <c r="Q503" i="1" s="1"/>
  <c r="K1887" i="4"/>
  <c r="Q515" i="1" s="1"/>
  <c r="K1938" i="4"/>
  <c r="Q530" i="1" s="1"/>
  <c r="K2001" i="4"/>
  <c r="Q553" i="1" s="1"/>
  <c r="K2049" i="4"/>
  <c r="Q567" i="1" s="1"/>
  <c r="K2073" i="4"/>
  <c r="Q577" i="1" s="1"/>
  <c r="I2074" i="4"/>
  <c r="I2073" i="4" s="1"/>
  <c r="K2127" i="4"/>
  <c r="Q591" i="1" s="1"/>
  <c r="I2128" i="4"/>
  <c r="K2214" i="4"/>
  <c r="Q617" i="1" s="1"/>
  <c r="I2215" i="4"/>
  <c r="K2250" i="4"/>
  <c r="Q631" i="1" s="1"/>
  <c r="I2251" i="4"/>
  <c r="I2250" i="4" s="1"/>
  <c r="K2353" i="4"/>
  <c r="I2354" i="4"/>
  <c r="J2354" i="4" s="1"/>
  <c r="J2353" i="4" s="1"/>
  <c r="K2275" i="4"/>
  <c r="Q638" i="1" s="1"/>
  <c r="J1835" i="4"/>
  <c r="I1833" i="4"/>
  <c r="J1841" i="4"/>
  <c r="I1839" i="4"/>
  <c r="J1809" i="4"/>
  <c r="I1808" i="4"/>
  <c r="J1825" i="4"/>
  <c r="I1824" i="4"/>
  <c r="J1844" i="4"/>
  <c r="J1860" i="4"/>
  <c r="I1859" i="4"/>
  <c r="J1917" i="4"/>
  <c r="I1916" i="4"/>
  <c r="I1922" i="4"/>
  <c r="J1933" i="4"/>
  <c r="I1932" i="4"/>
  <c r="I1952" i="4"/>
  <c r="J1958" i="4"/>
  <c r="I1957" i="4"/>
  <c r="J1965" i="4"/>
  <c r="I1964" i="4"/>
  <c r="J2002" i="4"/>
  <c r="I2001" i="4"/>
  <c r="J2050" i="4"/>
  <c r="I2049" i="4"/>
  <c r="J2096" i="4"/>
  <c r="K2202" i="4"/>
  <c r="Q611" i="1" s="1"/>
  <c r="I2203" i="4"/>
  <c r="K2218" i="4"/>
  <c r="Q619" i="1" s="1"/>
  <c r="I2219" i="4"/>
  <c r="J2243" i="4"/>
  <c r="I2242" i="4"/>
  <c r="J2248" i="4"/>
  <c r="J2296" i="4"/>
  <c r="I2295" i="4"/>
  <c r="K2349" i="4"/>
  <c r="I2350" i="4"/>
  <c r="K2387" i="4"/>
  <c r="I2388" i="4"/>
  <c r="K2402" i="4"/>
  <c r="I2403" i="4"/>
  <c r="I1651" i="4"/>
  <c r="I1654" i="4"/>
  <c r="I1657" i="4"/>
  <c r="I1670" i="4"/>
  <c r="I1702" i="4"/>
  <c r="I1715" i="4"/>
  <c r="I1718" i="4"/>
  <c r="I1721" i="4"/>
  <c r="I1750" i="4"/>
  <c r="I1783" i="4"/>
  <c r="I1786" i="4"/>
  <c r="I1805" i="4"/>
  <c r="K1808" i="4"/>
  <c r="Q492" i="1" s="1"/>
  <c r="J1814" i="4"/>
  <c r="I1813" i="4"/>
  <c r="I1817" i="4"/>
  <c r="I1830" i="4"/>
  <c r="K1833" i="4"/>
  <c r="Q500" i="1" s="1"/>
  <c r="I1836" i="4"/>
  <c r="K1839" i="4"/>
  <c r="Q502" i="1" s="1"/>
  <c r="I1847" i="4"/>
  <c r="K1859" i="4"/>
  <c r="Q504" i="1" s="1"/>
  <c r="I1869" i="4"/>
  <c r="J1879" i="4"/>
  <c r="I1878" i="4"/>
  <c r="I1882" i="4"/>
  <c r="I1883" i="4"/>
  <c r="I1888" i="4"/>
  <c r="J1891" i="4"/>
  <c r="I1890" i="4"/>
  <c r="I1894" i="4"/>
  <c r="J1903" i="4"/>
  <c r="I1902" i="4"/>
  <c r="I1910" i="4"/>
  <c r="J1914" i="4"/>
  <c r="I1913" i="4"/>
  <c r="J1920" i="4"/>
  <c r="I1919" i="4"/>
  <c r="J1926" i="4"/>
  <c r="I1925" i="4"/>
  <c r="J1936" i="4"/>
  <c r="I1935" i="4"/>
  <c r="I1939" i="4"/>
  <c r="I1948" i="4"/>
  <c r="K1957" i="4"/>
  <c r="Q536" i="1" s="1"/>
  <c r="I1961" i="4"/>
  <c r="I1987" i="4"/>
  <c r="I1995" i="4"/>
  <c r="I2005" i="4"/>
  <c r="I2032" i="4"/>
  <c r="I2046" i="4"/>
  <c r="I2053" i="4"/>
  <c r="I2061" i="4"/>
  <c r="J2070" i="4"/>
  <c r="J2069" i="4" s="1"/>
  <c r="I2069" i="4"/>
  <c r="I2078" i="4"/>
  <c r="I2084" i="4"/>
  <c r="I2117" i="4"/>
  <c r="J2121" i="4"/>
  <c r="I2120" i="4"/>
  <c r="I2124" i="4"/>
  <c r="I2132" i="4"/>
  <c r="K2140" i="4"/>
  <c r="Q596" i="1" s="1"/>
  <c r="I2141" i="4"/>
  <c r="K2147" i="4"/>
  <c r="Q599" i="1" s="1"/>
  <c r="I2148" i="4"/>
  <c r="K2168" i="4"/>
  <c r="Q604" i="1" s="1"/>
  <c r="I2169" i="4"/>
  <c r="K2194" i="4"/>
  <c r="Q607" i="1" s="1"/>
  <c r="I2195" i="4"/>
  <c r="K2210" i="4"/>
  <c r="Q615" i="1" s="1"/>
  <c r="I2211" i="4"/>
  <c r="K2238" i="4"/>
  <c r="Q627" i="1" s="1"/>
  <c r="I2239" i="4"/>
  <c r="I2254" i="4"/>
  <c r="K2252" i="4"/>
  <c r="Q632" i="1" s="1"/>
  <c r="J2276" i="4"/>
  <c r="I2275" i="4"/>
  <c r="K2287" i="4"/>
  <c r="Q642" i="1" s="1"/>
  <c r="I2288" i="4"/>
  <c r="K2242" i="4"/>
  <c r="Q629" i="1" s="1"/>
  <c r="K2342" i="4"/>
  <c r="I2343" i="4"/>
  <c r="I2357" i="4"/>
  <c r="K2355" i="4"/>
  <c r="J2363" i="4"/>
  <c r="I2362" i="4"/>
  <c r="J2369" i="4"/>
  <c r="I2368" i="4"/>
  <c r="K2380" i="4"/>
  <c r="I2381" i="4"/>
  <c r="K2395" i="4"/>
  <c r="I2396" i="4"/>
  <c r="J2347" i="4"/>
  <c r="I2346" i="4"/>
  <c r="J2366" i="4"/>
  <c r="I2365" i="4"/>
  <c r="J2385" i="4"/>
  <c r="I2384" i="4"/>
  <c r="J2400" i="4"/>
  <c r="I2399" i="4"/>
  <c r="J2120" i="4" l="1"/>
  <c r="J1883" i="4"/>
  <c r="J1805" i="4"/>
  <c r="J1718" i="4"/>
  <c r="J1750" i="4"/>
  <c r="J2361" i="4"/>
  <c r="J2360" i="4" s="1"/>
  <c r="J1649" i="4"/>
  <c r="J1648" i="4" s="1"/>
  <c r="J1641" i="4"/>
  <c r="I1820" i="4"/>
  <c r="J1721" i="4"/>
  <c r="J1975" i="4"/>
  <c r="J2336" i="4"/>
  <c r="J1731" i="4"/>
  <c r="J1627" i="4"/>
  <c r="A816" i="1"/>
  <c r="G433" i="1"/>
  <c r="A438" i="1"/>
  <c r="J1972" i="4"/>
  <c r="J1913" i="4"/>
  <c r="J1690" i="4"/>
  <c r="J1942" i="4"/>
  <c r="J2300" i="4"/>
  <c r="J1801" i="4"/>
  <c r="J2229" i="4"/>
  <c r="J2223" i="4"/>
  <c r="J1783" i="4"/>
  <c r="J1820" i="4"/>
  <c r="I2196" i="4"/>
  <c r="J608" i="1" s="1"/>
  <c r="N597" i="1"/>
  <c r="N561" i="1"/>
  <c r="J1836" i="4"/>
  <c r="J1715" i="4"/>
  <c r="J1710" i="4"/>
  <c r="J1707" i="4"/>
  <c r="J1702" i="4"/>
  <c r="J1662" i="4"/>
  <c r="J1657" i="4"/>
  <c r="J1654" i="4"/>
  <c r="J1613" i="4"/>
  <c r="J1624" i="4"/>
  <c r="J2365" i="4"/>
  <c r="J2392" i="4"/>
  <c r="J2391" i="4" s="1"/>
  <c r="J2368" i="4"/>
  <c r="J2295" i="4"/>
  <c r="J1953" i="4"/>
  <c r="J1952" i="4" s="1"/>
  <c r="J1932" i="4"/>
  <c r="J2329" i="4"/>
  <c r="J2303" i="4"/>
  <c r="J1791" i="4"/>
  <c r="J1870" i="4"/>
  <c r="J1755" i="4"/>
  <c r="J1902" i="4"/>
  <c r="J1878" i="4"/>
  <c r="J1758" i="4"/>
  <c r="J584" i="1"/>
  <c r="J1651" i="4"/>
  <c r="J1935" i="4"/>
  <c r="J1925" i="4"/>
  <c r="J1968" i="4"/>
  <c r="J1967" i="4" s="1"/>
  <c r="N603" i="1"/>
  <c r="N641" i="1"/>
  <c r="N605" i="1"/>
  <c r="N563" i="1"/>
  <c r="N559" i="1"/>
  <c r="N508" i="1"/>
  <c r="N478" i="1"/>
  <c r="N643" i="1"/>
  <c r="N612" i="1"/>
  <c r="N560" i="1"/>
  <c r="N594" i="1"/>
  <c r="N573" i="1"/>
  <c r="J2281" i="4"/>
  <c r="J2280" i="4" s="1"/>
  <c r="I2151" i="4"/>
  <c r="J2105" i="4"/>
  <c r="J2404" i="4"/>
  <c r="J2316" i="4"/>
  <c r="J2207" i="4"/>
  <c r="J2206" i="4" s="1"/>
  <c r="I2206" i="4"/>
  <c r="J613" i="1" s="1"/>
  <c r="I1967" i="4"/>
  <c r="J2294" i="4"/>
  <c r="J2293" i="4" s="1"/>
  <c r="J2139" i="4"/>
  <c r="J2138" i="4" s="1"/>
  <c r="I2298" i="4"/>
  <c r="J647" i="1" s="1"/>
  <c r="J2273" i="4"/>
  <c r="J2272" i="4" s="1"/>
  <c r="I2236" i="4"/>
  <c r="J626" i="1" s="1"/>
  <c r="P689" i="1"/>
  <c r="P651" i="1"/>
  <c r="P690" i="1"/>
  <c r="P681" i="1"/>
  <c r="J1961" i="4"/>
  <c r="J1873" i="4"/>
  <c r="J1786" i="4"/>
  <c r="J1670" i="4"/>
  <c r="J1616" i="4"/>
  <c r="J2399" i="4"/>
  <c r="J2384" i="4"/>
  <c r="J2346" i="4"/>
  <c r="J1919" i="4"/>
  <c r="J1890" i="4"/>
  <c r="J1813" i="4"/>
  <c r="J2322" i="4"/>
  <c r="J2321" i="4" s="1"/>
  <c r="J2242" i="4"/>
  <c r="J2049" i="4"/>
  <c r="J2001" i="4"/>
  <c r="J1964" i="4"/>
  <c r="J1957" i="4"/>
  <c r="J1922" i="4"/>
  <c r="J1916" i="4"/>
  <c r="J1859" i="4"/>
  <c r="J1633" i="4"/>
  <c r="J2187" i="4"/>
  <c r="J2186" i="4" s="1"/>
  <c r="N690" i="1"/>
  <c r="J2299" i="4"/>
  <c r="J2298" i="4" s="1"/>
  <c r="I2371" i="4"/>
  <c r="J673" i="1" s="1"/>
  <c r="I2280" i="4"/>
  <c r="J2152" i="4"/>
  <c r="J2151" i="4" s="1"/>
  <c r="J2197" i="4"/>
  <c r="J2196" i="4" s="1"/>
  <c r="J2237" i="4"/>
  <c r="J2236" i="4" s="1"/>
  <c r="J2323" i="4"/>
  <c r="J1770" i="4"/>
  <c r="J2226" i="4"/>
  <c r="J2220" i="4"/>
  <c r="J1978" i="4"/>
  <c r="Q684" i="1"/>
  <c r="Q677" i="1"/>
  <c r="Q664" i="1"/>
  <c r="Q666" i="1"/>
  <c r="Q676" i="1"/>
  <c r="Q665" i="1"/>
  <c r="J2362" i="4"/>
  <c r="J2275" i="4"/>
  <c r="Q687" i="1"/>
  <c r="Q680" i="1"/>
  <c r="I2321" i="4"/>
  <c r="J654" i="1" s="1"/>
  <c r="J1824" i="4"/>
  <c r="J1808" i="4"/>
  <c r="J1839" i="4"/>
  <c r="J1833" i="4"/>
  <c r="Q669" i="1"/>
  <c r="Q678" i="1"/>
  <c r="Q658" i="1"/>
  <c r="J2326" i="4"/>
  <c r="J2306" i="4"/>
  <c r="J636" i="1"/>
  <c r="J634" i="1"/>
  <c r="J2241" i="4"/>
  <c r="J2240" i="4" s="1"/>
  <c r="I2186" i="4"/>
  <c r="J1734" i="4"/>
  <c r="J1726" i="4"/>
  <c r="J1680" i="4"/>
  <c r="N681" i="1"/>
  <c r="Q667" i="1"/>
  <c r="Q661" i="1"/>
  <c r="Q683" i="1"/>
  <c r="Q668" i="1"/>
  <c r="N689" i="1"/>
  <c r="N651" i="1"/>
  <c r="P605" i="1"/>
  <c r="P603" i="1"/>
  <c r="P563" i="1"/>
  <c r="P559" i="1"/>
  <c r="P508" i="1"/>
  <c r="P478" i="1"/>
  <c r="P643" i="1"/>
  <c r="P612" i="1"/>
  <c r="P560" i="1"/>
  <c r="P594" i="1"/>
  <c r="P561" i="1"/>
  <c r="P641" i="1"/>
  <c r="P597" i="1"/>
  <c r="P573" i="1"/>
  <c r="J675" i="1"/>
  <c r="J443" i="1"/>
  <c r="J629" i="1"/>
  <c r="J567" i="1"/>
  <c r="I2127" i="4"/>
  <c r="J640" i="1"/>
  <c r="J495" i="1"/>
  <c r="J482" i="1"/>
  <c r="J1668" i="4"/>
  <c r="J1667" i="4" s="1"/>
  <c r="J1621" i="4"/>
  <c r="J1620" i="4" s="1"/>
  <c r="J441" i="1"/>
  <c r="J2377" i="4"/>
  <c r="J2376" i="4" s="1"/>
  <c r="J2283" i="4"/>
  <c r="J2282" i="4" s="1"/>
  <c r="J1661" i="4"/>
  <c r="J1660" i="4" s="1"/>
  <c r="J1819" i="4"/>
  <c r="J1818" i="4" s="1"/>
  <c r="I1667" i="4"/>
  <c r="I1620" i="4"/>
  <c r="J2372" i="4"/>
  <c r="J2371" i="4" s="1"/>
  <c r="I2353" i="4"/>
  <c r="I2240" i="4"/>
  <c r="J1638" i="4"/>
  <c r="J1637" i="4" s="1"/>
  <c r="J442" i="1"/>
  <c r="I2272" i="4"/>
  <c r="J637" i="1" s="1"/>
  <c r="J635" i="1"/>
  <c r="I2138" i="4"/>
  <c r="J490" i="1"/>
  <c r="J1631" i="4"/>
  <c r="J1630" i="4" s="1"/>
  <c r="J624" i="1"/>
  <c r="J511" i="1"/>
  <c r="J1778" i="4"/>
  <c r="J1777" i="4" s="1"/>
  <c r="J668" i="1"/>
  <c r="J610" i="1"/>
  <c r="J598" i="1"/>
  <c r="J592" i="1"/>
  <c r="J686" i="1"/>
  <c r="J672" i="1"/>
  <c r="J670" i="1"/>
  <c r="J638" i="1"/>
  <c r="J631" i="1"/>
  <c r="J588" i="1"/>
  <c r="J537" i="1"/>
  <c r="J529" i="1"/>
  <c r="J527" i="1"/>
  <c r="J525" i="1"/>
  <c r="J523" i="1"/>
  <c r="J516" i="1"/>
  <c r="J493" i="1"/>
  <c r="J487" i="1"/>
  <c r="J485" i="1"/>
  <c r="J477" i="1"/>
  <c r="J469" i="1"/>
  <c r="J467" i="1"/>
  <c r="J462" i="1"/>
  <c r="J460" i="1"/>
  <c r="J449" i="1"/>
  <c r="J446" i="1"/>
  <c r="J556" i="1"/>
  <c r="J497" i="1"/>
  <c r="J496" i="1"/>
  <c r="J492" i="1"/>
  <c r="J502" i="1"/>
  <c r="J500" i="1"/>
  <c r="J2251" i="4"/>
  <c r="J2250" i="4" s="1"/>
  <c r="I2214" i="4"/>
  <c r="J2074" i="4"/>
  <c r="J2073" i="4" s="1"/>
  <c r="J656" i="1"/>
  <c r="J650" i="1"/>
  <c r="J648" i="1"/>
  <c r="J580" i="1"/>
  <c r="J2009" i="4"/>
  <c r="J2008" i="4" s="1"/>
  <c r="J481" i="1"/>
  <c r="J1730" i="4"/>
  <c r="J1729" i="4" s="1"/>
  <c r="J1725" i="4"/>
  <c r="J1724" i="4" s="1"/>
  <c r="J1696" i="4"/>
  <c r="J1695" i="4" s="1"/>
  <c r="J445" i="1"/>
  <c r="J444" i="1"/>
  <c r="J435" i="1"/>
  <c r="J674" i="1"/>
  <c r="J544" i="1"/>
  <c r="J543" i="1"/>
  <c r="J540" i="1"/>
  <c r="J488" i="1"/>
  <c r="J652" i="1"/>
  <c r="J452" i="1"/>
  <c r="J2257" i="4"/>
  <c r="J2256" i="4" s="1"/>
  <c r="I2234" i="4"/>
  <c r="J623" i="1"/>
  <c r="J622" i="1"/>
  <c r="J621" i="1"/>
  <c r="J620" i="1"/>
  <c r="J2154" i="4"/>
  <c r="J2153" i="4" s="1"/>
  <c r="J2082" i="4"/>
  <c r="J2081" i="4" s="1"/>
  <c r="J542" i="1"/>
  <c r="J1828" i="4"/>
  <c r="J1827" i="4" s="1"/>
  <c r="J1769" i="4"/>
  <c r="J1768" i="4" s="1"/>
  <c r="J464" i="1"/>
  <c r="J463" i="1"/>
  <c r="J440" i="1"/>
  <c r="J436" i="1"/>
  <c r="J600" i="1"/>
  <c r="J532" i="1"/>
  <c r="J475" i="1"/>
  <c r="J551" i="1"/>
  <c r="J1901" i="4"/>
  <c r="J1900" i="4" s="1"/>
  <c r="J574" i="1"/>
  <c r="J1912" i="4"/>
  <c r="J1911" i="4" s="1"/>
  <c r="J659" i="1"/>
  <c r="J2068" i="4"/>
  <c r="J2067" i="4" s="1"/>
  <c r="J506" i="1"/>
  <c r="J653" i="1"/>
  <c r="J679" i="1"/>
  <c r="J671" i="1"/>
  <c r="J663" i="1"/>
  <c r="J682" i="1"/>
  <c r="J575" i="1"/>
  <c r="J520" i="1"/>
  <c r="J514" i="1"/>
  <c r="J512" i="1"/>
  <c r="J1847" i="4"/>
  <c r="J1843" i="4" s="1"/>
  <c r="J501" i="1"/>
  <c r="J491" i="1"/>
  <c r="J486" i="1"/>
  <c r="J483" i="1"/>
  <c r="J476" i="1"/>
  <c r="J468" i="1"/>
  <c r="J466" i="1"/>
  <c r="J461" i="1"/>
  <c r="J455" i="1"/>
  <c r="J450" i="1"/>
  <c r="J448" i="1"/>
  <c r="J669" i="1"/>
  <c r="J646" i="1"/>
  <c r="J633" i="1"/>
  <c r="J577" i="1"/>
  <c r="J553" i="1"/>
  <c r="J538" i="1"/>
  <c r="J536" i="1"/>
  <c r="J534" i="1"/>
  <c r="J528" i="1"/>
  <c r="J526" i="1"/>
  <c r="J524" i="1"/>
  <c r="J504" i="1"/>
  <c r="I2198" i="4"/>
  <c r="J602" i="1"/>
  <c r="J571" i="1"/>
  <c r="J2057" i="4"/>
  <c r="J2056" i="4" s="1"/>
  <c r="J1991" i="4"/>
  <c r="J1990" i="4" s="1"/>
  <c r="J519" i="1"/>
  <c r="J498" i="1"/>
  <c r="J479" i="1"/>
  <c r="J447" i="1"/>
  <c r="J437" i="1"/>
  <c r="J657" i="1"/>
  <c r="J655" i="1"/>
  <c r="J649" i="1"/>
  <c r="J645" i="1"/>
  <c r="J2247" i="4"/>
  <c r="J2246" i="4" s="1"/>
  <c r="J2104" i="4"/>
  <c r="J2095" i="4" s="1"/>
  <c r="J582" i="1"/>
  <c r="J1865" i="4"/>
  <c r="J1864" i="4" s="1"/>
  <c r="J1780" i="4"/>
  <c r="J1779" i="4" s="1"/>
  <c r="J1754" i="4"/>
  <c r="J1753" i="4" s="1"/>
  <c r="J473" i="1"/>
  <c r="J470" i="1"/>
  <c r="J1706" i="4"/>
  <c r="J1705" i="4" s="1"/>
  <c r="J458" i="1"/>
  <c r="J456" i="1"/>
  <c r="J1647" i="4"/>
  <c r="J1646" i="4" s="1"/>
  <c r="J685" i="1"/>
  <c r="J535" i="1"/>
  <c r="J688" i="1"/>
  <c r="J541" i="1"/>
  <c r="J531" i="1"/>
  <c r="J509" i="1"/>
  <c r="J1790" i="4"/>
  <c r="J1789" i="4" s="1"/>
  <c r="J439" i="1"/>
  <c r="J566" i="1"/>
  <c r="J549" i="1"/>
  <c r="J484" i="1"/>
  <c r="J465" i="1"/>
  <c r="J522" i="1"/>
  <c r="J1645" i="4"/>
  <c r="J1644" i="4" s="1"/>
  <c r="J618" i="1"/>
  <c r="J578" i="1"/>
  <c r="J564" i="1"/>
  <c r="J552" i="1"/>
  <c r="J557" i="1"/>
  <c r="J2094" i="4"/>
  <c r="J2085" i="4" s="1"/>
  <c r="J472" i="1"/>
  <c r="J2373" i="4"/>
  <c r="J1610" i="4"/>
  <c r="J2267" i="4"/>
  <c r="J2258" i="4"/>
  <c r="J2115" i="4"/>
  <c r="J2114" i="4" s="1"/>
  <c r="I2114" i="4"/>
  <c r="J2119" i="4"/>
  <c r="J2118" i="4" s="1"/>
  <c r="I2118" i="4"/>
  <c r="J2263" i="4"/>
  <c r="J2345" i="4"/>
  <c r="J2344" i="4" s="1"/>
  <c r="I2344" i="4"/>
  <c r="J2341" i="4"/>
  <c r="J2339" i="4" s="1"/>
  <c r="I1768" i="4"/>
  <c r="I1660" i="4"/>
  <c r="J2199" i="4"/>
  <c r="J2198" i="4" s="1"/>
  <c r="J2215" i="4"/>
  <c r="J2214" i="4" s="1"/>
  <c r="J2128" i="4"/>
  <c r="J2127" i="4" s="1"/>
  <c r="I2056" i="4"/>
  <c r="I1990" i="4"/>
  <c r="I1729" i="4"/>
  <c r="I1864" i="4"/>
  <c r="J2383" i="4"/>
  <c r="J2382" i="4" s="1"/>
  <c r="I2382" i="4"/>
  <c r="J2333" i="4"/>
  <c r="J2332" i="4" s="1"/>
  <c r="I2332" i="4"/>
  <c r="J2213" i="4"/>
  <c r="J2212" i="4" s="1"/>
  <c r="I2212" i="4"/>
  <c r="J2126" i="4"/>
  <c r="J2125" i="4" s="1"/>
  <c r="I2125" i="4"/>
  <c r="J2055" i="4"/>
  <c r="J2054" i="4" s="1"/>
  <c r="I2054" i="4"/>
  <c r="J1989" i="4"/>
  <c r="J1988" i="4" s="1"/>
  <c r="I1988" i="4"/>
  <c r="J1799" i="4"/>
  <c r="J1798" i="4" s="1"/>
  <c r="I1798" i="4"/>
  <c r="J1742" i="4"/>
  <c r="J1741" i="4" s="1"/>
  <c r="I1741" i="4"/>
  <c r="J1688" i="4"/>
  <c r="J1687" i="4" s="1"/>
  <c r="I1687" i="4"/>
  <c r="J2394" i="4"/>
  <c r="J2393" i="4" s="1"/>
  <c r="I2393" i="4"/>
  <c r="J2379" i="4"/>
  <c r="J2378" i="4" s="1"/>
  <c r="I2378" i="4"/>
  <c r="J2352" i="4"/>
  <c r="J2351" i="4" s="1"/>
  <c r="I2351" i="4"/>
  <c r="J2209" i="4"/>
  <c r="J2208" i="4" s="1"/>
  <c r="I2208" i="4"/>
  <c r="J2072" i="4"/>
  <c r="J2071" i="4" s="1"/>
  <c r="I2071" i="4"/>
  <c r="I2246" i="4"/>
  <c r="I2095" i="4"/>
  <c r="J2007" i="4"/>
  <c r="J2006" i="4" s="1"/>
  <c r="I2006" i="4"/>
  <c r="J1985" i="4"/>
  <c r="J1984" i="4" s="1"/>
  <c r="I1984" i="4"/>
  <c r="J1694" i="4"/>
  <c r="J1693" i="4" s="1"/>
  <c r="I1693" i="4"/>
  <c r="J1666" i="4"/>
  <c r="J1665" i="4" s="1"/>
  <c r="I1665" i="4"/>
  <c r="J1899" i="4"/>
  <c r="J1897" i="4" s="1"/>
  <c r="I1897" i="4"/>
  <c r="J2396" i="4"/>
  <c r="J2395" i="4" s="1"/>
  <c r="I2395" i="4"/>
  <c r="J2381" i="4"/>
  <c r="J2380" i="4" s="1"/>
  <c r="I2380" i="4"/>
  <c r="J2343" i="4"/>
  <c r="J2342" i="4" s="1"/>
  <c r="I2342" i="4"/>
  <c r="J2288" i="4"/>
  <c r="J2287" i="4" s="1"/>
  <c r="I2287" i="4"/>
  <c r="J2239" i="4"/>
  <c r="J2238" i="4" s="1"/>
  <c r="I2238" i="4"/>
  <c r="J2211" i="4"/>
  <c r="J2210" i="4" s="1"/>
  <c r="I2210" i="4"/>
  <c r="J2195" i="4"/>
  <c r="J2194" i="4" s="1"/>
  <c r="I2194" i="4"/>
  <c r="J2169" i="4"/>
  <c r="J2168" i="4" s="1"/>
  <c r="I2168" i="4"/>
  <c r="J2148" i="4"/>
  <c r="J2147" i="4" s="1"/>
  <c r="I2147" i="4"/>
  <c r="J2141" i="4"/>
  <c r="J2140" i="4" s="1"/>
  <c r="I2140" i="4"/>
  <c r="J2132" i="4"/>
  <c r="J2131" i="4" s="1"/>
  <c r="I2131" i="4"/>
  <c r="J2117" i="4"/>
  <c r="J2116" i="4" s="1"/>
  <c r="I2116" i="4"/>
  <c r="J2078" i="4"/>
  <c r="J2077" i="4" s="1"/>
  <c r="I2077" i="4"/>
  <c r="J2053" i="4"/>
  <c r="J2052" i="4" s="1"/>
  <c r="I2052" i="4"/>
  <c r="J2032" i="4"/>
  <c r="J2031" i="4" s="1"/>
  <c r="I2031" i="4"/>
  <c r="J1995" i="4"/>
  <c r="J1994" i="4" s="1"/>
  <c r="I1994" i="4"/>
  <c r="J1948" i="4"/>
  <c r="J1947" i="4" s="1"/>
  <c r="I1947" i="4"/>
  <c r="J1910" i="4"/>
  <c r="J1909" i="4" s="1"/>
  <c r="I1909" i="4"/>
  <c r="J1894" i="4"/>
  <c r="J1893" i="4" s="1"/>
  <c r="I1893" i="4"/>
  <c r="J1869" i="4"/>
  <c r="J1868" i="4" s="1"/>
  <c r="I1868" i="4"/>
  <c r="J1830" i="4"/>
  <c r="J1829" i="4" s="1"/>
  <c r="I1829" i="4"/>
  <c r="J1817" i="4"/>
  <c r="J1816" i="4" s="1"/>
  <c r="I1816" i="4"/>
  <c r="I1843" i="4"/>
  <c r="J2357" i="4"/>
  <c r="J2355" i="4" s="1"/>
  <c r="I2355" i="4"/>
  <c r="J2254" i="4"/>
  <c r="J2252" i="4" s="1"/>
  <c r="I2252" i="4"/>
  <c r="J2124" i="4"/>
  <c r="J2123" i="4" s="1"/>
  <c r="I2123" i="4"/>
  <c r="J2084" i="4"/>
  <c r="J2083" i="4" s="1"/>
  <c r="I2083" i="4"/>
  <c r="J2061" i="4"/>
  <c r="J2060" i="4" s="1"/>
  <c r="I2060" i="4"/>
  <c r="J2046" i="4"/>
  <c r="J2045" i="4" s="1"/>
  <c r="I2045" i="4"/>
  <c r="J2005" i="4"/>
  <c r="J2004" i="4" s="1"/>
  <c r="I2004" i="4"/>
  <c r="J1987" i="4"/>
  <c r="J1986" i="4" s="1"/>
  <c r="I1986" i="4"/>
  <c r="J1939" i="4"/>
  <c r="J1938" i="4" s="1"/>
  <c r="I1938" i="4"/>
  <c r="J1888" i="4"/>
  <c r="J1887" i="4" s="1"/>
  <c r="I1887" i="4"/>
  <c r="J1882" i="4"/>
  <c r="J1881" i="4" s="1"/>
  <c r="I1881" i="4"/>
  <c r="J2403" i="4"/>
  <c r="J2402" i="4" s="1"/>
  <c r="I2402" i="4"/>
  <c r="J2388" i="4"/>
  <c r="J2387" i="4" s="1"/>
  <c r="I2387" i="4"/>
  <c r="J2350" i="4"/>
  <c r="J2349" i="4" s="1"/>
  <c r="I2349" i="4"/>
  <c r="J2219" i="4"/>
  <c r="J2218" i="4" s="1"/>
  <c r="I2218" i="4"/>
  <c r="J2203" i="4"/>
  <c r="J2202" i="4" s="1"/>
  <c r="I2202" i="4"/>
  <c r="N509" i="1" l="1"/>
  <c r="N584" i="1"/>
  <c r="A439" i="1"/>
  <c r="A817" i="1"/>
  <c r="J601" i="1"/>
  <c r="P584" i="1"/>
  <c r="J639" i="1"/>
  <c r="N467" i="1"/>
  <c r="N441" i="1"/>
  <c r="N435" i="1"/>
  <c r="J539" i="1"/>
  <c r="P557" i="1"/>
  <c r="P564" i="1"/>
  <c r="N618" i="1"/>
  <c r="N522" i="1"/>
  <c r="N484" i="1"/>
  <c r="N549" i="1"/>
  <c r="N645" i="1"/>
  <c r="N655" i="1"/>
  <c r="N437" i="1"/>
  <c r="N447" i="1"/>
  <c r="N498" i="1"/>
  <c r="N571" i="1"/>
  <c r="N602" i="1"/>
  <c r="N504" i="1"/>
  <c r="N534" i="1"/>
  <c r="N538" i="1"/>
  <c r="P646" i="1"/>
  <c r="N448" i="1"/>
  <c r="N455" i="1"/>
  <c r="N466" i="1"/>
  <c r="N476" i="1"/>
  <c r="N486" i="1"/>
  <c r="N501" i="1"/>
  <c r="N514" i="1"/>
  <c r="N575" i="1"/>
  <c r="N663" i="1"/>
  <c r="N679" i="1"/>
  <c r="N653" i="1"/>
  <c r="N506" i="1"/>
  <c r="N659" i="1"/>
  <c r="N574" i="1"/>
  <c r="N532" i="1"/>
  <c r="N440" i="1"/>
  <c r="N620" i="1"/>
  <c r="N621" i="1"/>
  <c r="N652" i="1"/>
  <c r="N540" i="1"/>
  <c r="N544" i="1"/>
  <c r="N445" i="1"/>
  <c r="N650" i="1"/>
  <c r="N656" i="1"/>
  <c r="N500" i="1"/>
  <c r="N492" i="1"/>
  <c r="N497" i="1"/>
  <c r="N446" i="1"/>
  <c r="N460" i="1"/>
  <c r="N462" i="1"/>
  <c r="N469" i="1"/>
  <c r="N477" i="1"/>
  <c r="N485" i="1"/>
  <c r="N487" i="1"/>
  <c r="N493" i="1"/>
  <c r="N516" i="1"/>
  <c r="N523" i="1"/>
  <c r="N525" i="1"/>
  <c r="N527" i="1"/>
  <c r="N529" i="1"/>
  <c r="N537" i="1"/>
  <c r="N588" i="1"/>
  <c r="N631" i="1"/>
  <c r="N638" i="1"/>
  <c r="N442" i="1"/>
  <c r="N482" i="1"/>
  <c r="N495" i="1"/>
  <c r="N640" i="1"/>
  <c r="N567" i="1"/>
  <c r="N629" i="1"/>
  <c r="P634" i="1"/>
  <c r="P654" i="1"/>
  <c r="P673" i="1"/>
  <c r="N553" i="1"/>
  <c r="N670" i="1"/>
  <c r="N672" i="1"/>
  <c r="N686" i="1"/>
  <c r="N592" i="1"/>
  <c r="P598" i="1"/>
  <c r="N610" i="1"/>
  <c r="N668" i="1"/>
  <c r="N511" i="1"/>
  <c r="N624" i="1"/>
  <c r="N490" i="1"/>
  <c r="N443" i="1"/>
  <c r="N675" i="1"/>
  <c r="N647" i="1"/>
  <c r="N613" i="1"/>
  <c r="N526" i="1"/>
  <c r="N634" i="1"/>
  <c r="P645" i="1"/>
  <c r="P649" i="1"/>
  <c r="P655" i="1"/>
  <c r="P657" i="1"/>
  <c r="P675" i="1"/>
  <c r="P688" i="1"/>
  <c r="P685" i="1"/>
  <c r="P669" i="1"/>
  <c r="P682" i="1"/>
  <c r="P663" i="1"/>
  <c r="P671" i="1"/>
  <c r="P679" i="1"/>
  <c r="P653" i="1"/>
  <c r="P659" i="1"/>
  <c r="P652" i="1"/>
  <c r="P674" i="1"/>
  <c r="P648" i="1"/>
  <c r="P650" i="1"/>
  <c r="P656" i="1"/>
  <c r="P647" i="1"/>
  <c r="P670" i="1"/>
  <c r="P672" i="1"/>
  <c r="P686" i="1"/>
  <c r="P668" i="1"/>
  <c r="J606" i="1"/>
  <c r="N654" i="1"/>
  <c r="N673" i="1"/>
  <c r="N636" i="1"/>
  <c r="P636" i="1"/>
  <c r="P472" i="1"/>
  <c r="P618" i="1"/>
  <c r="P465" i="1"/>
  <c r="P549" i="1"/>
  <c r="P439" i="1"/>
  <c r="P531" i="1"/>
  <c r="P541" i="1"/>
  <c r="P535" i="1"/>
  <c r="P456" i="1"/>
  <c r="P470" i="1"/>
  <c r="P582" i="1"/>
  <c r="P626" i="1"/>
  <c r="P447" i="1"/>
  <c r="P498" i="1"/>
  <c r="P571" i="1"/>
  <c r="P608" i="1"/>
  <c r="P524" i="1"/>
  <c r="P528" i="1"/>
  <c r="P536" i="1"/>
  <c r="P553" i="1"/>
  <c r="P448" i="1"/>
  <c r="P455" i="1"/>
  <c r="P466" i="1"/>
  <c r="P476" i="1"/>
  <c r="P486" i="1"/>
  <c r="P501" i="1"/>
  <c r="P520" i="1"/>
  <c r="P575" i="1"/>
  <c r="P551" i="1"/>
  <c r="P532" i="1"/>
  <c r="P436" i="1"/>
  <c r="P463" i="1"/>
  <c r="P542" i="1"/>
  <c r="P621" i="1"/>
  <c r="P623" i="1"/>
  <c r="P452" i="1"/>
  <c r="P488" i="1"/>
  <c r="P540" i="1"/>
  <c r="P544" i="1"/>
  <c r="P435" i="1"/>
  <c r="P444" i="1"/>
  <c r="P445" i="1"/>
  <c r="P481" i="1"/>
  <c r="P580" i="1"/>
  <c r="P500" i="1"/>
  <c r="P502" i="1"/>
  <c r="P492" i="1"/>
  <c r="P496" i="1"/>
  <c r="P497" i="1"/>
  <c r="P556" i="1"/>
  <c r="P446" i="1"/>
  <c r="P449" i="1"/>
  <c r="P460" i="1"/>
  <c r="P462" i="1"/>
  <c r="P467" i="1"/>
  <c r="P469" i="1"/>
  <c r="P477" i="1"/>
  <c r="P485" i="1"/>
  <c r="P487" i="1"/>
  <c r="P493" i="1"/>
  <c r="P516" i="1"/>
  <c r="P523" i="1"/>
  <c r="P525" i="1"/>
  <c r="P527" i="1"/>
  <c r="P529" i="1"/>
  <c r="P537" i="1"/>
  <c r="P588" i="1"/>
  <c r="P613" i="1"/>
  <c r="P631" i="1"/>
  <c r="P638" i="1"/>
  <c r="P592" i="1"/>
  <c r="P610" i="1"/>
  <c r="P511" i="1"/>
  <c r="P624" i="1"/>
  <c r="P490" i="1"/>
  <c r="P635" i="1"/>
  <c r="P552" i="1"/>
  <c r="P578" i="1"/>
  <c r="P522" i="1"/>
  <c r="P484" i="1"/>
  <c r="P566" i="1"/>
  <c r="P509" i="1"/>
  <c r="P458" i="1"/>
  <c r="P473" i="1"/>
  <c r="P637" i="1"/>
  <c r="P437" i="1"/>
  <c r="P479" i="1"/>
  <c r="P519" i="1"/>
  <c r="P602" i="1"/>
  <c r="P504" i="1"/>
  <c r="P526" i="1"/>
  <c r="P534" i="1"/>
  <c r="P538" i="1"/>
  <c r="P577" i="1"/>
  <c r="P633" i="1"/>
  <c r="P450" i="1"/>
  <c r="P461" i="1"/>
  <c r="P468" i="1"/>
  <c r="P483" i="1"/>
  <c r="P491" i="1"/>
  <c r="P512" i="1"/>
  <c r="P514" i="1"/>
  <c r="P506" i="1"/>
  <c r="P574" i="1"/>
  <c r="P475" i="1"/>
  <c r="P600" i="1"/>
  <c r="P440" i="1"/>
  <c r="P464" i="1"/>
  <c r="P620" i="1"/>
  <c r="P622" i="1"/>
  <c r="P543" i="1"/>
  <c r="N452" i="1"/>
  <c r="N488" i="1"/>
  <c r="N543" i="1"/>
  <c r="N674" i="1"/>
  <c r="N649" i="1"/>
  <c r="N657" i="1"/>
  <c r="N479" i="1"/>
  <c r="N519" i="1"/>
  <c r="N580" i="1"/>
  <c r="N608" i="1"/>
  <c r="N648" i="1"/>
  <c r="N524" i="1"/>
  <c r="N528" i="1"/>
  <c r="N536" i="1"/>
  <c r="N577" i="1"/>
  <c r="N633" i="1"/>
  <c r="N646" i="1"/>
  <c r="N669" i="1"/>
  <c r="N450" i="1"/>
  <c r="N483" i="1"/>
  <c r="N491" i="1"/>
  <c r="N512" i="1"/>
  <c r="N520" i="1"/>
  <c r="N682" i="1"/>
  <c r="N671" i="1"/>
  <c r="N444" i="1"/>
  <c r="N481" i="1"/>
  <c r="N502" i="1"/>
  <c r="N496" i="1"/>
  <c r="N556" i="1"/>
  <c r="N449" i="1"/>
  <c r="N461" i="1"/>
  <c r="N468" i="1"/>
  <c r="N622" i="1"/>
  <c r="N464" i="1"/>
  <c r="N436" i="1"/>
  <c r="N475" i="1"/>
  <c r="N623" i="1"/>
  <c r="N600" i="1"/>
  <c r="N463" i="1"/>
  <c r="N551" i="1"/>
  <c r="N542" i="1"/>
  <c r="P442" i="1"/>
  <c r="P441" i="1"/>
  <c r="P482" i="1"/>
  <c r="P495" i="1"/>
  <c r="P640" i="1"/>
  <c r="P567" i="1"/>
  <c r="P629" i="1"/>
  <c r="P443" i="1"/>
  <c r="N688" i="1"/>
  <c r="N637" i="1"/>
  <c r="N535" i="1"/>
  <c r="N473" i="1"/>
  <c r="N458" i="1"/>
  <c r="N552" i="1"/>
  <c r="N541" i="1"/>
  <c r="N472" i="1"/>
  <c r="N582" i="1"/>
  <c r="N626" i="1"/>
  <c r="N456" i="1"/>
  <c r="N470" i="1"/>
  <c r="N685" i="1"/>
  <c r="N531" i="1"/>
  <c r="N439" i="1"/>
  <c r="N578" i="1"/>
  <c r="N465" i="1"/>
  <c r="N566" i="1"/>
  <c r="J494" i="1"/>
  <c r="J499" i="1"/>
  <c r="J517" i="1"/>
  <c r="J579" i="1"/>
  <c r="J593" i="1"/>
  <c r="J604" i="1"/>
  <c r="J615" i="1"/>
  <c r="J642" i="1"/>
  <c r="J677" i="1"/>
  <c r="J545" i="1"/>
  <c r="J555" i="1"/>
  <c r="J676" i="1"/>
  <c r="J451" i="1"/>
  <c r="J628" i="1"/>
  <c r="J666" i="1"/>
  <c r="J438" i="1"/>
  <c r="J530" i="1"/>
  <c r="J554" i="1"/>
  <c r="J565" i="1"/>
  <c r="J667" i="1"/>
  <c r="N635" i="1"/>
  <c r="N598" i="1"/>
  <c r="J595" i="1"/>
  <c r="J454" i="1"/>
  <c r="J591" i="1"/>
  <c r="J619" i="1"/>
  <c r="J664" i="1"/>
  <c r="J687" i="1"/>
  <c r="J513" i="1"/>
  <c r="J515" i="1"/>
  <c r="J507" i="1"/>
  <c r="J521" i="1"/>
  <c r="J533" i="1"/>
  <c r="J550" i="1"/>
  <c r="J562" i="1"/>
  <c r="J568" i="1"/>
  <c r="J586" i="1"/>
  <c r="J596" i="1"/>
  <c r="J599" i="1"/>
  <c r="J607" i="1"/>
  <c r="J627" i="1"/>
  <c r="J661" i="1"/>
  <c r="J684" i="1"/>
  <c r="J518" i="1"/>
  <c r="J459" i="1"/>
  <c r="J583" i="1"/>
  <c r="J576" i="1"/>
  <c r="J614" i="1"/>
  <c r="J665" i="1"/>
  <c r="J683" i="1"/>
  <c r="J457" i="1"/>
  <c r="J474" i="1"/>
  <c r="J489" i="1"/>
  <c r="J547" i="1"/>
  <c r="J569" i="1"/>
  <c r="J590" i="1"/>
  <c r="J616" i="1"/>
  <c r="J658" i="1"/>
  <c r="J678" i="1"/>
  <c r="J505" i="1"/>
  <c r="J548" i="1"/>
  <c r="J660" i="1"/>
  <c r="J662" i="1"/>
  <c r="J625" i="1"/>
  <c r="J617" i="1"/>
  <c r="J611" i="1"/>
  <c r="J680" i="1"/>
  <c r="J546" i="1"/>
  <c r="J572" i="1"/>
  <c r="J581" i="1"/>
  <c r="J589" i="1"/>
  <c r="J632" i="1"/>
  <c r="J503" i="1"/>
  <c r="J630" i="1"/>
  <c r="J471" i="1"/>
  <c r="J570" i="1"/>
  <c r="J480" i="1"/>
  <c r="J587" i="1"/>
  <c r="J585" i="1"/>
  <c r="N557" i="1"/>
  <c r="N564" i="1"/>
  <c r="J609" i="1"/>
  <c r="I1609" i="4"/>
  <c r="J453" i="1"/>
  <c r="G242" i="1"/>
  <c r="G240" i="1"/>
  <c r="O229" i="1"/>
  <c r="M229" i="1"/>
  <c r="L229" i="1"/>
  <c r="K229" i="1"/>
  <c r="I229" i="1"/>
  <c r="H229" i="1"/>
  <c r="O197" i="1"/>
  <c r="M197" i="1"/>
  <c r="L197" i="1"/>
  <c r="K197" i="1"/>
  <c r="I197" i="1"/>
  <c r="H197" i="1"/>
  <c r="G197" i="1"/>
  <c r="O163" i="1"/>
  <c r="M163" i="1"/>
  <c r="L163" i="1"/>
  <c r="K163" i="1"/>
  <c r="I163" i="1"/>
  <c r="H163" i="1"/>
  <c r="G163" i="1"/>
  <c r="A105" i="1"/>
  <c r="O103" i="1"/>
  <c r="M103" i="1"/>
  <c r="L103" i="1"/>
  <c r="K103" i="1"/>
  <c r="I103" i="1"/>
  <c r="H103" i="1"/>
  <c r="G103" i="1"/>
  <c r="A106" i="1" l="1"/>
  <c r="N601" i="1"/>
  <c r="A440" i="1"/>
  <c r="N639" i="1"/>
  <c r="A818" i="1"/>
  <c r="N568" i="1"/>
  <c r="P601" i="1"/>
  <c r="P539" i="1"/>
  <c r="P639" i="1"/>
  <c r="N539" i="1"/>
  <c r="N583" i="1"/>
  <c r="P609" i="1"/>
  <c r="P480" i="1"/>
  <c r="N572" i="1"/>
  <c r="P617" i="1"/>
  <c r="N548" i="1"/>
  <c r="N616" i="1"/>
  <c r="P625" i="1"/>
  <c r="N569" i="1"/>
  <c r="N489" i="1"/>
  <c r="N457" i="1"/>
  <c r="N614" i="1"/>
  <c r="N518" i="1"/>
  <c r="N596" i="1"/>
  <c r="N586" i="1"/>
  <c r="N562" i="1"/>
  <c r="N533" i="1"/>
  <c r="N515" i="1"/>
  <c r="N687" i="1"/>
  <c r="P591" i="1"/>
  <c r="P454" i="1"/>
  <c r="P595" i="1"/>
  <c r="N565" i="1"/>
  <c r="N554" i="1"/>
  <c r="N530" i="1"/>
  <c r="P438" i="1"/>
  <c r="P666" i="1"/>
  <c r="P628" i="1"/>
  <c r="N451" i="1"/>
  <c r="N555" i="1"/>
  <c r="N545" i="1"/>
  <c r="N642" i="1"/>
  <c r="N615" i="1"/>
  <c r="N604" i="1"/>
  <c r="N593" i="1"/>
  <c r="N579" i="1"/>
  <c r="N517" i="1"/>
  <c r="N499" i="1"/>
  <c r="N494" i="1"/>
  <c r="N606" i="1"/>
  <c r="P667" i="1"/>
  <c r="P676" i="1"/>
  <c r="P677" i="1"/>
  <c r="P680" i="1"/>
  <c r="P662" i="1"/>
  <c r="P660" i="1"/>
  <c r="P678" i="1"/>
  <c r="P658" i="1"/>
  <c r="P683" i="1"/>
  <c r="P665" i="1"/>
  <c r="P684" i="1"/>
  <c r="P661" i="1"/>
  <c r="P687" i="1"/>
  <c r="P664" i="1"/>
  <c r="P606" i="1"/>
  <c r="N667" i="1"/>
  <c r="N676" i="1"/>
  <c r="N677" i="1"/>
  <c r="P585" i="1"/>
  <c r="P471" i="1"/>
  <c r="P503" i="1"/>
  <c r="P589" i="1"/>
  <c r="P546" i="1"/>
  <c r="P611" i="1"/>
  <c r="P453" i="1"/>
  <c r="N664" i="1"/>
  <c r="N678" i="1"/>
  <c r="N662" i="1"/>
  <c r="P565" i="1"/>
  <c r="P554" i="1"/>
  <c r="P530" i="1"/>
  <c r="P451" i="1"/>
  <c r="P555" i="1"/>
  <c r="P545" i="1"/>
  <c r="P642" i="1"/>
  <c r="P615" i="1"/>
  <c r="P604" i="1"/>
  <c r="P593" i="1"/>
  <c r="P579" i="1"/>
  <c r="P517" i="1"/>
  <c r="P499" i="1"/>
  <c r="P494" i="1"/>
  <c r="P587" i="1"/>
  <c r="P570" i="1"/>
  <c r="P630" i="1"/>
  <c r="P632" i="1"/>
  <c r="P581" i="1"/>
  <c r="P572" i="1"/>
  <c r="P548" i="1"/>
  <c r="P505" i="1"/>
  <c r="P616" i="1"/>
  <c r="P590" i="1"/>
  <c r="P569" i="1"/>
  <c r="P547" i="1"/>
  <c r="P489" i="1"/>
  <c r="P474" i="1"/>
  <c r="P457" i="1"/>
  <c r="P614" i="1"/>
  <c r="P576" i="1"/>
  <c r="P583" i="1"/>
  <c r="P459" i="1"/>
  <c r="P518" i="1"/>
  <c r="P627" i="1"/>
  <c r="P607" i="1"/>
  <c r="P599" i="1"/>
  <c r="P596" i="1"/>
  <c r="P586" i="1"/>
  <c r="P568" i="1"/>
  <c r="P562" i="1"/>
  <c r="P550" i="1"/>
  <c r="P533" i="1"/>
  <c r="P521" i="1"/>
  <c r="P507" i="1"/>
  <c r="P515" i="1"/>
  <c r="P513" i="1"/>
  <c r="P619" i="1"/>
  <c r="N570" i="1"/>
  <c r="N585" i="1"/>
  <c r="N591" i="1"/>
  <c r="N454" i="1"/>
  <c r="N595" i="1"/>
  <c r="J644" i="1"/>
  <c r="J510" i="1"/>
  <c r="N630" i="1"/>
  <c r="N589" i="1"/>
  <c r="N513" i="1"/>
  <c r="N680" i="1"/>
  <c r="N619" i="1"/>
  <c r="N505" i="1"/>
  <c r="N658" i="1"/>
  <c r="N590" i="1"/>
  <c r="N547" i="1"/>
  <c r="N474" i="1"/>
  <c r="N683" i="1"/>
  <c r="N665" i="1"/>
  <c r="N576" i="1"/>
  <c r="N459" i="1"/>
  <c r="N684" i="1"/>
  <c r="N661" i="1"/>
  <c r="N627" i="1"/>
  <c r="N607" i="1"/>
  <c r="N599" i="1"/>
  <c r="N550" i="1"/>
  <c r="N521" i="1"/>
  <c r="N507" i="1"/>
  <c r="N660" i="1"/>
  <c r="N587" i="1"/>
  <c r="N438" i="1"/>
  <c r="N666" i="1"/>
  <c r="N628" i="1"/>
  <c r="J558" i="1"/>
  <c r="N471" i="1"/>
  <c r="N503" i="1"/>
  <c r="N632" i="1"/>
  <c r="N581" i="1"/>
  <c r="N546" i="1"/>
  <c r="N611" i="1"/>
  <c r="N609" i="1"/>
  <c r="N480" i="1"/>
  <c r="N617" i="1"/>
  <c r="N625" i="1"/>
  <c r="G229" i="1"/>
  <c r="I102" i="1"/>
  <c r="L102" i="1"/>
  <c r="O102" i="1"/>
  <c r="H102" i="1"/>
  <c r="K102" i="1"/>
  <c r="M102" i="1"/>
  <c r="N453" i="1"/>
  <c r="J434" i="1"/>
  <c r="K788" i="4"/>
  <c r="K785" i="4"/>
  <c r="K808" i="4"/>
  <c r="K806" i="4"/>
  <c r="K805" i="4"/>
  <c r="K803" i="4"/>
  <c r="K802" i="4"/>
  <c r="K800" i="4"/>
  <c r="K799" i="4"/>
  <c r="K797" i="4"/>
  <c r="K796" i="4"/>
  <c r="K794" i="4"/>
  <c r="K793" i="4"/>
  <c r="K791" i="4"/>
  <c r="K790" i="4"/>
  <c r="K787" i="4"/>
  <c r="K784" i="4"/>
  <c r="A819" i="1" l="1"/>
  <c r="A441" i="1"/>
  <c r="A107" i="1"/>
  <c r="N644" i="1"/>
  <c r="N510" i="1"/>
  <c r="G102" i="1"/>
  <c r="N558" i="1"/>
  <c r="N434" i="1"/>
  <c r="J433" i="1"/>
  <c r="K810" i="4"/>
  <c r="K809" i="4"/>
  <c r="K807" i="4"/>
  <c r="K804" i="4"/>
  <c r="K801" i="4"/>
  <c r="K798" i="4"/>
  <c r="K795" i="4"/>
  <c r="K792" i="4"/>
  <c r="K789" i="4"/>
  <c r="K786" i="4"/>
  <c r="J810" i="4"/>
  <c r="J809" i="4"/>
  <c r="J807" i="4"/>
  <c r="J806" i="4"/>
  <c r="J804" i="4"/>
  <c r="J803" i="4"/>
  <c r="J801" i="4"/>
  <c r="J800" i="4"/>
  <c r="J798" i="4"/>
  <c r="J797" i="4"/>
  <c r="J795" i="4"/>
  <c r="J794" i="4"/>
  <c r="J792" i="4"/>
  <c r="J791" i="4"/>
  <c r="J789" i="4"/>
  <c r="J788" i="4"/>
  <c r="J786" i="4"/>
  <c r="J785" i="4"/>
  <c r="A442" i="1" l="1"/>
  <c r="A108" i="1"/>
  <c r="A820" i="1"/>
  <c r="N433" i="1"/>
  <c r="K1049" i="4"/>
  <c r="J1049" i="4"/>
  <c r="K1048" i="4"/>
  <c r="J1048" i="4"/>
  <c r="K1047" i="4"/>
  <c r="I1046" i="4"/>
  <c r="J1045" i="4"/>
  <c r="J1044" i="4"/>
  <c r="K1043" i="4"/>
  <c r="Q261" i="1" s="1"/>
  <c r="I1043" i="4"/>
  <c r="J1042" i="4"/>
  <c r="J1041" i="4"/>
  <c r="K1040" i="4"/>
  <c r="Q260" i="1" s="1"/>
  <c r="I1040" i="4"/>
  <c r="K1039" i="4"/>
  <c r="J1039" i="4"/>
  <c r="K1038" i="4"/>
  <c r="J1038" i="4"/>
  <c r="K1037" i="4"/>
  <c r="K1036" i="4"/>
  <c r="J1036" i="4"/>
  <c r="K1035" i="4"/>
  <c r="J1035" i="4"/>
  <c r="K1034" i="4"/>
  <c r="K1033" i="4"/>
  <c r="J1033" i="4"/>
  <c r="K1032" i="4"/>
  <c r="J1032" i="4"/>
  <c r="K1031" i="4"/>
  <c r="I1030" i="4"/>
  <c r="I1029" i="4"/>
  <c r="K1028" i="4"/>
  <c r="I1028" i="4" s="1"/>
  <c r="I1026" i="4"/>
  <c r="K1025" i="4"/>
  <c r="K1024" i="4" s="1"/>
  <c r="Q257" i="1" s="1"/>
  <c r="I1025" i="4"/>
  <c r="K1023" i="4"/>
  <c r="J1023" i="4"/>
  <c r="K1022" i="4"/>
  <c r="J1022" i="4"/>
  <c r="K1021" i="4"/>
  <c r="K1020" i="4"/>
  <c r="J1020" i="4"/>
  <c r="K1019" i="4"/>
  <c r="J1019" i="4"/>
  <c r="K1018" i="4"/>
  <c r="K1017" i="4"/>
  <c r="J1017" i="4"/>
  <c r="K1016" i="4"/>
  <c r="J1016" i="4"/>
  <c r="K1015" i="4"/>
  <c r="I1014" i="4"/>
  <c r="I1013" i="4"/>
  <c r="I1011" i="4" s="1"/>
  <c r="K1012" i="4"/>
  <c r="J1012" i="4"/>
  <c r="K1011" i="4"/>
  <c r="Q255" i="1" s="1"/>
  <c r="I1010" i="4"/>
  <c r="I1008" i="4" s="1"/>
  <c r="K1009" i="4"/>
  <c r="J1009" i="4"/>
  <c r="K1008" i="4"/>
  <c r="Q254" i="1" s="1"/>
  <c r="K1007" i="4"/>
  <c r="J1007" i="4"/>
  <c r="K1006" i="4"/>
  <c r="J1006" i="4"/>
  <c r="K1005" i="4"/>
  <c r="K1004" i="4"/>
  <c r="J1004" i="4"/>
  <c r="K1003" i="4"/>
  <c r="J1003" i="4"/>
  <c r="K1002" i="4"/>
  <c r="K1001" i="4"/>
  <c r="J1001" i="4"/>
  <c r="K1000" i="4"/>
  <c r="J1000" i="4"/>
  <c r="K999" i="4"/>
  <c r="K998" i="4"/>
  <c r="J998" i="4"/>
  <c r="K997" i="4"/>
  <c r="J997" i="4"/>
  <c r="K996" i="4"/>
  <c r="I995" i="4"/>
  <c r="I994" i="4"/>
  <c r="K993" i="4"/>
  <c r="J993" i="4"/>
  <c r="K992" i="4"/>
  <c r="Q252" i="1" s="1"/>
  <c r="I992" i="4"/>
  <c r="I991" i="4"/>
  <c r="I989" i="4" s="1"/>
  <c r="K990" i="4"/>
  <c r="K989" i="4" s="1"/>
  <c r="Q251" i="1" s="1"/>
  <c r="J990" i="4"/>
  <c r="I988" i="4"/>
  <c r="K987" i="4"/>
  <c r="K985" i="4"/>
  <c r="J985" i="4"/>
  <c r="K984" i="4"/>
  <c r="J984" i="4"/>
  <c r="K983" i="4"/>
  <c r="K982" i="4"/>
  <c r="J982" i="4"/>
  <c r="K981" i="4"/>
  <c r="J981" i="4"/>
  <c r="K980" i="4"/>
  <c r="I979" i="4"/>
  <c r="K978" i="4"/>
  <c r="J978" i="4"/>
  <c r="K977" i="4"/>
  <c r="J977" i="4"/>
  <c r="J976" i="4"/>
  <c r="J975" i="4"/>
  <c r="J974" i="4"/>
  <c r="J973" i="4"/>
  <c r="J972" i="4"/>
  <c r="J971" i="4"/>
  <c r="K970" i="4"/>
  <c r="Q248" i="1" s="1"/>
  <c r="I970" i="4"/>
  <c r="K969" i="4"/>
  <c r="J969" i="4"/>
  <c r="K968" i="4"/>
  <c r="J968" i="4"/>
  <c r="K967" i="4"/>
  <c r="I966" i="4"/>
  <c r="K965" i="4"/>
  <c r="J965" i="4"/>
  <c r="K964" i="4"/>
  <c r="J964" i="4"/>
  <c r="K963" i="4"/>
  <c r="K962" i="4"/>
  <c r="J962" i="4"/>
  <c r="K961" i="4"/>
  <c r="J961" i="4"/>
  <c r="K960" i="4"/>
  <c r="K959" i="4"/>
  <c r="J959" i="4"/>
  <c r="K958" i="4"/>
  <c r="J958" i="4"/>
  <c r="K957" i="4"/>
  <c r="K956" i="4"/>
  <c r="J956" i="4"/>
  <c r="K955" i="4"/>
  <c r="J955" i="4"/>
  <c r="K954" i="4"/>
  <c r="I953" i="4"/>
  <c r="K952" i="4"/>
  <c r="J952" i="4"/>
  <c r="K951" i="4"/>
  <c r="J951" i="4"/>
  <c r="K950" i="4"/>
  <c r="K949" i="4"/>
  <c r="J949" i="4"/>
  <c r="K948" i="4"/>
  <c r="J948" i="4"/>
  <c r="K947" i="4"/>
  <c r="I946" i="4"/>
  <c r="K945" i="4"/>
  <c r="J943" i="4"/>
  <c r="J942" i="4"/>
  <c r="K941" i="4"/>
  <c r="Q243" i="1" s="1"/>
  <c r="I941" i="4"/>
  <c r="I940" i="4"/>
  <c r="K939" i="4"/>
  <c r="I939" i="4"/>
  <c r="K938" i="4"/>
  <c r="Q242" i="1" s="1"/>
  <c r="J937" i="4"/>
  <c r="J936" i="4"/>
  <c r="K935" i="4"/>
  <c r="Q241" i="1" s="1"/>
  <c r="I935" i="4"/>
  <c r="I934" i="4"/>
  <c r="K933" i="4"/>
  <c r="K932" i="4" s="1"/>
  <c r="Q240" i="1" s="1"/>
  <c r="I933" i="4"/>
  <c r="I931" i="4"/>
  <c r="K930" i="4"/>
  <c r="I930" i="4"/>
  <c r="K929" i="4"/>
  <c r="Q239" i="1" s="1"/>
  <c r="I928" i="4"/>
  <c r="K927" i="4"/>
  <c r="K926" i="4" s="1"/>
  <c r="Q238" i="1" s="1"/>
  <c r="I927" i="4"/>
  <c r="J925" i="4"/>
  <c r="J924" i="4"/>
  <c r="J923" i="4"/>
  <c r="J922" i="4"/>
  <c r="K921" i="4"/>
  <c r="Q237" i="1" s="1"/>
  <c r="I921" i="4"/>
  <c r="K919" i="4"/>
  <c r="K918" i="4" s="1"/>
  <c r="Q236" i="1" s="1"/>
  <c r="I919" i="4"/>
  <c r="K916" i="4"/>
  <c r="K915" i="4" s="1"/>
  <c r="Q235" i="1" s="1"/>
  <c r="I916" i="4"/>
  <c r="I914" i="4"/>
  <c r="K913" i="4"/>
  <c r="K912" i="4" s="1"/>
  <c r="Q234" i="1" s="1"/>
  <c r="J913" i="4"/>
  <c r="I911" i="4"/>
  <c r="K910" i="4"/>
  <c r="K909" i="4" s="1"/>
  <c r="Q233" i="1" s="1"/>
  <c r="J910" i="4"/>
  <c r="K908" i="4"/>
  <c r="J908" i="4"/>
  <c r="K907" i="4"/>
  <c r="J907" i="4"/>
  <c r="K906" i="4"/>
  <c r="K905" i="4"/>
  <c r="J905" i="4"/>
  <c r="K904" i="4"/>
  <c r="J904" i="4"/>
  <c r="K903" i="4"/>
  <c r="I902" i="4"/>
  <c r="K901" i="4"/>
  <c r="J901" i="4"/>
  <c r="K900" i="4"/>
  <c r="J900" i="4"/>
  <c r="K899" i="4"/>
  <c r="I898" i="4"/>
  <c r="I897" i="4"/>
  <c r="K896" i="4"/>
  <c r="K895" i="4" s="1"/>
  <c r="Q230" i="1" s="1"/>
  <c r="J896" i="4"/>
  <c r="I895" i="4"/>
  <c r="K894" i="4"/>
  <c r="J894" i="4"/>
  <c r="K893" i="4"/>
  <c r="J893" i="4"/>
  <c r="K892" i="4"/>
  <c r="K891" i="4"/>
  <c r="J891" i="4"/>
  <c r="K890" i="4"/>
  <c r="J890" i="4"/>
  <c r="K889" i="4"/>
  <c r="K888" i="4"/>
  <c r="J888" i="4"/>
  <c r="K887" i="4"/>
  <c r="J887" i="4"/>
  <c r="K886" i="4"/>
  <c r="K885" i="4"/>
  <c r="J885" i="4"/>
  <c r="K884" i="4"/>
  <c r="J884" i="4"/>
  <c r="K883" i="4"/>
  <c r="I882" i="4"/>
  <c r="J881" i="4"/>
  <c r="J880" i="4"/>
  <c r="K879" i="4"/>
  <c r="Q227" i="1" s="1"/>
  <c r="I879" i="4"/>
  <c r="J878" i="4"/>
  <c r="J877" i="4"/>
  <c r="K876" i="4"/>
  <c r="Q226" i="1" s="1"/>
  <c r="I876" i="4"/>
  <c r="I875" i="4"/>
  <c r="K874" i="4"/>
  <c r="K873" i="4" s="1"/>
  <c r="Q225" i="1" s="1"/>
  <c r="I874" i="4"/>
  <c r="I872" i="4"/>
  <c r="K871" i="4"/>
  <c r="K870" i="4" s="1"/>
  <c r="Q224" i="1" s="1"/>
  <c r="I871" i="4"/>
  <c r="I869" i="4"/>
  <c r="K868" i="4"/>
  <c r="I868" i="4"/>
  <c r="K867" i="4"/>
  <c r="Q223" i="1" s="1"/>
  <c r="I866" i="4"/>
  <c r="K865" i="4"/>
  <c r="J865" i="4"/>
  <c r="K864" i="4"/>
  <c r="Q222" i="1" s="1"/>
  <c r="I864" i="4"/>
  <c r="J863" i="4"/>
  <c r="J862" i="4"/>
  <c r="K861" i="4"/>
  <c r="Q221" i="1" s="1"/>
  <c r="I861" i="4"/>
  <c r="J860" i="4"/>
  <c r="J859" i="4"/>
  <c r="K858" i="4"/>
  <c r="Q220" i="1" s="1"/>
  <c r="I858" i="4"/>
  <c r="J857" i="4"/>
  <c r="J856" i="4"/>
  <c r="K855" i="4"/>
  <c r="Q219" i="1" s="1"/>
  <c r="I855" i="4"/>
  <c r="J854" i="4"/>
  <c r="J853" i="4"/>
  <c r="K852" i="4"/>
  <c r="Q218" i="1" s="1"/>
  <c r="I852" i="4"/>
  <c r="J851" i="4"/>
  <c r="J850" i="4"/>
  <c r="K849" i="4"/>
  <c r="Q217" i="1" s="1"/>
  <c r="I849" i="4"/>
  <c r="J848" i="4"/>
  <c r="J847" i="4"/>
  <c r="K846" i="4"/>
  <c r="Q216" i="1" s="1"/>
  <c r="I846" i="4"/>
  <c r="J845" i="4"/>
  <c r="J844" i="4"/>
  <c r="K843" i="4"/>
  <c r="Q215" i="1" s="1"/>
  <c r="I843" i="4"/>
  <c r="J842" i="4"/>
  <c r="I841" i="4"/>
  <c r="K840" i="4"/>
  <c r="Q214" i="1" s="1"/>
  <c r="J839" i="4"/>
  <c r="J838" i="4"/>
  <c r="K837" i="4"/>
  <c r="Q213" i="1" s="1"/>
  <c r="I837" i="4"/>
  <c r="K836" i="4"/>
  <c r="J836" i="4"/>
  <c r="K835" i="4"/>
  <c r="J835" i="4"/>
  <c r="K834" i="4"/>
  <c r="K833" i="4"/>
  <c r="J833" i="4"/>
  <c r="K832" i="4"/>
  <c r="J832" i="4"/>
  <c r="K831" i="4"/>
  <c r="K830" i="4"/>
  <c r="J830" i="4"/>
  <c r="K829" i="4"/>
  <c r="J829" i="4"/>
  <c r="K828" i="4"/>
  <c r="I827" i="4"/>
  <c r="K826" i="4"/>
  <c r="J826" i="4"/>
  <c r="K825" i="4"/>
  <c r="J825" i="4"/>
  <c r="K824" i="4"/>
  <c r="K823" i="4"/>
  <c r="J823" i="4"/>
  <c r="K822" i="4"/>
  <c r="J822" i="4"/>
  <c r="K821" i="4"/>
  <c r="K820" i="4"/>
  <c r="J820" i="4"/>
  <c r="K819" i="4"/>
  <c r="J819" i="4"/>
  <c r="K818" i="4"/>
  <c r="K817" i="4"/>
  <c r="J817" i="4"/>
  <c r="K816" i="4"/>
  <c r="J816" i="4"/>
  <c r="K815" i="4"/>
  <c r="K814" i="4"/>
  <c r="J814" i="4"/>
  <c r="K813" i="4"/>
  <c r="J813" i="4"/>
  <c r="K812" i="4"/>
  <c r="I811" i="4"/>
  <c r="J783" i="4"/>
  <c r="K783" i="4"/>
  <c r="Q210" i="1" s="1"/>
  <c r="I783" i="4"/>
  <c r="K782" i="4"/>
  <c r="I782" i="4"/>
  <c r="K781" i="4"/>
  <c r="J781" i="4"/>
  <c r="K780" i="4"/>
  <c r="K779" i="4"/>
  <c r="I779" i="4"/>
  <c r="K778" i="4"/>
  <c r="J778" i="4"/>
  <c r="K777" i="4"/>
  <c r="K776" i="4"/>
  <c r="J776" i="4"/>
  <c r="K775" i="4"/>
  <c r="J775" i="4"/>
  <c r="K774" i="4"/>
  <c r="K773" i="4"/>
  <c r="J773" i="4"/>
  <c r="K772" i="4"/>
  <c r="J772" i="4"/>
  <c r="K771" i="4"/>
  <c r="K770" i="4"/>
  <c r="J770" i="4"/>
  <c r="K769" i="4"/>
  <c r="J769" i="4"/>
  <c r="K768" i="4"/>
  <c r="I766" i="4"/>
  <c r="K765" i="4"/>
  <c r="K764" i="4" s="1"/>
  <c r="Q208" i="1" s="1"/>
  <c r="J765" i="4"/>
  <c r="K763" i="4"/>
  <c r="I763" i="4"/>
  <c r="K762" i="4"/>
  <c r="I762" i="4"/>
  <c r="K761" i="4"/>
  <c r="I761" i="4" s="1"/>
  <c r="K760" i="4"/>
  <c r="I760" i="4"/>
  <c r="K758" i="4"/>
  <c r="I758" i="4"/>
  <c r="K757" i="4"/>
  <c r="I757" i="4"/>
  <c r="K756" i="4"/>
  <c r="I756" i="4" s="1"/>
  <c r="K755" i="4"/>
  <c r="I755" i="4"/>
  <c r="I753" i="4"/>
  <c r="K752" i="4"/>
  <c r="J752" i="4"/>
  <c r="I751" i="4"/>
  <c r="K750" i="4"/>
  <c r="J750" i="4"/>
  <c r="I749" i="4"/>
  <c r="K748" i="4"/>
  <c r="J748" i="4"/>
  <c r="I747" i="4"/>
  <c r="K746" i="4"/>
  <c r="J746" i="4"/>
  <c r="K744" i="4"/>
  <c r="J744" i="4"/>
  <c r="K743" i="4"/>
  <c r="J743" i="4"/>
  <c r="K742" i="4"/>
  <c r="K741" i="4"/>
  <c r="J741" i="4"/>
  <c r="K740" i="4"/>
  <c r="J740" i="4"/>
  <c r="K739" i="4"/>
  <c r="K738" i="4"/>
  <c r="J738" i="4"/>
  <c r="K737" i="4"/>
  <c r="J737" i="4"/>
  <c r="K736" i="4"/>
  <c r="K735" i="4"/>
  <c r="J735" i="4"/>
  <c r="K734" i="4"/>
  <c r="J734" i="4"/>
  <c r="K733" i="4"/>
  <c r="K732" i="4"/>
  <c r="J732" i="4"/>
  <c r="K731" i="4"/>
  <c r="J731" i="4"/>
  <c r="K730" i="4"/>
  <c r="K729" i="4"/>
  <c r="J729" i="4"/>
  <c r="K728" i="4"/>
  <c r="J728" i="4"/>
  <c r="K727" i="4"/>
  <c r="I726" i="4"/>
  <c r="J725" i="4"/>
  <c r="J724" i="4"/>
  <c r="K723" i="4"/>
  <c r="Q203" i="1" s="1"/>
  <c r="I723" i="4"/>
  <c r="J722" i="4"/>
  <c r="J721" i="4"/>
  <c r="K720" i="4"/>
  <c r="Q202" i="1" s="1"/>
  <c r="I720" i="4"/>
  <c r="J719" i="4"/>
  <c r="J718" i="4"/>
  <c r="K717" i="4"/>
  <c r="Q201" i="1" s="1"/>
  <c r="I717" i="4"/>
  <c r="K716" i="4"/>
  <c r="J716" i="4"/>
  <c r="K715" i="4"/>
  <c r="J715" i="4"/>
  <c r="K714" i="4"/>
  <c r="K713" i="4"/>
  <c r="J713" i="4"/>
  <c r="K712" i="4"/>
  <c r="J712" i="4"/>
  <c r="K711" i="4"/>
  <c r="K710" i="4"/>
  <c r="J710" i="4"/>
  <c r="K709" i="4"/>
  <c r="J709" i="4"/>
  <c r="K708" i="4"/>
  <c r="K707" i="4"/>
  <c r="J707" i="4"/>
  <c r="K706" i="4"/>
  <c r="J706" i="4"/>
  <c r="K705" i="4"/>
  <c r="I704" i="4"/>
  <c r="K703" i="4"/>
  <c r="I703" i="4"/>
  <c r="K702" i="4"/>
  <c r="J702" i="4"/>
  <c r="K701" i="4"/>
  <c r="I700" i="4"/>
  <c r="K699" i="4"/>
  <c r="I699" i="4"/>
  <c r="K698" i="4"/>
  <c r="J698" i="4"/>
  <c r="K697" i="4"/>
  <c r="K696" i="4"/>
  <c r="I696" i="4"/>
  <c r="K695" i="4"/>
  <c r="J695" i="4"/>
  <c r="K694" i="4"/>
  <c r="J692" i="4"/>
  <c r="J691" i="4"/>
  <c r="K690" i="4"/>
  <c r="Q196" i="1" s="1"/>
  <c r="I690" i="4"/>
  <c r="K689" i="4"/>
  <c r="J689" i="4"/>
  <c r="J688" i="4" s="1"/>
  <c r="K688" i="4"/>
  <c r="Q195" i="1" s="1"/>
  <c r="I688" i="4"/>
  <c r="J687" i="4"/>
  <c r="J686" i="4"/>
  <c r="K685" i="4"/>
  <c r="Q194" i="1" s="1"/>
  <c r="I685" i="4"/>
  <c r="I684" i="4"/>
  <c r="J683" i="4"/>
  <c r="J682" i="4"/>
  <c r="J681" i="4"/>
  <c r="J680" i="4"/>
  <c r="J679" i="4"/>
  <c r="J678" i="4"/>
  <c r="J677" i="4"/>
  <c r="J676" i="4"/>
  <c r="J675" i="4"/>
  <c r="J674" i="4"/>
  <c r="J673" i="4"/>
  <c r="K672" i="4"/>
  <c r="Q193" i="1" s="1"/>
  <c r="K671" i="4"/>
  <c r="K670" i="4" s="1"/>
  <c r="Q192" i="1" s="1"/>
  <c r="J671" i="4"/>
  <c r="J670" i="4" s="1"/>
  <c r="I670" i="4"/>
  <c r="J669" i="4"/>
  <c r="J668" i="4"/>
  <c r="K667" i="4"/>
  <c r="Q191" i="1" s="1"/>
  <c r="I667" i="4"/>
  <c r="I666" i="4"/>
  <c r="K665" i="4"/>
  <c r="K664" i="4" s="1"/>
  <c r="Q190" i="1" s="1"/>
  <c r="I665" i="4"/>
  <c r="K663" i="4"/>
  <c r="I661" i="4"/>
  <c r="I659" i="4" s="1"/>
  <c r="K660" i="4"/>
  <c r="K659" i="4" s="1"/>
  <c r="Q188" i="1" s="1"/>
  <c r="J660" i="4"/>
  <c r="I658" i="4"/>
  <c r="K657" i="4"/>
  <c r="K656" i="4" s="1"/>
  <c r="Q187" i="1" s="1"/>
  <c r="K655" i="4"/>
  <c r="K654" i="4" s="1"/>
  <c r="Q186" i="1" s="1"/>
  <c r="I655" i="4"/>
  <c r="I654" i="4" s="1"/>
  <c r="K653" i="4"/>
  <c r="J653" i="4"/>
  <c r="J652" i="4" s="1"/>
  <c r="K652" i="4"/>
  <c r="Q185" i="1" s="1"/>
  <c r="I652" i="4"/>
  <c r="J651" i="4"/>
  <c r="J650" i="4"/>
  <c r="K649" i="4"/>
  <c r="Q184" i="1" s="1"/>
  <c r="I649" i="4"/>
  <c r="J648" i="4"/>
  <c r="K647" i="4"/>
  <c r="Q183" i="1" s="1"/>
  <c r="J647" i="4"/>
  <c r="I647" i="4"/>
  <c r="J646" i="4"/>
  <c r="J645" i="4"/>
  <c r="K644" i="4"/>
  <c r="Q182" i="1" s="1"/>
  <c r="I644" i="4"/>
  <c r="I643" i="4"/>
  <c r="K642" i="4"/>
  <c r="K641" i="4" s="1"/>
  <c r="Q181" i="1" s="1"/>
  <c r="J642" i="4"/>
  <c r="I641" i="4"/>
  <c r="I640" i="4"/>
  <c r="K639" i="4"/>
  <c r="K638" i="4" s="1"/>
  <c r="Q180" i="1" s="1"/>
  <c r="I639" i="4"/>
  <c r="I637" i="4"/>
  <c r="K636" i="4"/>
  <c r="K635" i="4" s="1"/>
  <c r="Q179" i="1" s="1"/>
  <c r="J636" i="4"/>
  <c r="I634" i="4"/>
  <c r="K633" i="4"/>
  <c r="I633" i="4"/>
  <c r="I632" i="4"/>
  <c r="K631" i="4"/>
  <c r="I631" i="4"/>
  <c r="I630" i="4"/>
  <c r="K629" i="4"/>
  <c r="I629" i="4"/>
  <c r="K626" i="4"/>
  <c r="K625" i="4" s="1"/>
  <c r="Q177" i="1" s="1"/>
  <c r="I626" i="4"/>
  <c r="I624" i="4"/>
  <c r="K623" i="4"/>
  <c r="K622" i="4" s="1"/>
  <c r="Q176" i="1" s="1"/>
  <c r="J623" i="4"/>
  <c r="J621" i="4"/>
  <c r="J620" i="4"/>
  <c r="K619" i="4"/>
  <c r="Q175" i="1" s="1"/>
  <c r="I619" i="4"/>
  <c r="J618" i="4"/>
  <c r="J617" i="4"/>
  <c r="K616" i="4"/>
  <c r="Q174" i="1" s="1"/>
  <c r="I616" i="4"/>
  <c r="K615" i="4"/>
  <c r="K614" i="4" s="1"/>
  <c r="Q173" i="1" s="1"/>
  <c r="I615" i="4"/>
  <c r="I613" i="4"/>
  <c r="K612" i="4"/>
  <c r="K611" i="4" s="1"/>
  <c r="Q172" i="1" s="1"/>
  <c r="I612" i="4"/>
  <c r="K610" i="4"/>
  <c r="J610" i="4"/>
  <c r="K609" i="4"/>
  <c r="J609" i="4"/>
  <c r="K608" i="4"/>
  <c r="K607" i="4"/>
  <c r="J607" i="4"/>
  <c r="K606" i="4"/>
  <c r="J606" i="4"/>
  <c r="K605" i="4"/>
  <c r="I604" i="4"/>
  <c r="I603" i="4"/>
  <c r="K602" i="4"/>
  <c r="J602" i="4"/>
  <c r="I601" i="4"/>
  <c r="K600" i="4"/>
  <c r="J600" i="4"/>
  <c r="I599" i="4"/>
  <c r="K598" i="4"/>
  <c r="J596" i="4"/>
  <c r="J595" i="4"/>
  <c r="K594" i="4"/>
  <c r="Q169" i="1" s="1"/>
  <c r="I594" i="4"/>
  <c r="I593" i="4"/>
  <c r="K592" i="4"/>
  <c r="K591" i="4" s="1"/>
  <c r="Q168" i="1" s="1"/>
  <c r="J592" i="4"/>
  <c r="I590" i="4"/>
  <c r="K589" i="4"/>
  <c r="K588" i="4" s="1"/>
  <c r="Q167" i="1" s="1"/>
  <c r="I589" i="4"/>
  <c r="J587" i="4"/>
  <c r="J586" i="4"/>
  <c r="K585" i="4"/>
  <c r="Q166" i="1" s="1"/>
  <c r="I585" i="4"/>
  <c r="J584" i="4"/>
  <c r="J583" i="4"/>
  <c r="K582" i="4"/>
  <c r="Q165" i="1" s="1"/>
  <c r="I582" i="4"/>
  <c r="I581" i="4"/>
  <c r="K580" i="4"/>
  <c r="K579" i="4" s="1"/>
  <c r="Q164" i="1" s="1"/>
  <c r="J580" i="4"/>
  <c r="I579" i="4"/>
  <c r="J578" i="4"/>
  <c r="J577" i="4"/>
  <c r="K576" i="4"/>
  <c r="Q162" i="1" s="1"/>
  <c r="I576" i="4"/>
  <c r="I575" i="4"/>
  <c r="K574" i="4"/>
  <c r="K573" i="4" s="1"/>
  <c r="Q161" i="1" s="1"/>
  <c r="I574" i="4"/>
  <c r="K572" i="4"/>
  <c r="I572" i="4"/>
  <c r="I571" i="4" s="1"/>
  <c r="K571" i="4"/>
  <c r="Q160" i="1" s="1"/>
  <c r="I570" i="4"/>
  <c r="K569" i="4"/>
  <c r="J569" i="4"/>
  <c r="K568" i="4"/>
  <c r="Q159" i="1" s="1"/>
  <c r="I568" i="4"/>
  <c r="K567" i="4"/>
  <c r="K566" i="4" s="1"/>
  <c r="Q158" i="1" s="1"/>
  <c r="I567" i="4"/>
  <c r="K564" i="4"/>
  <c r="I564" i="4"/>
  <c r="I563" i="4"/>
  <c r="J562" i="4"/>
  <c r="J561" i="4"/>
  <c r="J560" i="4"/>
  <c r="J559" i="4"/>
  <c r="I558" i="4"/>
  <c r="K557" i="4"/>
  <c r="Q157" i="1" s="1"/>
  <c r="K556" i="4"/>
  <c r="I556" i="4" s="1"/>
  <c r="K555" i="4"/>
  <c r="I555" i="4" s="1"/>
  <c r="K554" i="4"/>
  <c r="I554" i="4" s="1"/>
  <c r="K553" i="4"/>
  <c r="I553" i="4" s="1"/>
  <c r="J551" i="4"/>
  <c r="J550" i="4"/>
  <c r="K549" i="4"/>
  <c r="Q155" i="1" s="1"/>
  <c r="I549" i="4"/>
  <c r="K548" i="4"/>
  <c r="J548" i="4"/>
  <c r="J547" i="4" s="1"/>
  <c r="K547" i="4"/>
  <c r="Q154" i="1" s="1"/>
  <c r="I547" i="4"/>
  <c r="K546" i="4"/>
  <c r="I546" i="4"/>
  <c r="K545" i="4"/>
  <c r="I545" i="4"/>
  <c r="K544" i="4"/>
  <c r="I544" i="4"/>
  <c r="J542" i="4"/>
  <c r="J541" i="4"/>
  <c r="K540" i="4"/>
  <c r="Q152" i="1" s="1"/>
  <c r="I540" i="4"/>
  <c r="I539" i="4"/>
  <c r="I535" i="4" s="1"/>
  <c r="J538" i="4"/>
  <c r="J537" i="4"/>
  <c r="J536" i="4"/>
  <c r="K535" i="4"/>
  <c r="Q151" i="1" s="1"/>
  <c r="K534" i="4"/>
  <c r="K533" i="4" s="1"/>
  <c r="Q150" i="1" s="1"/>
  <c r="J534" i="4"/>
  <c r="J533" i="4" s="1"/>
  <c r="I533" i="4"/>
  <c r="I532" i="4"/>
  <c r="K531" i="4"/>
  <c r="K530" i="4" s="1"/>
  <c r="Q149" i="1" s="1"/>
  <c r="I531" i="4"/>
  <c r="I529" i="4"/>
  <c r="K528" i="4"/>
  <c r="K527" i="4" s="1"/>
  <c r="Q148" i="1" s="1"/>
  <c r="J528" i="4"/>
  <c r="I527" i="4"/>
  <c r="J526" i="4"/>
  <c r="J525" i="4"/>
  <c r="K524" i="4"/>
  <c r="Q147" i="1" s="1"/>
  <c r="I524" i="4"/>
  <c r="I523" i="4"/>
  <c r="K522" i="4"/>
  <c r="I522" i="4" s="1"/>
  <c r="I521" i="4"/>
  <c r="K520" i="4"/>
  <c r="I520" i="4" s="1"/>
  <c r="I519" i="4"/>
  <c r="K518" i="4"/>
  <c r="I518" i="4"/>
  <c r="K516" i="4"/>
  <c r="K515" i="4" s="1"/>
  <c r="Q145" i="1" s="1"/>
  <c r="J516" i="4"/>
  <c r="J515" i="4" s="1"/>
  <c r="I515" i="4"/>
  <c r="I514" i="4"/>
  <c r="K513" i="4"/>
  <c r="K512" i="4" s="1"/>
  <c r="Q144" i="1" s="1"/>
  <c r="J513" i="4"/>
  <c r="I511" i="4"/>
  <c r="K510" i="4"/>
  <c r="K509" i="4" s="1"/>
  <c r="Q143" i="1" s="1"/>
  <c r="J510" i="4"/>
  <c r="J508" i="4"/>
  <c r="J507" i="4"/>
  <c r="K506" i="4"/>
  <c r="Q142" i="1" s="1"/>
  <c r="I506" i="4"/>
  <c r="J505" i="4"/>
  <c r="J504" i="4"/>
  <c r="K503" i="4"/>
  <c r="Q141" i="1" s="1"/>
  <c r="I503" i="4"/>
  <c r="J502" i="4"/>
  <c r="J501" i="4"/>
  <c r="K500" i="4"/>
  <c r="Q140" i="1" s="1"/>
  <c r="I500" i="4"/>
  <c r="J499" i="4"/>
  <c r="J498" i="4"/>
  <c r="K497" i="4"/>
  <c r="Q139" i="1" s="1"/>
  <c r="I497" i="4"/>
  <c r="K496" i="4"/>
  <c r="I496" i="4" s="1"/>
  <c r="K495" i="4"/>
  <c r="I495" i="4" s="1"/>
  <c r="K494" i="4"/>
  <c r="I494" i="4" s="1"/>
  <c r="I492" i="4"/>
  <c r="K491" i="4"/>
  <c r="J491" i="4"/>
  <c r="K490" i="4"/>
  <c r="Q137" i="1" s="1"/>
  <c r="I490" i="4"/>
  <c r="I489" i="4"/>
  <c r="K488" i="4"/>
  <c r="K487" i="4" s="1"/>
  <c r="Q136" i="1" s="1"/>
  <c r="J488" i="4"/>
  <c r="I487" i="4"/>
  <c r="J486" i="4"/>
  <c r="J485" i="4"/>
  <c r="J484" i="4"/>
  <c r="J483" i="4"/>
  <c r="J482" i="4"/>
  <c r="J481" i="4"/>
  <c r="K480" i="4"/>
  <c r="Q135" i="1" s="1"/>
  <c r="I480" i="4"/>
  <c r="I479" i="4"/>
  <c r="K478" i="4"/>
  <c r="K477" i="4" s="1"/>
  <c r="Q134" i="1" s="1"/>
  <c r="I478" i="4"/>
  <c r="I476" i="4"/>
  <c r="K475" i="4"/>
  <c r="K474" i="4" s="1"/>
  <c r="Q133" i="1" s="1"/>
  <c r="I475" i="4"/>
  <c r="I473" i="4"/>
  <c r="K472" i="4"/>
  <c r="K471" i="4" s="1"/>
  <c r="Q132" i="1" s="1"/>
  <c r="I472" i="4"/>
  <c r="K469" i="4"/>
  <c r="K468" i="4" s="1"/>
  <c r="Q131" i="1" s="1"/>
  <c r="J469" i="4"/>
  <c r="I467" i="4"/>
  <c r="K466" i="4"/>
  <c r="K465" i="4" s="1"/>
  <c r="Q130" i="1" s="1"/>
  <c r="I466" i="4"/>
  <c r="I464" i="4"/>
  <c r="K463" i="4"/>
  <c r="K462" i="4" s="1"/>
  <c r="Q129" i="1" s="1"/>
  <c r="I463" i="4"/>
  <c r="J461" i="4"/>
  <c r="J460" i="4"/>
  <c r="K459" i="4"/>
  <c r="Q128" i="1" s="1"/>
  <c r="I459" i="4"/>
  <c r="K458" i="4"/>
  <c r="K457" i="4" s="1"/>
  <c r="Q127" i="1" s="1"/>
  <c r="I458" i="4"/>
  <c r="I456" i="4"/>
  <c r="K455" i="4"/>
  <c r="J455" i="4"/>
  <c r="K454" i="4"/>
  <c r="Q126" i="1" s="1"/>
  <c r="J453" i="4"/>
  <c r="J452" i="4"/>
  <c r="K451" i="4"/>
  <c r="Q125" i="1" s="1"/>
  <c r="I451" i="4"/>
  <c r="I450" i="4"/>
  <c r="K449" i="4"/>
  <c r="K448" i="4" s="1"/>
  <c r="Q124" i="1" s="1"/>
  <c r="I449" i="4"/>
  <c r="K447" i="4"/>
  <c r="J447" i="4"/>
  <c r="K446" i="4"/>
  <c r="J446" i="4"/>
  <c r="K445" i="4"/>
  <c r="J445" i="4"/>
  <c r="K444" i="4"/>
  <c r="J444" i="4"/>
  <c r="K443" i="4"/>
  <c r="J443" i="4"/>
  <c r="K442" i="4"/>
  <c r="J442" i="4"/>
  <c r="I441" i="4"/>
  <c r="K440" i="4"/>
  <c r="K439" i="4" s="1"/>
  <c r="Q122" i="1" s="1"/>
  <c r="I440" i="4"/>
  <c r="J438" i="4"/>
  <c r="J437" i="4"/>
  <c r="K436" i="4"/>
  <c r="Q121" i="1" s="1"/>
  <c r="I436" i="4"/>
  <c r="J435" i="4"/>
  <c r="J434" i="4"/>
  <c r="K433" i="4"/>
  <c r="Q120" i="1" s="1"/>
  <c r="I433" i="4"/>
  <c r="K432" i="4"/>
  <c r="K431" i="4" s="1"/>
  <c r="Q119" i="1" s="1"/>
  <c r="I432" i="4"/>
  <c r="I430" i="4"/>
  <c r="K429" i="4"/>
  <c r="K428" i="4" s="1"/>
  <c r="Q118" i="1" s="1"/>
  <c r="I429" i="4"/>
  <c r="K427" i="4"/>
  <c r="J427" i="4"/>
  <c r="J426" i="4" s="1"/>
  <c r="K426" i="4"/>
  <c r="Q117" i="1" s="1"/>
  <c r="I426" i="4"/>
  <c r="K425" i="4"/>
  <c r="K424" i="4" s="1"/>
  <c r="Q116" i="1" s="1"/>
  <c r="I425" i="4"/>
  <c r="I424" i="4" s="1"/>
  <c r="I423" i="4"/>
  <c r="K422" i="4"/>
  <c r="K421" i="4" s="1"/>
  <c r="Q115" i="1" s="1"/>
  <c r="I422" i="4"/>
  <c r="J420" i="4"/>
  <c r="J419" i="4"/>
  <c r="K418" i="4"/>
  <c r="Q114" i="1" s="1"/>
  <c r="I418" i="4"/>
  <c r="I417" i="4"/>
  <c r="K416" i="4"/>
  <c r="K415" i="4" s="1"/>
  <c r="Q113" i="1" s="1"/>
  <c r="I416" i="4"/>
  <c r="J414" i="4"/>
  <c r="J413" i="4"/>
  <c r="J412" i="4"/>
  <c r="J411" i="4"/>
  <c r="J410" i="4"/>
  <c r="J409" i="4"/>
  <c r="K408" i="4"/>
  <c r="Q112" i="1" s="1"/>
  <c r="I408" i="4"/>
  <c r="J407" i="4"/>
  <c r="J406" i="4"/>
  <c r="K405" i="4"/>
  <c r="Q111" i="1" s="1"/>
  <c r="I405" i="4"/>
  <c r="J404" i="4"/>
  <c r="I403" i="4"/>
  <c r="J402" i="4"/>
  <c r="J401" i="4"/>
  <c r="J400" i="4"/>
  <c r="J399" i="4"/>
  <c r="K398" i="4"/>
  <c r="Q110" i="1" s="1"/>
  <c r="K397" i="4"/>
  <c r="J397" i="4"/>
  <c r="K396" i="4"/>
  <c r="J396" i="4"/>
  <c r="K395" i="4"/>
  <c r="J395" i="4"/>
  <c r="K394" i="4"/>
  <c r="J394" i="4"/>
  <c r="K393" i="4"/>
  <c r="J393" i="4"/>
  <c r="K392" i="4"/>
  <c r="J392" i="4"/>
  <c r="I391" i="4"/>
  <c r="K390" i="4"/>
  <c r="I390" i="4"/>
  <c r="I389" i="4" s="1"/>
  <c r="K389" i="4"/>
  <c r="Q108" i="1" s="1"/>
  <c r="I388" i="4"/>
  <c r="K387" i="4"/>
  <c r="K386" i="4" s="1"/>
  <c r="Q107" i="1" s="1"/>
  <c r="I387" i="4"/>
  <c r="I385" i="4"/>
  <c r="K384" i="4"/>
  <c r="K383" i="4" s="1"/>
  <c r="Q106" i="1" s="1"/>
  <c r="I384" i="4"/>
  <c r="K382" i="4"/>
  <c r="K381" i="4" s="1"/>
  <c r="Q105" i="1" s="1"/>
  <c r="I382" i="4"/>
  <c r="A381" i="4"/>
  <c r="A383" i="4" s="1"/>
  <c r="A386" i="4" s="1"/>
  <c r="A389" i="4" s="1"/>
  <c r="A391" i="4" s="1"/>
  <c r="A398" i="4" s="1"/>
  <c r="A405" i="4" s="1"/>
  <c r="A408" i="4" s="1"/>
  <c r="A415" i="4" s="1"/>
  <c r="A418" i="4" s="1"/>
  <c r="A421" i="4" s="1"/>
  <c r="A424" i="4" s="1"/>
  <c r="A426" i="4" s="1"/>
  <c r="A428" i="4" s="1"/>
  <c r="A431" i="4" s="1"/>
  <c r="A433" i="4" s="1"/>
  <c r="A436" i="4" s="1"/>
  <c r="A439" i="4" s="1"/>
  <c r="A441" i="4" s="1"/>
  <c r="A448" i="4" s="1"/>
  <c r="A451" i="4" s="1"/>
  <c r="A454" i="4" s="1"/>
  <c r="A457" i="4" s="1"/>
  <c r="A459" i="4" s="1"/>
  <c r="A462" i="4" s="1"/>
  <c r="A465" i="4" s="1"/>
  <c r="A468" i="4" s="1"/>
  <c r="A471" i="4" s="1"/>
  <c r="A474" i="4" s="1"/>
  <c r="A477" i="4" s="1"/>
  <c r="A480" i="4" s="1"/>
  <c r="A487" i="4" s="1"/>
  <c r="A490" i="4" s="1"/>
  <c r="A493" i="4" s="1"/>
  <c r="A497" i="4" s="1"/>
  <c r="A500" i="4" s="1"/>
  <c r="A503" i="4" s="1"/>
  <c r="A506" i="4" s="1"/>
  <c r="A509" i="4" s="1"/>
  <c r="A512" i="4" s="1"/>
  <c r="A515" i="4" s="1"/>
  <c r="A517" i="4" s="1"/>
  <c r="A524" i="4" s="1"/>
  <c r="A527" i="4" s="1"/>
  <c r="A530" i="4" s="1"/>
  <c r="A533" i="4" s="1"/>
  <c r="A535" i="4" s="1"/>
  <c r="A540" i="4" s="1"/>
  <c r="A543" i="4" s="1"/>
  <c r="A547" i="4" s="1"/>
  <c r="A549" i="4" s="1"/>
  <c r="A552" i="4" s="1"/>
  <c r="A557" i="4" s="1"/>
  <c r="A566" i="4" s="1"/>
  <c r="A568" i="4" s="1"/>
  <c r="A571" i="4" s="1"/>
  <c r="A573" i="4" s="1"/>
  <c r="A576" i="4" s="1"/>
  <c r="A579" i="4" s="1"/>
  <c r="A582" i="4" s="1"/>
  <c r="A585" i="4" s="1"/>
  <c r="A588" i="4" s="1"/>
  <c r="A591" i="4" s="1"/>
  <c r="A594" i="4" s="1"/>
  <c r="A597" i="4" s="1"/>
  <c r="A604" i="4" s="1"/>
  <c r="A611" i="4" s="1"/>
  <c r="A614" i="4" s="1"/>
  <c r="A616" i="4" s="1"/>
  <c r="A619" i="4" s="1"/>
  <c r="A622" i="4" s="1"/>
  <c r="A625" i="4" s="1"/>
  <c r="A628" i="4" s="1"/>
  <c r="A635" i="4" s="1"/>
  <c r="A638" i="4" s="1"/>
  <c r="A641" i="4" s="1"/>
  <c r="A644" i="4" s="1"/>
  <c r="A647" i="4" s="1"/>
  <c r="A649" i="4" s="1"/>
  <c r="A652" i="4" s="1"/>
  <c r="A654" i="4" s="1"/>
  <c r="A656" i="4" s="1"/>
  <c r="A659" i="4" s="1"/>
  <c r="A662" i="4" s="1"/>
  <c r="A664" i="4" s="1"/>
  <c r="A667" i="4" s="1"/>
  <c r="A670" i="4" s="1"/>
  <c r="A672" i="4" s="1"/>
  <c r="A685" i="4" s="1"/>
  <c r="A688" i="4" s="1"/>
  <c r="A690" i="4" s="1"/>
  <c r="A693" i="4" s="1"/>
  <c r="A700" i="4" s="1"/>
  <c r="A704" i="4" s="1"/>
  <c r="A717" i="4" s="1"/>
  <c r="A720" i="4" s="1"/>
  <c r="A723" i="4" s="1"/>
  <c r="A726" i="4" s="1"/>
  <c r="A745" i="4" s="1"/>
  <c r="A754" i="4" s="1"/>
  <c r="A759" i="4" s="1"/>
  <c r="A764" i="4" s="1"/>
  <c r="A767" i="4" s="1"/>
  <c r="A783" i="4" s="1"/>
  <c r="A811" i="4" s="1"/>
  <c r="A827" i="4" s="1"/>
  <c r="A837" i="4" s="1"/>
  <c r="A840" i="4" s="1"/>
  <c r="A843" i="4" s="1"/>
  <c r="A846" i="4" s="1"/>
  <c r="A849" i="4" s="1"/>
  <c r="A852" i="4" s="1"/>
  <c r="A855" i="4" s="1"/>
  <c r="A858" i="4" s="1"/>
  <c r="A861" i="4" s="1"/>
  <c r="A864" i="4" s="1"/>
  <c r="A867" i="4" s="1"/>
  <c r="A870" i="4" s="1"/>
  <c r="A873" i="4" s="1"/>
  <c r="A876" i="4" s="1"/>
  <c r="A879" i="4" s="1"/>
  <c r="I380" i="4"/>
  <c r="K379" i="4"/>
  <c r="K378" i="4" s="1"/>
  <c r="Q104" i="1" s="1"/>
  <c r="I379" i="4"/>
  <c r="I383" i="4" l="1"/>
  <c r="J106" i="1" s="1"/>
  <c r="N106" i="1" s="1"/>
  <c r="K700" i="4"/>
  <c r="Q199" i="1" s="1"/>
  <c r="K391" i="4"/>
  <c r="Q109" i="1" s="1"/>
  <c r="J966" i="4"/>
  <c r="K441" i="4"/>
  <c r="Q123" i="1" s="1"/>
  <c r="J898" i="4"/>
  <c r="K966" i="4"/>
  <c r="Q247" i="1" s="1"/>
  <c r="J391" i="4"/>
  <c r="J441" i="4"/>
  <c r="K898" i="4"/>
  <c r="Q231" i="1" s="1"/>
  <c r="A109" i="1"/>
  <c r="A821" i="1"/>
  <c r="A443" i="1"/>
  <c r="K1046" i="4"/>
  <c r="Q262" i="1" s="1"/>
  <c r="I439" i="4"/>
  <c r="J122" i="1" s="1"/>
  <c r="J489" i="4"/>
  <c r="J487" i="4" s="1"/>
  <c r="J492" i="4"/>
  <c r="J490" i="4" s="1"/>
  <c r="K628" i="4"/>
  <c r="Q178" i="1" s="1"/>
  <c r="J385" i="4"/>
  <c r="J416" i="4"/>
  <c r="J417" i="4"/>
  <c r="J473" i="4"/>
  <c r="J479" i="4"/>
  <c r="J529" i="4"/>
  <c r="J527" i="4" s="1"/>
  <c r="J601" i="4"/>
  <c r="J613" i="4"/>
  <c r="J631" i="4"/>
  <c r="J632" i="4"/>
  <c r="J640" i="4"/>
  <c r="J661" i="4"/>
  <c r="J659" i="4" s="1"/>
  <c r="J749" i="4"/>
  <c r="J753" i="4"/>
  <c r="J897" i="4"/>
  <c r="J895" i="4" s="1"/>
  <c r="J934" i="4"/>
  <c r="J994" i="4"/>
  <c r="J992" i="4" s="1"/>
  <c r="J388" i="4"/>
  <c r="J440" i="4"/>
  <c r="J439" i="4" s="1"/>
  <c r="J463" i="4"/>
  <c r="J475" i="4"/>
  <c r="J476" i="4"/>
  <c r="J519" i="4"/>
  <c r="J521" i="4"/>
  <c r="J523" i="4"/>
  <c r="I565" i="4"/>
  <c r="J565" i="4" s="1"/>
  <c r="J570" i="4"/>
  <c r="J568" i="4" s="1"/>
  <c r="J581" i="4"/>
  <c r="J599" i="4"/>
  <c r="J603" i="4"/>
  <c r="J629" i="4"/>
  <c r="J630" i="4"/>
  <c r="J633" i="4"/>
  <c r="J634" i="4"/>
  <c r="J658" i="4"/>
  <c r="K745" i="4"/>
  <c r="Q205" i="1" s="1"/>
  <c r="J751" i="4"/>
  <c r="J991" i="4"/>
  <c r="J989" i="4" s="1"/>
  <c r="J970" i="4"/>
  <c r="K882" i="4"/>
  <c r="Q228" i="1" s="1"/>
  <c r="K946" i="4"/>
  <c r="Q245" i="1" s="1"/>
  <c r="K995" i="4"/>
  <c r="Q253" i="1" s="1"/>
  <c r="J379" i="4"/>
  <c r="J380" i="4"/>
  <c r="J382" i="4"/>
  <c r="J381" i="4" s="1"/>
  <c r="J384" i="4"/>
  <c r="J108" i="1"/>
  <c r="J390" i="4"/>
  <c r="J389" i="4" s="1"/>
  <c r="J109" i="1"/>
  <c r="J403" i="4"/>
  <c r="J398" i="4" s="1"/>
  <c r="J111" i="1"/>
  <c r="J112" i="1"/>
  <c r="J116" i="1"/>
  <c r="J425" i="4"/>
  <c r="J424" i="4" s="1"/>
  <c r="J117" i="1"/>
  <c r="J432" i="4"/>
  <c r="J431" i="4" s="1"/>
  <c r="J120" i="1"/>
  <c r="J121" i="1"/>
  <c r="J450" i="4"/>
  <c r="J456" i="4"/>
  <c r="J454" i="4" s="1"/>
  <c r="J464" i="4"/>
  <c r="J495" i="4"/>
  <c r="J139" i="1"/>
  <c r="J140" i="1"/>
  <c r="J141" i="1"/>
  <c r="J142" i="1"/>
  <c r="J145" i="1"/>
  <c r="J520" i="4"/>
  <c r="J522" i="4"/>
  <c r="J147" i="1"/>
  <c r="J148" i="1"/>
  <c r="J531" i="4"/>
  <c r="J532" i="4"/>
  <c r="J151" i="1"/>
  <c r="J152" i="1"/>
  <c r="J544" i="4"/>
  <c r="J545" i="4"/>
  <c r="J546" i="4"/>
  <c r="J154" i="1"/>
  <c r="J554" i="4"/>
  <c r="J556" i="4"/>
  <c r="J159" i="1"/>
  <c r="J162" i="1"/>
  <c r="J164" i="1"/>
  <c r="J589" i="4"/>
  <c r="J590" i="4"/>
  <c r="J171" i="1"/>
  <c r="J612" i="4"/>
  <c r="J624" i="4"/>
  <c r="J622" i="4" s="1"/>
  <c r="J181" i="1"/>
  <c r="J643" i="4"/>
  <c r="J641" i="4" s="1"/>
  <c r="J186" i="1"/>
  <c r="J655" i="4"/>
  <c r="J654" i="4" s="1"/>
  <c r="J191" i="1"/>
  <c r="J192" i="1"/>
  <c r="J194" i="1"/>
  <c r="J195" i="1"/>
  <c r="J696" i="4"/>
  <c r="J201" i="1"/>
  <c r="J202" i="1"/>
  <c r="J203" i="1"/>
  <c r="J204" i="1"/>
  <c r="J762" i="4"/>
  <c r="J763" i="4"/>
  <c r="J211" i="1"/>
  <c r="J212" i="1"/>
  <c r="J213" i="1"/>
  <c r="J872" i="4"/>
  <c r="J874" i="4"/>
  <c r="J875" i="4"/>
  <c r="J882" i="4"/>
  <c r="J231" i="1"/>
  <c r="J232" i="1"/>
  <c r="J919" i="4"/>
  <c r="J939" i="4"/>
  <c r="J245" i="1"/>
  <c r="J247" i="1"/>
  <c r="J248" i="1"/>
  <c r="J251" i="1"/>
  <c r="J253" i="1"/>
  <c r="J255" i="1"/>
  <c r="J1013" i="4"/>
  <c r="J259" i="1"/>
  <c r="J260" i="1"/>
  <c r="J261" i="1"/>
  <c r="J262" i="1"/>
  <c r="A882" i="4"/>
  <c r="A895" i="4" s="1"/>
  <c r="A898" i="4" s="1"/>
  <c r="A902" i="4" s="1"/>
  <c r="A909" i="4" s="1"/>
  <c r="A912" i="4" s="1"/>
  <c r="A915" i="4" s="1"/>
  <c r="A918" i="4" s="1"/>
  <c r="A921" i="4" s="1"/>
  <c r="A926" i="4" s="1"/>
  <c r="A929" i="4" s="1"/>
  <c r="A932" i="4" s="1"/>
  <c r="A935" i="4" s="1"/>
  <c r="A938" i="4" s="1"/>
  <c r="A941" i="4" s="1"/>
  <c r="A944" i="4" s="1"/>
  <c r="A946" i="4" s="1"/>
  <c r="A953" i="4" s="1"/>
  <c r="A966" i="4" s="1"/>
  <c r="A970" i="4" s="1"/>
  <c r="A979" i="4" s="1"/>
  <c r="A986" i="4" s="1"/>
  <c r="A989" i="4" s="1"/>
  <c r="A992" i="4" s="1"/>
  <c r="A995" i="4" s="1"/>
  <c r="A1008" i="4" s="1"/>
  <c r="A1011" i="4" s="1"/>
  <c r="A1014" i="4" s="1"/>
  <c r="A1024" i="4" s="1"/>
  <c r="A1027" i="4" s="1"/>
  <c r="A1030" i="4" s="1"/>
  <c r="A1040" i="4" s="1"/>
  <c r="A1043" i="4" s="1"/>
  <c r="A1046" i="4" s="1"/>
  <c r="J387" i="4"/>
  <c r="J114" i="1"/>
  <c r="J422" i="4"/>
  <c r="J423" i="4"/>
  <c r="J429" i="4"/>
  <c r="J430" i="4"/>
  <c r="J123" i="1"/>
  <c r="J125" i="1"/>
  <c r="J128" i="1"/>
  <c r="J467" i="4"/>
  <c r="J470" i="4"/>
  <c r="J468" i="4" s="1"/>
  <c r="J135" i="1"/>
  <c r="J136" i="1"/>
  <c r="J137" i="1"/>
  <c r="J494" i="4"/>
  <c r="J496" i="4"/>
  <c r="J150" i="1"/>
  <c r="J539" i="4"/>
  <c r="J535" i="4" s="1"/>
  <c r="J155" i="1"/>
  <c r="J555" i="4"/>
  <c r="J563" i="4"/>
  <c r="J160" i="1"/>
  <c r="J572" i="4"/>
  <c r="J571" i="4" s="1"/>
  <c r="J575" i="4"/>
  <c r="J165" i="1"/>
  <c r="J166" i="1"/>
  <c r="J169" i="1"/>
  <c r="J174" i="1"/>
  <c r="J175" i="1"/>
  <c r="J627" i="4"/>
  <c r="J182" i="1"/>
  <c r="J183" i="1"/>
  <c r="J184" i="1"/>
  <c r="J185" i="1"/>
  <c r="J188" i="1"/>
  <c r="J666" i="4"/>
  <c r="J196" i="1"/>
  <c r="J699" i="4"/>
  <c r="J199" i="1"/>
  <c r="J703" i="4"/>
  <c r="J700" i="4" s="1"/>
  <c r="J200" i="1"/>
  <c r="J756" i="4"/>
  <c r="J757" i="4"/>
  <c r="J758" i="4"/>
  <c r="J761" i="4"/>
  <c r="J782" i="4"/>
  <c r="J210" i="1"/>
  <c r="J837" i="4"/>
  <c r="J215" i="1"/>
  <c r="J216" i="1"/>
  <c r="J217" i="1"/>
  <c r="J218" i="1"/>
  <c r="J219" i="1"/>
  <c r="J220" i="1"/>
  <c r="J221" i="1"/>
  <c r="J222" i="1"/>
  <c r="J866" i="4"/>
  <c r="J864" i="4" s="1"/>
  <c r="J868" i="4"/>
  <c r="J869" i="4"/>
  <c r="J226" i="1"/>
  <c r="J227" i="1"/>
  <c r="J228" i="1"/>
  <c r="J230" i="1"/>
  <c r="J917" i="4"/>
  <c r="J237" i="1"/>
  <c r="J928" i="4"/>
  <c r="J930" i="4"/>
  <c r="J241" i="1"/>
  <c r="J243" i="1"/>
  <c r="J246" i="1"/>
  <c r="J249" i="1"/>
  <c r="J988" i="4"/>
  <c r="J252" i="1"/>
  <c r="J254" i="1"/>
  <c r="J1010" i="4"/>
  <c r="J1008" i="4" s="1"/>
  <c r="J256" i="1"/>
  <c r="J1026" i="4"/>
  <c r="J1029" i="4"/>
  <c r="J506" i="4"/>
  <c r="J500" i="4"/>
  <c r="J503" i="4"/>
  <c r="K517" i="4"/>
  <c r="Q146" i="1" s="1"/>
  <c r="I543" i="4"/>
  <c r="K597" i="4"/>
  <c r="Q170" i="1" s="1"/>
  <c r="I415" i="4"/>
  <c r="K662" i="4"/>
  <c r="Q189" i="1" s="1"/>
  <c r="J663" i="4"/>
  <c r="J662" i="4" s="1"/>
  <c r="I662" i="4"/>
  <c r="J723" i="4"/>
  <c r="K726" i="4"/>
  <c r="Q204" i="1" s="1"/>
  <c r="J726" i="4"/>
  <c r="K493" i="4"/>
  <c r="Q138" i="1" s="1"/>
  <c r="K1027" i="4"/>
  <c r="Q258" i="1" s="1"/>
  <c r="J717" i="4"/>
  <c r="J549" i="4"/>
  <c r="K604" i="4"/>
  <c r="Q171" i="1" s="1"/>
  <c r="J811" i="4"/>
  <c r="J418" i="4"/>
  <c r="J576" i="4"/>
  <c r="J579" i="4"/>
  <c r="J582" i="4"/>
  <c r="J585" i="4"/>
  <c r="J594" i="4"/>
  <c r="J604" i="4"/>
  <c r="J685" i="4"/>
  <c r="I693" i="4"/>
  <c r="J876" i="4"/>
  <c r="J879" i="4"/>
  <c r="J921" i="4"/>
  <c r="K1014" i="4"/>
  <c r="Q256" i="1" s="1"/>
  <c r="K1030" i="4"/>
  <c r="Q259" i="1" s="1"/>
  <c r="J1028" i="4"/>
  <c r="I1027" i="4"/>
  <c r="J564" i="4"/>
  <c r="J1011" i="4"/>
  <c r="J1030" i="4"/>
  <c r="J1040" i="4"/>
  <c r="J1043" i="4"/>
  <c r="J405" i="4"/>
  <c r="J408" i="4"/>
  <c r="K543" i="4"/>
  <c r="Q153" i="1" s="1"/>
  <c r="I431" i="4"/>
  <c r="J433" i="4"/>
  <c r="J436" i="4"/>
  <c r="J451" i="4"/>
  <c r="J480" i="4"/>
  <c r="J497" i="4"/>
  <c r="J649" i="4"/>
  <c r="J690" i="4"/>
  <c r="K693" i="4"/>
  <c r="Q198" i="1" s="1"/>
  <c r="J720" i="4"/>
  <c r="K827" i="4"/>
  <c r="Q212" i="1" s="1"/>
  <c r="J843" i="4"/>
  <c r="J846" i="4"/>
  <c r="J849" i="4"/>
  <c r="J852" i="4"/>
  <c r="J855" i="4"/>
  <c r="J858" i="4"/>
  <c r="J861" i="4"/>
  <c r="K902" i="4"/>
  <c r="Q232" i="1" s="1"/>
  <c r="J902" i="4"/>
  <c r="J935" i="4"/>
  <c r="J941" i="4"/>
  <c r="K953" i="4"/>
  <c r="Q246" i="1" s="1"/>
  <c r="K979" i="4"/>
  <c r="Q249" i="1" s="1"/>
  <c r="J979" i="4"/>
  <c r="J995" i="4"/>
  <c r="J1014" i="4"/>
  <c r="J1046" i="4"/>
  <c r="I378" i="4"/>
  <c r="J459" i="4"/>
  <c r="J524" i="4"/>
  <c r="J540" i="4"/>
  <c r="J616" i="4"/>
  <c r="J619" i="4"/>
  <c r="J644" i="4"/>
  <c r="J667" i="4"/>
  <c r="K704" i="4"/>
  <c r="Q200" i="1" s="1"/>
  <c r="J704" i="4"/>
  <c r="K767" i="4"/>
  <c r="Q209" i="1" s="1"/>
  <c r="K811" i="4"/>
  <c r="Q211" i="1" s="1"/>
  <c r="J827" i="4"/>
  <c r="I867" i="4"/>
  <c r="I873" i="4"/>
  <c r="J946" i="4"/>
  <c r="J953" i="4"/>
  <c r="J511" i="4"/>
  <c r="J509" i="4" s="1"/>
  <c r="I509" i="4"/>
  <c r="J514" i="4"/>
  <c r="J512" i="4" s="1"/>
  <c r="I512" i="4"/>
  <c r="J553" i="4"/>
  <c r="I552" i="4"/>
  <c r="J567" i="4"/>
  <c r="J566" i="4" s="1"/>
  <c r="I566" i="4"/>
  <c r="J593" i="4"/>
  <c r="J591" i="4" s="1"/>
  <c r="I591" i="4"/>
  <c r="J637" i="4"/>
  <c r="J635" i="4" s="1"/>
  <c r="I635" i="4"/>
  <c r="J684" i="4"/>
  <c r="J672" i="4" s="1"/>
  <c r="I672" i="4"/>
  <c r="J747" i="4"/>
  <c r="I745" i="4"/>
  <c r="J760" i="4"/>
  <c r="I759" i="4"/>
  <c r="J779" i="4"/>
  <c r="I767" i="4"/>
  <c r="J841" i="4"/>
  <c r="J840" i="4" s="1"/>
  <c r="I840" i="4"/>
  <c r="J920" i="4"/>
  <c r="I918" i="4"/>
  <c r="K986" i="4"/>
  <c r="Q250" i="1" s="1"/>
  <c r="I987" i="4"/>
  <c r="I381" i="4"/>
  <c r="I386" i="4"/>
  <c r="I398" i="4"/>
  <c r="I421" i="4"/>
  <c r="I428" i="4"/>
  <c r="J449" i="4"/>
  <c r="I448" i="4"/>
  <c r="I454" i="4"/>
  <c r="J458" i="4"/>
  <c r="J457" i="4" s="1"/>
  <c r="I457" i="4"/>
  <c r="I462" i="4"/>
  <c r="J466" i="4"/>
  <c r="I465" i="4"/>
  <c r="I468" i="4"/>
  <c r="J472" i="4"/>
  <c r="I471" i="4"/>
  <c r="I474" i="4"/>
  <c r="J478" i="4"/>
  <c r="I477" i="4"/>
  <c r="I493" i="4"/>
  <c r="J518" i="4"/>
  <c r="I517" i="4"/>
  <c r="I530" i="4"/>
  <c r="K552" i="4"/>
  <c r="Q156" i="1" s="1"/>
  <c r="J558" i="4"/>
  <c r="J574" i="4"/>
  <c r="I573" i="4"/>
  <c r="I588" i="4"/>
  <c r="J598" i="4"/>
  <c r="I597" i="4"/>
  <c r="I611" i="4"/>
  <c r="J615" i="4"/>
  <c r="J614" i="4" s="1"/>
  <c r="I614" i="4"/>
  <c r="I622" i="4"/>
  <c r="J626" i="4"/>
  <c r="I625" i="4"/>
  <c r="I628" i="4"/>
  <c r="J639" i="4"/>
  <c r="I638" i="4"/>
  <c r="J665" i="4"/>
  <c r="I664" i="4"/>
  <c r="J755" i="4"/>
  <c r="I754" i="4"/>
  <c r="J914" i="4"/>
  <c r="J912" i="4" s="1"/>
  <c r="I912" i="4"/>
  <c r="K944" i="4"/>
  <c r="Q244" i="1" s="1"/>
  <c r="I945" i="4"/>
  <c r="J462" i="4"/>
  <c r="J657" i="4"/>
  <c r="I656" i="4"/>
  <c r="K754" i="4"/>
  <c r="Q206" i="1" s="1"/>
  <c r="K759" i="4"/>
  <c r="Q207" i="1" s="1"/>
  <c r="J766" i="4"/>
  <c r="J764" i="4" s="1"/>
  <c r="I764" i="4"/>
  <c r="J871" i="4"/>
  <c r="I870" i="4"/>
  <c r="J911" i="4"/>
  <c r="J909" i="4" s="1"/>
  <c r="I909" i="4"/>
  <c r="J931" i="4"/>
  <c r="I929" i="4"/>
  <c r="J940" i="4"/>
  <c r="I938" i="4"/>
  <c r="J1025" i="4"/>
  <c r="I1024" i="4"/>
  <c r="J916" i="4"/>
  <c r="I915" i="4"/>
  <c r="J927" i="4"/>
  <c r="I926" i="4"/>
  <c r="J933" i="4"/>
  <c r="I932" i="4"/>
  <c r="J383" i="4" l="1"/>
  <c r="N152" i="1"/>
  <c r="A822" i="1"/>
  <c r="P202" i="1"/>
  <c r="A444" i="1"/>
  <c r="A110" i="1"/>
  <c r="P145" i="1"/>
  <c r="N142" i="1"/>
  <c r="N148" i="1"/>
  <c r="N195" i="1"/>
  <c r="P166" i="1"/>
  <c r="N150" i="1"/>
  <c r="J428" i="4"/>
  <c r="J754" i="4"/>
  <c r="J664" i="4"/>
  <c r="J638" i="4"/>
  <c r="J573" i="4"/>
  <c r="J465" i="4"/>
  <c r="P188" i="1"/>
  <c r="N175" i="1"/>
  <c r="P160" i="1"/>
  <c r="N108" i="1"/>
  <c r="N184" i="1"/>
  <c r="P135" i="1"/>
  <c r="P204" i="1"/>
  <c r="P201" i="1"/>
  <c r="P192" i="1"/>
  <c r="N171" i="1"/>
  <c r="P164" i="1"/>
  <c r="N155" i="1"/>
  <c r="P114" i="1"/>
  <c r="P212" i="1"/>
  <c r="N196" i="1"/>
  <c r="N182" i="1"/>
  <c r="N137" i="1"/>
  <c r="N125" i="1"/>
  <c r="J471" i="4"/>
  <c r="J745" i="4"/>
  <c r="N211" i="1"/>
  <c r="P199" i="1"/>
  <c r="P194" i="1"/>
  <c r="N191" i="1"/>
  <c r="P186" i="1"/>
  <c r="P181" i="1"/>
  <c r="P174" i="1"/>
  <c r="P169" i="1"/>
  <c r="P165" i="1"/>
  <c r="P162" i="1"/>
  <c r="P159" i="1"/>
  <c r="P123" i="1"/>
  <c r="P117" i="1"/>
  <c r="P111" i="1"/>
  <c r="N213" i="1"/>
  <c r="P203" i="1"/>
  <c r="N200" i="1"/>
  <c r="N185" i="1"/>
  <c r="P183" i="1"/>
  <c r="N136" i="1"/>
  <c r="N128" i="1"/>
  <c r="N121" i="1"/>
  <c r="N216" i="1"/>
  <c r="J386" i="4"/>
  <c r="J543" i="4"/>
  <c r="J493" i="4"/>
  <c r="J932" i="4"/>
  <c r="J477" i="4"/>
  <c r="P141" i="1"/>
  <c r="N116" i="1"/>
  <c r="N112" i="1"/>
  <c r="N109" i="1"/>
  <c r="N154" i="1"/>
  <c r="P151" i="1"/>
  <c r="N147" i="1"/>
  <c r="N140" i="1"/>
  <c r="P122" i="1"/>
  <c r="P120" i="1"/>
  <c r="N139" i="1"/>
  <c r="J611" i="4"/>
  <c r="J628" i="4"/>
  <c r="J474" i="4"/>
  <c r="J656" i="4"/>
  <c r="J597" i="4"/>
  <c r="I557" i="4"/>
  <c r="J157" i="1" s="1"/>
  <c r="J415" i="4"/>
  <c r="P254" i="1"/>
  <c r="P247" i="1"/>
  <c r="N245" i="1"/>
  <c r="N232" i="1"/>
  <c r="P261" i="1"/>
  <c r="P228" i="1"/>
  <c r="N249" i="1"/>
  <c r="N220" i="1"/>
  <c r="P259" i="1"/>
  <c r="N231" i="1"/>
  <c r="N256" i="1"/>
  <c r="N252" i="1"/>
  <c r="N243" i="1"/>
  <c r="P222" i="1"/>
  <c r="P218" i="1"/>
  <c r="J926" i="4"/>
  <c r="J915" i="4"/>
  <c r="J1024" i="4"/>
  <c r="J938" i="4"/>
  <c r="J929" i="4"/>
  <c r="J918" i="4"/>
  <c r="N262" i="1"/>
  <c r="P260" i="1"/>
  <c r="P248" i="1"/>
  <c r="N237" i="1"/>
  <c r="P230" i="1"/>
  <c r="P227" i="1"/>
  <c r="N255" i="1"/>
  <c r="N253" i="1"/>
  <c r="N251" i="1"/>
  <c r="P246" i="1"/>
  <c r="N241" i="1"/>
  <c r="P226" i="1"/>
  <c r="P221" i="1"/>
  <c r="P219" i="1"/>
  <c r="P217" i="1"/>
  <c r="P215" i="1"/>
  <c r="J421" i="4"/>
  <c r="J693" i="4"/>
  <c r="J870" i="4"/>
  <c r="J625" i="4"/>
  <c r="J517" i="4"/>
  <c r="J767" i="4"/>
  <c r="J759" i="4"/>
  <c r="J552" i="4"/>
  <c r="P211" i="1"/>
  <c r="N204" i="1"/>
  <c r="N201" i="1"/>
  <c r="N199" i="1"/>
  <c r="P195" i="1"/>
  <c r="N194" i="1"/>
  <c r="N192" i="1"/>
  <c r="P191" i="1"/>
  <c r="N188" i="1"/>
  <c r="N186" i="1"/>
  <c r="N181" i="1"/>
  <c r="P175" i="1"/>
  <c r="N174" i="1"/>
  <c r="P171" i="1"/>
  <c r="N169" i="1"/>
  <c r="N166" i="1"/>
  <c r="N165" i="1"/>
  <c r="N164" i="1"/>
  <c r="N162" i="1"/>
  <c r="N160" i="1"/>
  <c r="N159" i="1"/>
  <c r="P155" i="1"/>
  <c r="P150" i="1"/>
  <c r="P142" i="1"/>
  <c r="N141" i="1"/>
  <c r="N123" i="1"/>
  <c r="N114" i="1"/>
  <c r="P213" i="1"/>
  <c r="N212" i="1"/>
  <c r="P210" i="1"/>
  <c r="N203" i="1"/>
  <c r="N202" i="1"/>
  <c r="P196" i="1"/>
  <c r="P185" i="1"/>
  <c r="P184" i="1"/>
  <c r="N183" i="1"/>
  <c r="P182" i="1"/>
  <c r="P154" i="1"/>
  <c r="P152" i="1"/>
  <c r="N151" i="1"/>
  <c r="P148" i="1"/>
  <c r="P147" i="1"/>
  <c r="N145" i="1"/>
  <c r="P140" i="1"/>
  <c r="P137" i="1"/>
  <c r="P136" i="1"/>
  <c r="N135" i="1"/>
  <c r="P128" i="1"/>
  <c r="P125" i="1"/>
  <c r="P139" i="1"/>
  <c r="J1027" i="4"/>
  <c r="N210" i="1"/>
  <c r="P200" i="1"/>
  <c r="J448" i="4"/>
  <c r="P262" i="1"/>
  <c r="N261" i="1"/>
  <c r="N260" i="1"/>
  <c r="N259" i="1"/>
  <c r="N248" i="1"/>
  <c r="N247" i="1"/>
  <c r="P245" i="1"/>
  <c r="P237" i="1"/>
  <c r="P231" i="1"/>
  <c r="N230" i="1"/>
  <c r="N228" i="1"/>
  <c r="N227" i="1"/>
  <c r="N117" i="1"/>
  <c r="P116" i="1"/>
  <c r="P112" i="1"/>
  <c r="N111" i="1"/>
  <c r="P109" i="1"/>
  <c r="P108" i="1"/>
  <c r="P256" i="1"/>
  <c r="P255" i="1"/>
  <c r="N254" i="1"/>
  <c r="P253" i="1"/>
  <c r="P252" i="1"/>
  <c r="P251" i="1"/>
  <c r="P249" i="1"/>
  <c r="N246" i="1"/>
  <c r="P243" i="1"/>
  <c r="P241" i="1"/>
  <c r="P232" i="1"/>
  <c r="N226" i="1"/>
  <c r="N222" i="1"/>
  <c r="N221" i="1"/>
  <c r="P220" i="1"/>
  <c r="N219" i="1"/>
  <c r="N218" i="1"/>
  <c r="N217" i="1"/>
  <c r="P216" i="1"/>
  <c r="N215" i="1"/>
  <c r="N122" i="1"/>
  <c r="P121" i="1"/>
  <c r="N120" i="1"/>
  <c r="P106" i="1"/>
  <c r="J238" i="1"/>
  <c r="J235" i="1"/>
  <c r="J242" i="1"/>
  <c r="J233" i="1"/>
  <c r="J208" i="1"/>
  <c r="J176" i="1"/>
  <c r="J234" i="1"/>
  <c r="J206" i="1"/>
  <c r="J190" i="1"/>
  <c r="J180" i="1"/>
  <c r="J178" i="1"/>
  <c r="J173" i="1"/>
  <c r="J172" i="1"/>
  <c r="J161" i="1"/>
  <c r="J149" i="1"/>
  <c r="J134" i="1"/>
  <c r="J133" i="1"/>
  <c r="J130" i="1"/>
  <c r="J129" i="1"/>
  <c r="J124" i="1"/>
  <c r="J118" i="1"/>
  <c r="J110" i="1"/>
  <c r="J105" i="1"/>
  <c r="J223" i="1"/>
  <c r="J119" i="1"/>
  <c r="J113" i="1"/>
  <c r="J153" i="1"/>
  <c r="J867" i="4"/>
  <c r="J588" i="4"/>
  <c r="J530" i="4"/>
  <c r="J240" i="1"/>
  <c r="J257" i="1"/>
  <c r="J239" i="1"/>
  <c r="J224" i="1"/>
  <c r="J177" i="1"/>
  <c r="J170" i="1"/>
  <c r="J167" i="1"/>
  <c r="J146" i="1"/>
  <c r="J138" i="1"/>
  <c r="J132" i="1"/>
  <c r="J127" i="1"/>
  <c r="J126" i="1"/>
  <c r="J115" i="1"/>
  <c r="J107" i="1"/>
  <c r="J236" i="1"/>
  <c r="J214" i="1"/>
  <c r="J209" i="1"/>
  <c r="J207" i="1"/>
  <c r="J205" i="1"/>
  <c r="J193" i="1"/>
  <c r="J179" i="1"/>
  <c r="J168" i="1"/>
  <c r="J158" i="1"/>
  <c r="J156" i="1"/>
  <c r="J144" i="1"/>
  <c r="J143" i="1"/>
  <c r="J225" i="1"/>
  <c r="J104" i="1"/>
  <c r="J258" i="1"/>
  <c r="J198" i="1"/>
  <c r="J189" i="1"/>
  <c r="J873" i="4"/>
  <c r="J378" i="4"/>
  <c r="J131" i="1"/>
  <c r="J187" i="1"/>
  <c r="J557" i="4"/>
  <c r="J945" i="4"/>
  <c r="J944" i="4" s="1"/>
  <c r="I944" i="4"/>
  <c r="J987" i="4"/>
  <c r="J986" i="4" s="1"/>
  <c r="I986" i="4"/>
  <c r="A111" i="1" l="1"/>
  <c r="A445" i="1"/>
  <c r="A823" i="1"/>
  <c r="P240" i="1"/>
  <c r="N189" i="1"/>
  <c r="P238" i="1"/>
  <c r="N153" i="1"/>
  <c r="P113" i="1"/>
  <c r="P129" i="1"/>
  <c r="N208" i="1"/>
  <c r="P173" i="1"/>
  <c r="P105" i="1"/>
  <c r="N149" i="1"/>
  <c r="P206" i="1"/>
  <c r="P176" i="1"/>
  <c r="N233" i="1"/>
  <c r="P118" i="1"/>
  <c r="P133" i="1"/>
  <c r="N161" i="1"/>
  <c r="P180" i="1"/>
  <c r="P242" i="1"/>
  <c r="P214" i="1"/>
  <c r="P170" i="1"/>
  <c r="N177" i="1"/>
  <c r="N224" i="1"/>
  <c r="P119" i="1"/>
  <c r="P223" i="1"/>
  <c r="N110" i="1"/>
  <c r="P124" i="1"/>
  <c r="P130" i="1"/>
  <c r="P134" i="1"/>
  <c r="N157" i="1"/>
  <c r="P172" i="1"/>
  <c r="P178" i="1"/>
  <c r="P190" i="1"/>
  <c r="P234" i="1"/>
  <c r="N235" i="1"/>
  <c r="P156" i="1"/>
  <c r="P132" i="1"/>
  <c r="P104" i="1"/>
  <c r="P193" i="1"/>
  <c r="P126" i="1"/>
  <c r="P146" i="1"/>
  <c r="P143" i="1"/>
  <c r="P168" i="1"/>
  <c r="P207" i="1"/>
  <c r="P107" i="1"/>
  <c r="N127" i="1"/>
  <c r="P138" i="1"/>
  <c r="N167" i="1"/>
  <c r="N239" i="1"/>
  <c r="P257" i="1"/>
  <c r="P187" i="1"/>
  <c r="N258" i="1"/>
  <c r="P225" i="1"/>
  <c r="P144" i="1"/>
  <c r="P158" i="1"/>
  <c r="N179" i="1"/>
  <c r="P205" i="1"/>
  <c r="P209" i="1"/>
  <c r="N236" i="1"/>
  <c r="P115" i="1"/>
  <c r="P258" i="1"/>
  <c r="N187" i="1"/>
  <c r="N104" i="1"/>
  <c r="N225" i="1"/>
  <c r="N143" i="1"/>
  <c r="N144" i="1"/>
  <c r="N156" i="1"/>
  <c r="N158" i="1"/>
  <c r="N168" i="1"/>
  <c r="P179" i="1"/>
  <c r="N193" i="1"/>
  <c r="N205" i="1"/>
  <c r="N207" i="1"/>
  <c r="N209" i="1"/>
  <c r="N214" i="1"/>
  <c r="P236" i="1"/>
  <c r="N107" i="1"/>
  <c r="N115" i="1"/>
  <c r="N126" i="1"/>
  <c r="P127" i="1"/>
  <c r="N132" i="1"/>
  <c r="N138" i="1"/>
  <c r="N146" i="1"/>
  <c r="P167" i="1"/>
  <c r="N170" i="1"/>
  <c r="P177" i="1"/>
  <c r="P224" i="1"/>
  <c r="P239" i="1"/>
  <c r="N257" i="1"/>
  <c r="N240" i="1"/>
  <c r="P198" i="1"/>
  <c r="N198" i="1"/>
  <c r="P189" i="1"/>
  <c r="J163" i="1"/>
  <c r="N119" i="1"/>
  <c r="N176" i="1"/>
  <c r="P208" i="1"/>
  <c r="P233" i="1"/>
  <c r="N223" i="1"/>
  <c r="N105" i="1"/>
  <c r="P110" i="1"/>
  <c r="N118" i="1"/>
  <c r="N124" i="1"/>
  <c r="N129" i="1"/>
  <c r="N130" i="1"/>
  <c r="N133" i="1"/>
  <c r="N134" i="1"/>
  <c r="P149" i="1"/>
  <c r="P157" i="1"/>
  <c r="P161" i="1"/>
  <c r="N172" i="1"/>
  <c r="N173" i="1"/>
  <c r="N178" i="1"/>
  <c r="N180" i="1"/>
  <c r="N190" i="1"/>
  <c r="N206" i="1"/>
  <c r="N234" i="1"/>
  <c r="N242" i="1"/>
  <c r="P235" i="1"/>
  <c r="N238" i="1"/>
  <c r="J250" i="1"/>
  <c r="J244" i="1"/>
  <c r="I377" i="4"/>
  <c r="P153" i="1"/>
  <c r="N113" i="1"/>
  <c r="N131" i="1"/>
  <c r="J103" i="1"/>
  <c r="P131" i="1"/>
  <c r="K2672" i="4"/>
  <c r="K2671" i="4" s="1"/>
  <c r="Q788" i="1" s="1"/>
  <c r="K2670" i="4"/>
  <c r="K2669" i="4" s="1"/>
  <c r="Q787" i="1" s="1"/>
  <c r="D1252" i="4"/>
  <c r="K2682" i="4"/>
  <c r="Q792" i="1" s="1"/>
  <c r="Q775" i="1"/>
  <c r="I118" i="4"/>
  <c r="A446" i="1" l="1"/>
  <c r="A824" i="1"/>
  <c r="A112" i="1"/>
  <c r="N163" i="1"/>
  <c r="P250" i="1"/>
  <c r="J2635" i="4"/>
  <c r="J2634" i="4" s="1"/>
  <c r="J2683" i="4"/>
  <c r="J2682" i="4" s="1"/>
  <c r="P244" i="1"/>
  <c r="N250" i="1"/>
  <c r="N244" i="1"/>
  <c r="J229" i="1"/>
  <c r="N103" i="1"/>
  <c r="I2670" i="4"/>
  <c r="I2672" i="4"/>
  <c r="I2671" i="4" s="1"/>
  <c r="N197" i="1"/>
  <c r="J197" i="1"/>
  <c r="I2682" i="4"/>
  <c r="A113" i="1" l="1"/>
  <c r="A447" i="1"/>
  <c r="A825" i="1"/>
  <c r="J775" i="1"/>
  <c r="J788" i="1"/>
  <c r="J2670" i="4"/>
  <c r="J2669" i="4" s="1"/>
  <c r="J792" i="1"/>
  <c r="I2669" i="4"/>
  <c r="J2672" i="4"/>
  <c r="J2671" i="4" s="1"/>
  <c r="N229" i="1"/>
  <c r="J102" i="1"/>
  <c r="K1284" i="4"/>
  <c r="K1283" i="4"/>
  <c r="K1286" i="4"/>
  <c r="A826" i="1" l="1"/>
  <c r="A114" i="1"/>
  <c r="A448" i="1"/>
  <c r="N788" i="1"/>
  <c r="P775" i="1"/>
  <c r="N775" i="1"/>
  <c r="N102" i="1"/>
  <c r="P792" i="1"/>
  <c r="N792" i="1"/>
  <c r="J787" i="1"/>
  <c r="P788" i="1"/>
  <c r="I2854" i="4"/>
  <c r="I2859" i="4"/>
  <c r="I2858" i="4"/>
  <c r="I2857" i="4"/>
  <c r="I2856" i="4"/>
  <c r="I2855" i="4"/>
  <c r="K2853" i="4"/>
  <c r="Q838" i="1" s="1"/>
  <c r="A115" i="1" l="1"/>
  <c r="A449" i="1"/>
  <c r="A827" i="1"/>
  <c r="N787" i="1"/>
  <c r="P787" i="1"/>
  <c r="J2856" i="4"/>
  <c r="J2854" i="4"/>
  <c r="J2855" i="4"/>
  <c r="J2857" i="4"/>
  <c r="J2859" i="4"/>
  <c r="J2858" i="4"/>
  <c r="I2853" i="4"/>
  <c r="A450" i="1" l="1"/>
  <c r="A828" i="1"/>
  <c r="A116" i="1"/>
  <c r="J2853" i="4"/>
  <c r="J838" i="1"/>
  <c r="A829" i="1" l="1"/>
  <c r="A117" i="1"/>
  <c r="A451" i="1"/>
  <c r="N838" i="1"/>
  <c r="P838" i="1"/>
  <c r="O843" i="1"/>
  <c r="M843" i="1"/>
  <c r="L843" i="1"/>
  <c r="K843" i="1"/>
  <c r="A452" i="1" l="1"/>
  <c r="A830" i="1"/>
  <c r="A118" i="1"/>
  <c r="J2874" i="4"/>
  <c r="K2874" i="4"/>
  <c r="Q844" i="1" s="1"/>
  <c r="I2875" i="4"/>
  <c r="I2876" i="4"/>
  <c r="A832" i="1" l="1"/>
  <c r="A119" i="1"/>
  <c r="A453" i="1"/>
  <c r="I2874" i="4"/>
  <c r="A120" i="1" l="1"/>
  <c r="A454" i="1"/>
  <c r="A833" i="1"/>
  <c r="J844" i="1"/>
  <c r="K100" i="4"/>
  <c r="A2615" i="4"/>
  <c r="A2618" i="4" s="1"/>
  <c r="A2621" i="4" s="1"/>
  <c r="A2624" i="4" s="1"/>
  <c r="K1348" i="4"/>
  <c r="K1342" i="4"/>
  <c r="I1263" i="4"/>
  <c r="K1285" i="4"/>
  <c r="K1282" i="4"/>
  <c r="K1279" i="4"/>
  <c r="K1276" i="4"/>
  <c r="K1273" i="4"/>
  <c r="K1270" i="4"/>
  <c r="K1267" i="4"/>
  <c r="K1264" i="4"/>
  <c r="J1283" i="4"/>
  <c r="J1282" i="4"/>
  <c r="A455" i="1" l="1"/>
  <c r="A834" i="1"/>
  <c r="A121" i="1"/>
  <c r="A2634" i="4"/>
  <c r="A2637" i="4" s="1"/>
  <c r="A2640" i="4" s="1"/>
  <c r="A2643" i="4" s="1"/>
  <c r="A2646" i="4" s="1"/>
  <c r="A2649" i="4" s="1"/>
  <c r="A2651" i="4" s="1"/>
  <c r="A2654" i="4" s="1"/>
  <c r="A2657" i="4" s="1"/>
  <c r="A2660" i="4" s="1"/>
  <c r="A2663" i="4" s="1"/>
  <c r="A2666" i="4" s="1"/>
  <c r="N844" i="1"/>
  <c r="P844" i="1"/>
  <c r="G323" i="1"/>
  <c r="D1202" i="4"/>
  <c r="K1220" i="4"/>
  <c r="K1219" i="4" s="1"/>
  <c r="Q331" i="1" s="1"/>
  <c r="K1210" i="4"/>
  <c r="I1210" i="4" s="1"/>
  <c r="A835" i="1" l="1"/>
  <c r="A122" i="1"/>
  <c r="A456" i="1"/>
  <c r="J1210" i="4"/>
  <c r="J1209" i="4" s="1"/>
  <c r="A2669" i="4"/>
  <c r="A2671" i="4" s="1"/>
  <c r="A2673" i="4" s="1"/>
  <c r="A2676" i="4" s="1"/>
  <c r="A2679" i="4" s="1"/>
  <c r="A2682" i="4" s="1"/>
  <c r="A2685" i="4" s="1"/>
  <c r="K1209" i="4"/>
  <c r="Q327" i="1" s="1"/>
  <c r="I1220" i="4"/>
  <c r="I1209" i="4"/>
  <c r="K2433" i="4"/>
  <c r="A123" i="1" l="1"/>
  <c r="A457" i="1"/>
  <c r="A836" i="1"/>
  <c r="J327" i="1"/>
  <c r="J1220" i="4"/>
  <c r="J1219" i="4" s="1"/>
  <c r="I1219" i="4"/>
  <c r="A458" i="1" l="1"/>
  <c r="A837" i="1"/>
  <c r="A124" i="1"/>
  <c r="P327" i="1"/>
  <c r="N327" i="1"/>
  <c r="J331" i="1"/>
  <c r="O867" i="1"/>
  <c r="M867" i="1"/>
  <c r="L867" i="1"/>
  <c r="K867" i="1"/>
  <c r="O831" i="1"/>
  <c r="M831" i="1"/>
  <c r="L831" i="1"/>
  <c r="K831" i="1"/>
  <c r="O810" i="1"/>
  <c r="M810" i="1"/>
  <c r="L810" i="1"/>
  <c r="K810" i="1"/>
  <c r="I810" i="1"/>
  <c r="H810" i="1"/>
  <c r="G810" i="1"/>
  <c r="I3002" i="4"/>
  <c r="I3001" i="4"/>
  <c r="K3000" i="4"/>
  <c r="Q885" i="1" s="1"/>
  <c r="I2996" i="4"/>
  <c r="I2995" i="4"/>
  <c r="K2994" i="4"/>
  <c r="Q883" i="1" s="1"/>
  <c r="I2993" i="4"/>
  <c r="I2992" i="4"/>
  <c r="K2991" i="4"/>
  <c r="Q882" i="1" s="1"/>
  <c r="I2990" i="4"/>
  <c r="I2989" i="4"/>
  <c r="K2988" i="4"/>
  <c r="Q881" i="1" s="1"/>
  <c r="I2987" i="4"/>
  <c r="I2986" i="4"/>
  <c r="K2985" i="4"/>
  <c r="Q880" i="1" s="1"/>
  <c r="I2984" i="4"/>
  <c r="I2983" i="4"/>
  <c r="K2982" i="4"/>
  <c r="Q879" i="1" s="1"/>
  <c r="I2981" i="4"/>
  <c r="I2980" i="4"/>
  <c r="K2979" i="4"/>
  <c r="Q878" i="1" s="1"/>
  <c r="I2978" i="4"/>
  <c r="I2977" i="4"/>
  <c r="K2976" i="4"/>
  <c r="Q877" i="1" s="1"/>
  <c r="I2975" i="4"/>
  <c r="I2974" i="4"/>
  <c r="K2973" i="4"/>
  <c r="Q876" i="1" s="1"/>
  <c r="I2972" i="4"/>
  <c r="I2971" i="4"/>
  <c r="K2970" i="4"/>
  <c r="Q875" i="1" s="1"/>
  <c r="I2969" i="4"/>
  <c r="I2968" i="4"/>
  <c r="K2967" i="4"/>
  <c r="Q874" i="1" s="1"/>
  <c r="I2966" i="4"/>
  <c r="I2965" i="4"/>
  <c r="K2964" i="4"/>
  <c r="Q873" i="1" s="1"/>
  <c r="I2963" i="4"/>
  <c r="I2962" i="4"/>
  <c r="K2961" i="4"/>
  <c r="Q872" i="1" s="1"/>
  <c r="I2960" i="4"/>
  <c r="I2959" i="4"/>
  <c r="K2958" i="4"/>
  <c r="Q871" i="1" s="1"/>
  <c r="I2957" i="4"/>
  <c r="I2956" i="4"/>
  <c r="K2955" i="4"/>
  <c r="Q870" i="1" s="1"/>
  <c r="I2954" i="4"/>
  <c r="I2953" i="4"/>
  <c r="K2952" i="4"/>
  <c r="Q869" i="1" s="1"/>
  <c r="I2951" i="4"/>
  <c r="I2950" i="4"/>
  <c r="K2949" i="4"/>
  <c r="Q868" i="1" s="1"/>
  <c r="I2948" i="4"/>
  <c r="I2947" i="4"/>
  <c r="I2946" i="4"/>
  <c r="I2945" i="4"/>
  <c r="K2944" i="4"/>
  <c r="Q866" i="1" s="1"/>
  <c r="I2943" i="4"/>
  <c r="I2942" i="4"/>
  <c r="K2941" i="4"/>
  <c r="Q865" i="1" s="1"/>
  <c r="I2940" i="4"/>
  <c r="I2939" i="4"/>
  <c r="K2938" i="4"/>
  <c r="Q864" i="1" s="1"/>
  <c r="I2937" i="4"/>
  <c r="I2936" i="4"/>
  <c r="I2935" i="4"/>
  <c r="I2934" i="4"/>
  <c r="I2933" i="4"/>
  <c r="I2932" i="4"/>
  <c r="K2931" i="4"/>
  <c r="Q863" i="1" s="1"/>
  <c r="I2930" i="4"/>
  <c r="I2929" i="4"/>
  <c r="K2928" i="4"/>
  <c r="Q862" i="1" s="1"/>
  <c r="I2927" i="4"/>
  <c r="I2926" i="4"/>
  <c r="K2925" i="4"/>
  <c r="Q861" i="1" s="1"/>
  <c r="I2924" i="4"/>
  <c r="I2923" i="4"/>
  <c r="K2922" i="4"/>
  <c r="Q860" i="1" s="1"/>
  <c r="I2921" i="4"/>
  <c r="I2920" i="4"/>
  <c r="K2919" i="4"/>
  <c r="Q859" i="1" s="1"/>
  <c r="I2918" i="4"/>
  <c r="I2917" i="4"/>
  <c r="K2916" i="4"/>
  <c r="Q858" i="1" s="1"/>
  <c r="I2915" i="4"/>
  <c r="I2914" i="4"/>
  <c r="K2913" i="4"/>
  <c r="Q857" i="1" s="1"/>
  <c r="I2912" i="4"/>
  <c r="I2911" i="4"/>
  <c r="K2910" i="4"/>
  <c r="Q856" i="1" s="1"/>
  <c r="I2909" i="4"/>
  <c r="I2908" i="4"/>
  <c r="K2907" i="4"/>
  <c r="Q855" i="1" s="1"/>
  <c r="I2906" i="4"/>
  <c r="I2905" i="4"/>
  <c r="K2904" i="4"/>
  <c r="Q854" i="1" s="1"/>
  <c r="I2903" i="4"/>
  <c r="I2902" i="4"/>
  <c r="K2901" i="4"/>
  <c r="Q853" i="1" s="1"/>
  <c r="I2900" i="4"/>
  <c r="I2899" i="4"/>
  <c r="K2898" i="4"/>
  <c r="Q852" i="1" s="1"/>
  <c r="I2897" i="4"/>
  <c r="I2896" i="4"/>
  <c r="K2895" i="4"/>
  <c r="Q851" i="1" s="1"/>
  <c r="I2894" i="4"/>
  <c r="I2893" i="4"/>
  <c r="K2892" i="4"/>
  <c r="Q850" i="1" s="1"/>
  <c r="I2891" i="4"/>
  <c r="I2890" i="4"/>
  <c r="K2889" i="4"/>
  <c r="Q849" i="1" s="1"/>
  <c r="I2888" i="4"/>
  <c r="I2887" i="4"/>
  <c r="K2886" i="4"/>
  <c r="Q848" i="1" s="1"/>
  <c r="I2885" i="4"/>
  <c r="I2884" i="4"/>
  <c r="K2883" i="4"/>
  <c r="Q847" i="1" s="1"/>
  <c r="I2882" i="4"/>
  <c r="I2881" i="4"/>
  <c r="K2880" i="4"/>
  <c r="Q846" i="1" s="1"/>
  <c r="I2879" i="4"/>
  <c r="I2878" i="4"/>
  <c r="K2877" i="4"/>
  <c r="Q845" i="1" s="1"/>
  <c r="I2873" i="4"/>
  <c r="I2872" i="4"/>
  <c r="K2871" i="4"/>
  <c r="Q842" i="1" s="1"/>
  <c r="I2870" i="4"/>
  <c r="I2869" i="4"/>
  <c r="I2868" i="4"/>
  <c r="I2867" i="4"/>
  <c r="K2866" i="4"/>
  <c r="Q841" i="1" s="1"/>
  <c r="I2865" i="4"/>
  <c r="I2864" i="4"/>
  <c r="K2863" i="4"/>
  <c r="Q840" i="1" s="1"/>
  <c r="I2862" i="4"/>
  <c r="I2861" i="4"/>
  <c r="K2860" i="4"/>
  <c r="Q839" i="1" s="1"/>
  <c r="I2852" i="4"/>
  <c r="I2851" i="4"/>
  <c r="K2850" i="4"/>
  <c r="Q837" i="1" s="1"/>
  <c r="I2849" i="4"/>
  <c r="I2848" i="4"/>
  <c r="K2847" i="4"/>
  <c r="Q836" i="1" s="1"/>
  <c r="I2846" i="4"/>
  <c r="I2845" i="4"/>
  <c r="K2844" i="4"/>
  <c r="Q835" i="1" s="1"/>
  <c r="I2843" i="4"/>
  <c r="I2842" i="4"/>
  <c r="K2841" i="4"/>
  <c r="Q834" i="1" s="1"/>
  <c r="I2840" i="4"/>
  <c r="I2839" i="4"/>
  <c r="K2838" i="4"/>
  <c r="Q833" i="1" s="1"/>
  <c r="I2837" i="4"/>
  <c r="I2836" i="4"/>
  <c r="I2835" i="4"/>
  <c r="I2834" i="4"/>
  <c r="K2833" i="4"/>
  <c r="Q832" i="1" s="1"/>
  <c r="I2832" i="4"/>
  <c r="I2831" i="4"/>
  <c r="K2830" i="4"/>
  <c r="Q830" i="1" s="1"/>
  <c r="I2829" i="4"/>
  <c r="I2828" i="4"/>
  <c r="K2827" i="4"/>
  <c r="Q829" i="1" s="1"/>
  <c r="I2826" i="4"/>
  <c r="I2825" i="4"/>
  <c r="K2824" i="4"/>
  <c r="Q828" i="1" s="1"/>
  <c r="I2823" i="4"/>
  <c r="I2822" i="4"/>
  <c r="I2821" i="4"/>
  <c r="I2820" i="4"/>
  <c r="I2819" i="4"/>
  <c r="I2818" i="4"/>
  <c r="K2817" i="4"/>
  <c r="Q827" i="1" s="1"/>
  <c r="I2816" i="4"/>
  <c r="I2815" i="4"/>
  <c r="I2814" i="4"/>
  <c r="I2813" i="4"/>
  <c r="K2812" i="4"/>
  <c r="Q826" i="1" s="1"/>
  <c r="I2811" i="4"/>
  <c r="I2810" i="4"/>
  <c r="I2809" i="4"/>
  <c r="I2808" i="4"/>
  <c r="K2807" i="4"/>
  <c r="Q825" i="1" s="1"/>
  <c r="I2806" i="4"/>
  <c r="I2805" i="4"/>
  <c r="K2804" i="4"/>
  <c r="Q824" i="1" s="1"/>
  <c r="I2803" i="4"/>
  <c r="I2802" i="4"/>
  <c r="I2801" i="4"/>
  <c r="I2800" i="4"/>
  <c r="I2799" i="4"/>
  <c r="I2798" i="4"/>
  <c r="K2797" i="4"/>
  <c r="Q823" i="1" s="1"/>
  <c r="I2796" i="4"/>
  <c r="I2795" i="4"/>
  <c r="K2794" i="4"/>
  <c r="Q822" i="1" s="1"/>
  <c r="I2793" i="4"/>
  <c r="I2792" i="4"/>
  <c r="K2791" i="4"/>
  <c r="Q821" i="1" s="1"/>
  <c r="I2790" i="4"/>
  <c r="I2789" i="4"/>
  <c r="K2788" i="4"/>
  <c r="Q820" i="1" s="1"/>
  <c r="I2787" i="4"/>
  <c r="I2786" i="4"/>
  <c r="K2785" i="4"/>
  <c r="Q819" i="1" s="1"/>
  <c r="I2784" i="4"/>
  <c r="I2783" i="4"/>
  <c r="K2782" i="4"/>
  <c r="Q818" i="1" s="1"/>
  <c r="I2781" i="4"/>
  <c r="I2780" i="4"/>
  <c r="I2779" i="4"/>
  <c r="I2778" i="4"/>
  <c r="K2777" i="4"/>
  <c r="Q817" i="1" s="1"/>
  <c r="I2776" i="4"/>
  <c r="I2775" i="4"/>
  <c r="I2774" i="4"/>
  <c r="I2773" i="4"/>
  <c r="K2772" i="4"/>
  <c r="Q816" i="1" s="1"/>
  <c r="I2771" i="4"/>
  <c r="I2770" i="4"/>
  <c r="K2769" i="4"/>
  <c r="Q815" i="1" s="1"/>
  <c r="I2768" i="4"/>
  <c r="I2767" i="4"/>
  <c r="K2766" i="4"/>
  <c r="Q814" i="1" s="1"/>
  <c r="I2765" i="4"/>
  <c r="I2764" i="4"/>
  <c r="I2763" i="4"/>
  <c r="I2762" i="4"/>
  <c r="K2761" i="4"/>
  <c r="Q813" i="1" s="1"/>
  <c r="I2760" i="4"/>
  <c r="I2759" i="4"/>
  <c r="K2758" i="4"/>
  <c r="Q812" i="1" s="1"/>
  <c r="A2758" i="4"/>
  <c r="A2761" i="4" s="1"/>
  <c r="A2766" i="4" s="1"/>
  <c r="A2769" i="4" s="1"/>
  <c r="A2772" i="4" s="1"/>
  <c r="A2777" i="4" s="1"/>
  <c r="A2782" i="4" s="1"/>
  <c r="A2785" i="4" s="1"/>
  <c r="A2788" i="4" s="1"/>
  <c r="A2791" i="4" s="1"/>
  <c r="A2794" i="4" s="1"/>
  <c r="A2797" i="4" s="1"/>
  <c r="A2804" i="4" s="1"/>
  <c r="A2807" i="4" s="1"/>
  <c r="A2812" i="4" s="1"/>
  <c r="A2817" i="4" s="1"/>
  <c r="A2824" i="4" s="1"/>
  <c r="A2827" i="4" s="1"/>
  <c r="A2830" i="4" s="1"/>
  <c r="A2833" i="4" s="1"/>
  <c r="A2838" i="4" s="1"/>
  <c r="A2841" i="4" s="1"/>
  <c r="A2844" i="4" s="1"/>
  <c r="A2847" i="4" s="1"/>
  <c r="A2850" i="4" s="1"/>
  <c r="I2757" i="4"/>
  <c r="I2756" i="4"/>
  <c r="K2755" i="4"/>
  <c r="Q811" i="1" s="1"/>
  <c r="A838" i="1" l="1"/>
  <c r="N331" i="1"/>
  <c r="A125" i="1"/>
  <c r="A459" i="1"/>
  <c r="P331" i="1"/>
  <c r="A2853" i="4"/>
  <c r="A2860" i="4" s="1"/>
  <c r="A2863" i="4" s="1"/>
  <c r="A2866" i="4" s="1"/>
  <c r="A2871" i="4" s="1"/>
  <c r="A2874" i="4" s="1"/>
  <c r="A2877" i="4" s="1"/>
  <c r="A2880" i="4" s="1"/>
  <c r="A2883" i="4" s="1"/>
  <c r="A2886" i="4" s="1"/>
  <c r="A2889" i="4" s="1"/>
  <c r="A2892" i="4" s="1"/>
  <c r="A2895" i="4" s="1"/>
  <c r="A2898" i="4" s="1"/>
  <c r="A2901" i="4" s="1"/>
  <c r="A2904" i="4" s="1"/>
  <c r="A2907" i="4" s="1"/>
  <c r="A2910" i="4" s="1"/>
  <c r="A2913" i="4" s="1"/>
  <c r="A2916" i="4" s="1"/>
  <c r="A2919" i="4" s="1"/>
  <c r="A2922" i="4" s="1"/>
  <c r="A2925" i="4" s="1"/>
  <c r="A2928" i="4" s="1"/>
  <c r="A2931" i="4" s="1"/>
  <c r="A2938" i="4" s="1"/>
  <c r="A2941" i="4" s="1"/>
  <c r="A2944" i="4" s="1"/>
  <c r="A2949" i="4" s="1"/>
  <c r="A2952" i="4" s="1"/>
  <c r="A2955" i="4" s="1"/>
  <c r="A2958" i="4" s="1"/>
  <c r="A2961" i="4" s="1"/>
  <c r="A2964" i="4" s="1"/>
  <c r="A2967" i="4" s="1"/>
  <c r="A2970" i="4" s="1"/>
  <c r="A2973" i="4" s="1"/>
  <c r="A2976" i="4" s="1"/>
  <c r="A2979" i="4" s="1"/>
  <c r="A2982" i="4" s="1"/>
  <c r="A2985" i="4" s="1"/>
  <c r="A2988" i="4" s="1"/>
  <c r="A2991" i="4" s="1"/>
  <c r="A2994" i="4" s="1"/>
  <c r="A2997" i="4" s="1"/>
  <c r="A3000" i="4" s="1"/>
  <c r="J2757" i="4"/>
  <c r="J2760" i="4"/>
  <c r="J2762" i="4"/>
  <c r="J2764" i="4"/>
  <c r="J2768" i="4"/>
  <c r="J2770" i="4"/>
  <c r="J2774" i="4"/>
  <c r="J2776" i="4"/>
  <c r="J2778" i="4"/>
  <c r="J2780" i="4"/>
  <c r="J2784" i="4"/>
  <c r="J2787" i="4"/>
  <c r="J2789" i="4"/>
  <c r="J2793" i="4"/>
  <c r="J2795" i="4"/>
  <c r="J2799" i="4"/>
  <c r="J2801" i="4"/>
  <c r="J2803" i="4"/>
  <c r="J2805" i="4"/>
  <c r="J2809" i="4"/>
  <c r="J2811" i="4"/>
  <c r="J2813" i="4"/>
  <c r="J2815" i="4"/>
  <c r="J2819" i="4"/>
  <c r="J2821" i="4"/>
  <c r="J2823" i="4"/>
  <c r="J2825" i="4"/>
  <c r="J2829" i="4"/>
  <c r="J2831" i="4"/>
  <c r="J2835" i="4"/>
  <c r="J2837" i="4"/>
  <c r="J2839" i="4"/>
  <c r="J2843" i="4"/>
  <c r="J2845" i="4"/>
  <c r="J2849" i="4"/>
  <c r="J2852" i="4"/>
  <c r="J2861" i="4"/>
  <c r="J2865" i="4"/>
  <c r="J2867" i="4"/>
  <c r="J2869" i="4"/>
  <c r="J2873" i="4"/>
  <c r="J2878" i="4"/>
  <c r="J2881" i="4"/>
  <c r="J2884" i="4"/>
  <c r="J2887" i="4"/>
  <c r="J2890" i="4"/>
  <c r="J2893" i="4"/>
  <c r="J2896" i="4"/>
  <c r="J2899" i="4"/>
  <c r="J2902" i="4"/>
  <c r="J2905" i="4"/>
  <c r="J2908" i="4"/>
  <c r="J2911" i="4"/>
  <c r="J2914" i="4"/>
  <c r="J2917" i="4"/>
  <c r="J2920" i="4"/>
  <c r="J2924" i="4"/>
  <c r="J2927" i="4"/>
  <c r="J2930" i="4"/>
  <c r="J2933" i="4"/>
  <c r="J2935" i="4"/>
  <c r="J2937" i="4"/>
  <c r="J2940" i="4"/>
  <c r="J2943" i="4"/>
  <c r="J2946" i="4"/>
  <c r="J2948" i="4"/>
  <c r="J2951" i="4"/>
  <c r="J2953" i="4"/>
  <c r="J2956" i="4"/>
  <c r="J2960" i="4"/>
  <c r="J2966" i="4"/>
  <c r="J2969" i="4"/>
  <c r="J2972" i="4"/>
  <c r="J2975" i="4"/>
  <c r="J2978" i="4"/>
  <c r="J2981" i="4"/>
  <c r="J2983" i="4"/>
  <c r="J2986" i="4"/>
  <c r="J2990" i="4"/>
  <c r="J2993" i="4"/>
  <c r="J2996" i="4"/>
  <c r="J3002" i="4"/>
  <c r="J2756" i="4"/>
  <c r="J2755" i="4" s="1"/>
  <c r="J2759" i="4"/>
  <c r="J2763" i="4"/>
  <c r="J2765" i="4"/>
  <c r="J2767" i="4"/>
  <c r="J2766" i="4" s="1"/>
  <c r="J2771" i="4"/>
  <c r="J2773" i="4"/>
  <c r="J2775" i="4"/>
  <c r="J2779" i="4"/>
  <c r="J2781" i="4"/>
  <c r="J2783" i="4"/>
  <c r="J2782" i="4" s="1"/>
  <c r="J2786" i="4"/>
  <c r="J2790" i="4"/>
  <c r="J2792" i="4"/>
  <c r="J2796" i="4"/>
  <c r="J2798" i="4"/>
  <c r="J2800" i="4"/>
  <c r="J2802" i="4"/>
  <c r="J2806" i="4"/>
  <c r="J2808" i="4"/>
  <c r="J2810" i="4"/>
  <c r="J2814" i="4"/>
  <c r="J2816" i="4"/>
  <c r="J2818" i="4"/>
  <c r="J2820" i="4"/>
  <c r="J2822" i="4"/>
  <c r="J2826" i="4"/>
  <c r="J2828" i="4"/>
  <c r="J2832" i="4"/>
  <c r="J2834" i="4"/>
  <c r="J2836" i="4"/>
  <c r="J2840" i="4"/>
  <c r="J2842" i="4"/>
  <c r="J2841" i="4" s="1"/>
  <c r="J2846" i="4"/>
  <c r="J2848" i="4"/>
  <c r="J2847" i="4" s="1"/>
  <c r="J2851" i="4"/>
  <c r="J2862" i="4"/>
  <c r="J2864" i="4"/>
  <c r="J2868" i="4"/>
  <c r="J2870" i="4"/>
  <c r="J2872" i="4"/>
  <c r="J2879" i="4"/>
  <c r="J2882" i="4"/>
  <c r="J2885" i="4"/>
  <c r="J2888" i="4"/>
  <c r="J2891" i="4"/>
  <c r="J2894" i="4"/>
  <c r="J2897" i="4"/>
  <c r="J2900" i="4"/>
  <c r="J2903" i="4"/>
  <c r="J2906" i="4"/>
  <c r="J2909" i="4"/>
  <c r="J2912" i="4"/>
  <c r="J2915" i="4"/>
  <c r="J2918" i="4"/>
  <c r="J2921" i="4"/>
  <c r="J2926" i="4"/>
  <c r="J2929" i="4"/>
  <c r="J2932" i="4"/>
  <c r="J2934" i="4"/>
  <c r="J2936" i="4"/>
  <c r="J2939" i="4"/>
  <c r="J2942" i="4"/>
  <c r="J2945" i="4"/>
  <c r="J2947" i="4"/>
  <c r="J2950" i="4"/>
  <c r="J2954" i="4"/>
  <c r="J2957" i="4"/>
  <c r="J2963" i="4"/>
  <c r="J2968" i="4"/>
  <c r="J2967" i="4" s="1"/>
  <c r="J2971" i="4"/>
  <c r="J2974" i="4"/>
  <c r="J2973" i="4" s="1"/>
  <c r="J2977" i="4"/>
  <c r="J2976" i="4" s="1"/>
  <c r="J2980" i="4"/>
  <c r="J2979" i="4" s="1"/>
  <c r="J2984" i="4"/>
  <c r="J2987" i="4"/>
  <c r="J2992" i="4"/>
  <c r="J2995" i="4"/>
  <c r="J3001" i="4"/>
  <c r="I2910" i="4"/>
  <c r="I2982" i="4"/>
  <c r="I2907" i="4"/>
  <c r="I2941" i="4"/>
  <c r="O809" i="1"/>
  <c r="I2850" i="4"/>
  <c r="I2886" i="4"/>
  <c r="I2979" i="4"/>
  <c r="H809" i="1"/>
  <c r="I2782" i="4"/>
  <c r="I2827" i="4"/>
  <c r="I2838" i="4"/>
  <c r="I2860" i="4"/>
  <c r="I2883" i="4"/>
  <c r="I2976" i="4"/>
  <c r="I2991" i="4"/>
  <c r="I809" i="1"/>
  <c r="L809" i="1"/>
  <c r="I2791" i="4"/>
  <c r="I2847" i="4"/>
  <c r="I2898" i="4"/>
  <c r="I2967" i="4"/>
  <c r="K809" i="1"/>
  <c r="M809" i="1"/>
  <c r="G809" i="1"/>
  <c r="I2755" i="4"/>
  <c r="I2761" i="4"/>
  <c r="I2807" i="4"/>
  <c r="I2871" i="4"/>
  <c r="I2895" i="4"/>
  <c r="I2919" i="4"/>
  <c r="I2925" i="4"/>
  <c r="I2952" i="4"/>
  <c r="I3000" i="4"/>
  <c r="I2812" i="4"/>
  <c r="I2817" i="4"/>
  <c r="I2824" i="4"/>
  <c r="I2844" i="4"/>
  <c r="I2866" i="4"/>
  <c r="I2880" i="4"/>
  <c r="I2892" i="4"/>
  <c r="I2904" i="4"/>
  <c r="I2916" i="4"/>
  <c r="I2931" i="4"/>
  <c r="I2949" i="4"/>
  <c r="I2973" i="4"/>
  <c r="J2892" i="4"/>
  <c r="I2758" i="4"/>
  <c r="I2766" i="4"/>
  <c r="I2785" i="4"/>
  <c r="I2794" i="4"/>
  <c r="I2830" i="4"/>
  <c r="I2841" i="4"/>
  <c r="I2863" i="4"/>
  <c r="I2877" i="4"/>
  <c r="I2889" i="4"/>
  <c r="I2901" i="4"/>
  <c r="I2913" i="4"/>
  <c r="I2970" i="4"/>
  <c r="I2985" i="4"/>
  <c r="J2871" i="4"/>
  <c r="J2923" i="4"/>
  <c r="I2922" i="4"/>
  <c r="J2962" i="4"/>
  <c r="I2961" i="4"/>
  <c r="J2989" i="4"/>
  <c r="I2988" i="4"/>
  <c r="I2769" i="4"/>
  <c r="I2772" i="4"/>
  <c r="I2777" i="4"/>
  <c r="I2788" i="4"/>
  <c r="I2797" i="4"/>
  <c r="I2804" i="4"/>
  <c r="I2833" i="4"/>
  <c r="I2928" i="4"/>
  <c r="I2938" i="4"/>
  <c r="I2944" i="4"/>
  <c r="I2955" i="4"/>
  <c r="J2959" i="4"/>
  <c r="I2958" i="4"/>
  <c r="J2965" i="4"/>
  <c r="J2964" i="4" s="1"/>
  <c r="I2964" i="4"/>
  <c r="J2970" i="4"/>
  <c r="I2994" i="4"/>
  <c r="J2863" i="4" l="1"/>
  <c r="J2791" i="4"/>
  <c r="J2758" i="4"/>
  <c r="J2827" i="4"/>
  <c r="J2850" i="4"/>
  <c r="J2785" i="4"/>
  <c r="A460" i="1"/>
  <c r="A126" i="1"/>
  <c r="A839" i="1"/>
  <c r="I2754" i="4"/>
  <c r="J2913" i="4"/>
  <c r="J2844" i="4"/>
  <c r="J2889" i="4"/>
  <c r="J2991" i="4"/>
  <c r="J2886" i="4"/>
  <c r="J2797" i="4"/>
  <c r="J2982" i="4"/>
  <c r="J2916" i="4"/>
  <c r="J2860" i="4"/>
  <c r="J2804" i="4"/>
  <c r="J2761" i="4"/>
  <c r="J2994" i="4"/>
  <c r="J2949" i="4"/>
  <c r="J2944" i="4"/>
  <c r="J2938" i="4"/>
  <c r="J2833" i="4"/>
  <c r="J2807" i="4"/>
  <c r="J2772" i="4"/>
  <c r="J2925" i="4"/>
  <c r="J2901" i="4"/>
  <c r="J2877" i="4"/>
  <c r="J2838" i="4"/>
  <c r="J2769" i="4"/>
  <c r="J2817" i="4"/>
  <c r="J2985" i="4"/>
  <c r="J2919" i="4"/>
  <c r="J2907" i="4"/>
  <c r="J2895" i="4"/>
  <c r="J2883" i="4"/>
  <c r="J2866" i="4"/>
  <c r="J2812" i="4"/>
  <c r="J2777" i="4"/>
  <c r="J2958" i="4"/>
  <c r="J3000" i="4"/>
  <c r="J2952" i="4"/>
  <c r="J2941" i="4"/>
  <c r="J2931" i="4"/>
  <c r="J2955" i="4"/>
  <c r="J2928" i="4"/>
  <c r="J2910" i="4"/>
  <c r="J2904" i="4"/>
  <c r="J2898" i="4"/>
  <c r="J2880" i="4"/>
  <c r="J2830" i="4"/>
  <c r="J2824" i="4"/>
  <c r="J2794" i="4"/>
  <c r="J2788" i="4"/>
  <c r="J2988" i="4"/>
  <c r="J2961" i="4"/>
  <c r="J2922" i="4"/>
  <c r="J866" i="1"/>
  <c r="J862" i="1"/>
  <c r="J824" i="1"/>
  <c r="J820" i="1"/>
  <c r="J816" i="1"/>
  <c r="J881" i="1"/>
  <c r="J872" i="1"/>
  <c r="J860" i="1"/>
  <c r="J875" i="1"/>
  <c r="J853" i="1"/>
  <c r="J845" i="1"/>
  <c r="J834" i="1"/>
  <c r="J822" i="1"/>
  <c r="J814" i="1"/>
  <c r="J876" i="1"/>
  <c r="J863" i="1"/>
  <c r="J854" i="1"/>
  <c r="J846" i="1"/>
  <c r="J861" i="1"/>
  <c r="J851" i="1"/>
  <c r="J825" i="1"/>
  <c r="J813" i="1"/>
  <c r="J811" i="1"/>
  <c r="J874" i="1"/>
  <c r="J836" i="1"/>
  <c r="J821" i="1"/>
  <c r="J882" i="1"/>
  <c r="J847" i="1"/>
  <c r="J833" i="1"/>
  <c r="J818" i="1"/>
  <c r="J878" i="1"/>
  <c r="J837" i="1"/>
  <c r="J883" i="1"/>
  <c r="J873" i="1"/>
  <c r="J871" i="1"/>
  <c r="J870" i="1"/>
  <c r="J864" i="1"/>
  <c r="J832" i="1"/>
  <c r="J823" i="1"/>
  <c r="J817" i="1"/>
  <c r="J815" i="1"/>
  <c r="J880" i="1"/>
  <c r="J857" i="1"/>
  <c r="J849" i="1"/>
  <c r="J840" i="1"/>
  <c r="J830" i="1"/>
  <c r="J819" i="1"/>
  <c r="J812" i="1"/>
  <c r="J868" i="1"/>
  <c r="J858" i="1"/>
  <c r="J850" i="1"/>
  <c r="J841" i="1"/>
  <c r="J835" i="1"/>
  <c r="J828" i="1"/>
  <c r="J827" i="1"/>
  <c r="J826" i="1"/>
  <c r="J885" i="1"/>
  <c r="J869" i="1"/>
  <c r="J859" i="1"/>
  <c r="J842" i="1"/>
  <c r="J852" i="1"/>
  <c r="J877" i="1"/>
  <c r="J839" i="1"/>
  <c r="J829" i="1"/>
  <c r="J848" i="1"/>
  <c r="J865" i="1"/>
  <c r="J855" i="1"/>
  <c r="J879" i="1"/>
  <c r="J856" i="1"/>
  <c r="P823" i="1" l="1"/>
  <c r="P875" i="1"/>
  <c r="P816" i="1"/>
  <c r="A127" i="1"/>
  <c r="P862" i="1"/>
  <c r="P847" i="1"/>
  <c r="N860" i="1"/>
  <c r="A840" i="1"/>
  <c r="A461" i="1"/>
  <c r="N879" i="1"/>
  <c r="N865" i="1"/>
  <c r="P877" i="1"/>
  <c r="N869" i="1"/>
  <c r="N828" i="1"/>
  <c r="P812" i="1"/>
  <c r="N830" i="1"/>
  <c r="P849" i="1"/>
  <c r="P832" i="1"/>
  <c r="N873" i="1"/>
  <c r="N837" i="1"/>
  <c r="N818" i="1"/>
  <c r="N821" i="1"/>
  <c r="N813" i="1"/>
  <c r="N851" i="1"/>
  <c r="N846" i="1"/>
  <c r="P863" i="1"/>
  <c r="N834" i="1"/>
  <c r="P853" i="1"/>
  <c r="P881" i="1"/>
  <c r="P848" i="1"/>
  <c r="N839" i="1"/>
  <c r="P852" i="1"/>
  <c r="N859" i="1"/>
  <c r="P827" i="1"/>
  <c r="P835" i="1"/>
  <c r="P819" i="1"/>
  <c r="N840" i="1"/>
  <c r="N823" i="1"/>
  <c r="N871" i="1"/>
  <c r="P878" i="1"/>
  <c r="P833" i="1"/>
  <c r="P882" i="1"/>
  <c r="N836" i="1"/>
  <c r="N811" i="1"/>
  <c r="N825" i="1"/>
  <c r="N861" i="1"/>
  <c r="P854" i="1"/>
  <c r="N876" i="1"/>
  <c r="P822" i="1"/>
  <c r="P845" i="1"/>
  <c r="N875" i="1"/>
  <c r="P872" i="1"/>
  <c r="N816" i="1"/>
  <c r="N824" i="1"/>
  <c r="P866" i="1"/>
  <c r="P820" i="1"/>
  <c r="N820" i="1"/>
  <c r="N822" i="1"/>
  <c r="P825" i="1"/>
  <c r="N854" i="1"/>
  <c r="P861" i="1"/>
  <c r="P811" i="1"/>
  <c r="P876" i="1"/>
  <c r="N872" i="1"/>
  <c r="P824" i="1"/>
  <c r="N866" i="1"/>
  <c r="N853" i="1"/>
  <c r="N814" i="1"/>
  <c r="P834" i="1"/>
  <c r="N881" i="1"/>
  <c r="N862" i="1"/>
  <c r="P813" i="1"/>
  <c r="P851" i="1"/>
  <c r="N863" i="1"/>
  <c r="P846" i="1"/>
  <c r="P860" i="1"/>
  <c r="P814" i="1"/>
  <c r="N847" i="1"/>
  <c r="P874" i="1"/>
  <c r="N845" i="1"/>
  <c r="J843" i="1"/>
  <c r="N855" i="1"/>
  <c r="N827" i="1"/>
  <c r="P840" i="1"/>
  <c r="P883" i="1"/>
  <c r="P859" i="1"/>
  <c r="J867" i="1"/>
  <c r="P868" i="1"/>
  <c r="P857" i="1"/>
  <c r="P871" i="1"/>
  <c r="N829" i="1"/>
  <c r="N842" i="1"/>
  <c r="P858" i="1"/>
  <c r="P870" i="1"/>
  <c r="P885" i="1"/>
  <c r="P841" i="1"/>
  <c r="N850" i="1"/>
  <c r="P815" i="1"/>
  <c r="N864" i="1"/>
  <c r="P873" i="1"/>
  <c r="N877" i="1"/>
  <c r="P842" i="1"/>
  <c r="N885" i="1"/>
  <c r="N819" i="1"/>
  <c r="N832" i="1"/>
  <c r="N826" i="1"/>
  <c r="P828" i="1"/>
  <c r="N841" i="1"/>
  <c r="N858" i="1"/>
  <c r="N857" i="1"/>
  <c r="N880" i="1"/>
  <c r="P817" i="1"/>
  <c r="N870" i="1"/>
  <c r="N883" i="1"/>
  <c r="P818" i="1"/>
  <c r="N878" i="1"/>
  <c r="P829" i="1"/>
  <c r="P856" i="1"/>
  <c r="P839" i="1"/>
  <c r="J810" i="1"/>
  <c r="N812" i="1"/>
  <c r="N835" i="1"/>
  <c r="N817" i="1"/>
  <c r="P826" i="1"/>
  <c r="J831" i="1"/>
  <c r="N868" i="1"/>
  <c r="P869" i="1"/>
  <c r="N815" i="1"/>
  <c r="P830" i="1"/>
  <c r="P850" i="1"/>
  <c r="P864" i="1"/>
  <c r="N849" i="1"/>
  <c r="P880" i="1"/>
  <c r="P837" i="1"/>
  <c r="N833" i="1"/>
  <c r="N882" i="1"/>
  <c r="P836" i="1"/>
  <c r="N874" i="1"/>
  <c r="P865" i="1"/>
  <c r="P855" i="1"/>
  <c r="N856" i="1"/>
  <c r="P879" i="1"/>
  <c r="N848" i="1"/>
  <c r="N852" i="1"/>
  <c r="P821" i="1"/>
  <c r="A841" i="1" l="1"/>
  <c r="A462" i="1"/>
  <c r="A128" i="1"/>
  <c r="N843" i="1"/>
  <c r="J809" i="1"/>
  <c r="N810" i="1"/>
  <c r="N867" i="1"/>
  <c r="N831" i="1"/>
  <c r="A463" i="1" l="1"/>
  <c r="A129" i="1"/>
  <c r="A842" i="1"/>
  <c r="N809" i="1"/>
  <c r="A130" i="1" l="1"/>
  <c r="A844" i="1"/>
  <c r="A464" i="1"/>
  <c r="A845" i="1" l="1"/>
  <c r="A465" i="1"/>
  <c r="A131" i="1"/>
  <c r="I2691" i="4"/>
  <c r="I2690" i="4" s="1"/>
  <c r="Q795" i="1"/>
  <c r="I2688" i="4"/>
  <c r="I2687" i="4" s="1"/>
  <c r="Q794" i="1"/>
  <c r="K2686" i="4"/>
  <c r="A2687" i="4"/>
  <c r="A2690" i="4" s="1"/>
  <c r="Q791" i="1"/>
  <c r="J791" i="1"/>
  <c r="Q790" i="1"/>
  <c r="J790" i="1"/>
  <c r="P790" i="1" s="1"/>
  <c r="Q789" i="1"/>
  <c r="J789" i="1"/>
  <c r="Q786" i="1"/>
  <c r="J786" i="1"/>
  <c r="Q785" i="1"/>
  <c r="J785" i="1"/>
  <c r="Q784" i="1"/>
  <c r="J784" i="1"/>
  <c r="Q783" i="1"/>
  <c r="J783" i="1"/>
  <c r="Q782" i="1"/>
  <c r="J782" i="1"/>
  <c r="Q781" i="1"/>
  <c r="J781" i="1"/>
  <c r="Q780" i="1"/>
  <c r="J780" i="1"/>
  <c r="Q779" i="1"/>
  <c r="J779" i="1"/>
  <c r="Q778" i="1"/>
  <c r="J778" i="1"/>
  <c r="Q777" i="1"/>
  <c r="J777" i="1"/>
  <c r="Q776" i="1"/>
  <c r="J776" i="1"/>
  <c r="Q774" i="1"/>
  <c r="J774" i="1"/>
  <c r="Q773" i="1"/>
  <c r="J773" i="1"/>
  <c r="Q772" i="1"/>
  <c r="J772" i="1"/>
  <c r="Q771" i="1"/>
  <c r="J771" i="1"/>
  <c r="Q770" i="1"/>
  <c r="J770" i="1"/>
  <c r="H769" i="1"/>
  <c r="I769" i="1"/>
  <c r="K769" i="1"/>
  <c r="L769" i="1"/>
  <c r="M769" i="1"/>
  <c r="O769" i="1"/>
  <c r="G769" i="1"/>
  <c r="A771" i="1"/>
  <c r="I1308" i="4"/>
  <c r="I1306" i="4"/>
  <c r="I1304" i="4"/>
  <c r="K343" i="1"/>
  <c r="L343" i="1"/>
  <c r="M343" i="1"/>
  <c r="O343" i="1"/>
  <c r="I1514" i="4"/>
  <c r="K1513" i="4"/>
  <c r="Q410" i="1" s="1"/>
  <c r="I1511" i="4"/>
  <c r="I1509" i="4"/>
  <c r="I1507" i="4"/>
  <c r="K1506" i="4"/>
  <c r="Q409" i="1" s="1"/>
  <c r="I1504" i="4"/>
  <c r="I1502" i="4"/>
  <c r="I1500" i="4"/>
  <c r="K1499" i="4"/>
  <c r="Q408" i="1" s="1"/>
  <c r="I1497" i="4"/>
  <c r="I1495" i="4"/>
  <c r="I1493" i="4"/>
  <c r="K1492" i="4"/>
  <c r="Q407" i="1" s="1"/>
  <c r="I1491" i="4"/>
  <c r="K1490" i="4"/>
  <c r="I1490" i="4" s="1"/>
  <c r="I1488" i="4"/>
  <c r="K1487" i="4"/>
  <c r="I1487" i="4" s="1"/>
  <c r="K1485" i="4"/>
  <c r="K1484" i="4" s="1"/>
  <c r="Q404" i="1" s="1"/>
  <c r="I1482" i="4"/>
  <c r="I1480" i="4"/>
  <c r="J1478" i="4"/>
  <c r="J1476" i="4"/>
  <c r="K1475" i="4"/>
  <c r="Q403" i="1" s="1"/>
  <c r="K1474" i="4"/>
  <c r="I1474" i="4" s="1"/>
  <c r="K1473" i="4"/>
  <c r="K1471" i="4"/>
  <c r="K1470" i="4" s="1"/>
  <c r="Q401" i="1" s="1"/>
  <c r="K1469" i="4"/>
  <c r="K1468" i="4" s="1"/>
  <c r="Q400" i="1" s="1"/>
  <c r="K1467" i="4"/>
  <c r="K1466" i="4" s="1"/>
  <c r="Q399" i="1" s="1"/>
  <c r="K1465" i="4"/>
  <c r="K1464" i="4" s="1"/>
  <c r="I1465" i="4"/>
  <c r="K1463" i="4"/>
  <c r="I1463" i="4" s="1"/>
  <c r="K1462" i="4"/>
  <c r="I1459" i="4"/>
  <c r="K1458" i="4"/>
  <c r="Q396" i="1" s="1"/>
  <c r="K1457" i="4"/>
  <c r="K1456" i="4" s="1"/>
  <c r="Q395" i="1" s="1"/>
  <c r="K1455" i="4"/>
  <c r="I1453" i="4"/>
  <c r="K1452" i="4"/>
  <c r="K1451" i="4" s="1"/>
  <c r="Q393" i="1" s="1"/>
  <c r="I1452" i="4"/>
  <c r="I1450" i="4"/>
  <c r="K1449" i="4"/>
  <c r="I1447" i="4"/>
  <c r="K1446" i="4"/>
  <c r="K1445" i="4" s="1"/>
  <c r="Q391" i="1" s="1"/>
  <c r="I1446" i="4"/>
  <c r="K1444" i="4"/>
  <c r="I1441" i="4"/>
  <c r="Q389" i="1"/>
  <c r="I1438" i="4"/>
  <c r="K1437" i="4"/>
  <c r="Q388" i="1" s="1"/>
  <c r="I1435" i="4"/>
  <c r="I1433" i="4"/>
  <c r="I1431" i="4"/>
  <c r="K1430" i="4"/>
  <c r="Q387" i="1" s="1"/>
  <c r="K1429" i="4"/>
  <c r="K1428" i="4" s="1"/>
  <c r="Q386" i="1" s="1"/>
  <c r="J1429" i="4"/>
  <c r="J1428" i="4" s="1"/>
  <c r="I1428" i="4"/>
  <c r="I1426" i="4"/>
  <c r="K1425" i="4"/>
  <c r="Q385" i="1" s="1"/>
  <c r="K1424" i="4"/>
  <c r="J1424" i="4"/>
  <c r="J1423" i="4" s="1"/>
  <c r="K1423" i="4"/>
  <c r="Q384" i="1" s="1"/>
  <c r="I1423" i="4"/>
  <c r="I1421" i="4"/>
  <c r="K1420" i="4"/>
  <c r="Q383" i="1" s="1"/>
  <c r="K1419" i="4"/>
  <c r="K1418" i="4" s="1"/>
  <c r="Q382" i="1" s="1"/>
  <c r="K1417" i="4"/>
  <c r="K1416" i="4" s="1"/>
  <c r="Q381" i="1" s="1"/>
  <c r="I1417" i="4"/>
  <c r="K1415" i="4"/>
  <c r="I1415" i="4" s="1"/>
  <c r="K1413" i="4"/>
  <c r="I1410" i="4"/>
  <c r="I1408" i="4"/>
  <c r="I1406" i="4"/>
  <c r="K1405" i="4"/>
  <c r="Q378" i="1" s="1"/>
  <c r="K1404" i="4"/>
  <c r="I1404" i="4" s="1"/>
  <c r="K1403" i="4"/>
  <c r="J1403" i="4"/>
  <c r="I1400" i="4"/>
  <c r="I1398" i="4"/>
  <c r="I1396" i="4"/>
  <c r="K1395" i="4"/>
  <c r="Q376" i="1" s="1"/>
  <c r="I1393" i="4"/>
  <c r="I1391" i="4"/>
  <c r="I1389" i="4"/>
  <c r="K1388" i="4"/>
  <c r="Q375" i="1" s="1"/>
  <c r="I1386" i="4"/>
  <c r="K1385" i="4"/>
  <c r="Q374" i="1" s="1"/>
  <c r="K1384" i="4"/>
  <c r="K1383" i="4" s="1"/>
  <c r="Q373" i="1" s="1"/>
  <c r="K1382" i="4"/>
  <c r="K1381" i="4" s="1"/>
  <c r="Q372" i="1" s="1"/>
  <c r="I1379" i="4"/>
  <c r="K1378" i="4"/>
  <c r="Q371" i="1" s="1"/>
  <c r="I1376" i="4"/>
  <c r="K1375" i="4"/>
  <c r="Q370" i="1" s="1"/>
  <c r="J1374" i="4"/>
  <c r="I1373" i="4"/>
  <c r="J1372" i="4"/>
  <c r="I1371" i="4"/>
  <c r="J1370" i="4"/>
  <c r="I1369" i="4"/>
  <c r="K1368" i="4"/>
  <c r="Q369" i="1" s="1"/>
  <c r="I1366" i="4"/>
  <c r="K1365" i="4"/>
  <c r="Q368" i="1" s="1"/>
  <c r="I1363" i="4"/>
  <c r="K1362" i="4"/>
  <c r="Q367" i="1" s="1"/>
  <c r="I1360" i="4"/>
  <c r="I1359" i="4" s="1"/>
  <c r="K1359" i="4"/>
  <c r="Q366" i="1" s="1"/>
  <c r="I1357" i="4"/>
  <c r="I1355" i="4"/>
  <c r="K1354" i="4"/>
  <c r="Q365" i="1" s="1"/>
  <c r="I1352" i="4"/>
  <c r="I1351" i="4" s="1"/>
  <c r="K1351" i="4"/>
  <c r="Q364" i="1" s="1"/>
  <c r="I1349" i="4"/>
  <c r="Q363" i="1"/>
  <c r="I1346" i="4"/>
  <c r="K1345" i="4"/>
  <c r="Q362" i="1" s="1"/>
  <c r="I1343" i="4"/>
  <c r="Q361" i="1"/>
  <c r="K1341" i="4"/>
  <c r="K1340" i="4" s="1"/>
  <c r="Q360" i="1" s="1"/>
  <c r="J1339" i="4"/>
  <c r="I1338" i="4"/>
  <c r="J1337" i="4"/>
  <c r="I1336" i="4"/>
  <c r="J1335" i="4"/>
  <c r="J1334" i="4"/>
  <c r="K1333" i="4"/>
  <c r="Q359" i="1" s="1"/>
  <c r="I1331" i="4"/>
  <c r="K1330" i="4"/>
  <c r="Q358" i="1" s="1"/>
  <c r="I1329" i="4"/>
  <c r="K1328" i="4"/>
  <c r="K1327" i="4" s="1"/>
  <c r="Q357" i="1" s="1"/>
  <c r="J1328" i="4"/>
  <c r="I1325" i="4"/>
  <c r="K1324" i="4"/>
  <c r="Q356" i="1" s="1"/>
  <c r="J1323" i="4"/>
  <c r="I1322" i="4"/>
  <c r="J1321" i="4"/>
  <c r="I1320" i="4"/>
  <c r="J1319" i="4"/>
  <c r="J1318" i="4"/>
  <c r="K1317" i="4"/>
  <c r="Q355" i="1" s="1"/>
  <c r="K1316" i="4"/>
  <c r="K1315" i="4" s="1"/>
  <c r="Q354" i="1" s="1"/>
  <c r="K1314" i="4"/>
  <c r="K1313" i="4" s="1"/>
  <c r="Q353" i="1" s="1"/>
  <c r="I1314" i="4"/>
  <c r="I1312" i="4"/>
  <c r="K1311" i="4"/>
  <c r="K1310" i="4" s="1"/>
  <c r="Q352" i="1" s="1"/>
  <c r="I1311" i="4"/>
  <c r="I1302" i="4"/>
  <c r="I1300" i="4"/>
  <c r="Q351" i="1"/>
  <c r="I1298" i="4"/>
  <c r="K1297" i="4"/>
  <c r="K1296" i="4" s="1"/>
  <c r="Q350" i="1" s="1"/>
  <c r="I1297" i="4"/>
  <c r="I1294" i="4"/>
  <c r="K1293" i="4"/>
  <c r="Q349" i="1" s="1"/>
  <c r="K1292" i="4"/>
  <c r="K1291" i="4" s="1"/>
  <c r="Q348" i="1" s="1"/>
  <c r="I1289" i="4"/>
  <c r="I1288" i="4" s="1"/>
  <c r="K1288" i="4"/>
  <c r="Q347" i="1" s="1"/>
  <c r="K1287" i="4"/>
  <c r="J1286" i="4"/>
  <c r="J1285" i="4"/>
  <c r="K1281" i="4"/>
  <c r="K1280" i="4"/>
  <c r="J1280" i="4"/>
  <c r="J1279" i="4"/>
  <c r="K1278" i="4"/>
  <c r="K1277" i="4"/>
  <c r="J1277" i="4"/>
  <c r="J1276" i="4"/>
  <c r="K1275" i="4"/>
  <c r="K1274" i="4"/>
  <c r="J1274" i="4"/>
  <c r="J1273" i="4"/>
  <c r="K1272" i="4"/>
  <c r="K1271" i="4"/>
  <c r="J1271" i="4"/>
  <c r="J1270" i="4"/>
  <c r="K1269" i="4"/>
  <c r="K1268" i="4"/>
  <c r="J1268" i="4"/>
  <c r="J1267" i="4"/>
  <c r="K1266" i="4"/>
  <c r="K1265" i="4"/>
  <c r="J1265" i="4"/>
  <c r="J1264" i="4"/>
  <c r="J346" i="1"/>
  <c r="I1261" i="4"/>
  <c r="K1260" i="4"/>
  <c r="Q345" i="1" s="1"/>
  <c r="A1260" i="4"/>
  <c r="A1263" i="4" s="1"/>
  <c r="A1288" i="4" s="1"/>
  <c r="A1291" i="4" s="1"/>
  <c r="A1293" i="4" s="1"/>
  <c r="A1296" i="4" s="1"/>
  <c r="A1299" i="4" s="1"/>
  <c r="A1310" i="4" s="1"/>
  <c r="A1313" i="4" s="1"/>
  <c r="A1315" i="4" s="1"/>
  <c r="A1317" i="4" s="1"/>
  <c r="A1324" i="4" s="1"/>
  <c r="I1258" i="4"/>
  <c r="I1256" i="4"/>
  <c r="I1254" i="4"/>
  <c r="K1253" i="4"/>
  <c r="Q344" i="1" s="1"/>
  <c r="H343" i="1"/>
  <c r="I343" i="1"/>
  <c r="G343" i="1"/>
  <c r="A345" i="1"/>
  <c r="H35" i="1"/>
  <c r="I35" i="1"/>
  <c r="K35" i="1"/>
  <c r="L35" i="1"/>
  <c r="M35" i="1"/>
  <c r="O35" i="1"/>
  <c r="G35" i="1"/>
  <c r="A37" i="1"/>
  <c r="K276" i="4"/>
  <c r="I276" i="4" s="1"/>
  <c r="K274" i="4"/>
  <c r="I274" i="4" s="1"/>
  <c r="K273" i="4"/>
  <c r="K272" i="4"/>
  <c r="I272" i="4" s="1"/>
  <c r="K270" i="4"/>
  <c r="I270" i="4" s="1"/>
  <c r="K269" i="4"/>
  <c r="K268" i="4"/>
  <c r="I268" i="4" s="1"/>
  <c r="K266" i="4"/>
  <c r="I266" i="4" s="1"/>
  <c r="K265" i="4"/>
  <c r="K264" i="4"/>
  <c r="I264" i="4" s="1"/>
  <c r="K262" i="4"/>
  <c r="I262" i="4" s="1"/>
  <c r="K261" i="4"/>
  <c r="I261" i="4" s="1"/>
  <c r="K259" i="4"/>
  <c r="I259" i="4"/>
  <c r="I257" i="4"/>
  <c r="K256" i="4"/>
  <c r="K255" i="4" s="1"/>
  <c r="Q78" i="1" s="1"/>
  <c r="I256" i="4"/>
  <c r="J254" i="4"/>
  <c r="J253" i="4"/>
  <c r="K252" i="4"/>
  <c r="Q77" i="1" s="1"/>
  <c r="I252" i="4"/>
  <c r="I251" i="4"/>
  <c r="K250" i="4"/>
  <c r="K249" i="4" s="1"/>
  <c r="Q76" i="1" s="1"/>
  <c r="I250" i="4"/>
  <c r="I248" i="4"/>
  <c r="K247" i="4"/>
  <c r="K246" i="4" s="1"/>
  <c r="Q75" i="1" s="1"/>
  <c r="I247" i="4"/>
  <c r="K245" i="4"/>
  <c r="I245" i="4" s="1"/>
  <c r="K244" i="4"/>
  <c r="K243" i="4"/>
  <c r="I243" i="4" s="1"/>
  <c r="J241" i="4"/>
  <c r="J240" i="4"/>
  <c r="K239" i="4"/>
  <c r="Q73" i="1" s="1"/>
  <c r="I239" i="4"/>
  <c r="K238" i="4"/>
  <c r="K237" i="4" s="1"/>
  <c r="Q72" i="1" s="1"/>
  <c r="I238" i="4"/>
  <c r="K236" i="4"/>
  <c r="K235" i="4"/>
  <c r="J235" i="4"/>
  <c r="J234" i="4"/>
  <c r="K234" i="4" s="1"/>
  <c r="K233" i="4"/>
  <c r="K232" i="4"/>
  <c r="J232" i="4"/>
  <c r="J231" i="4"/>
  <c r="K231" i="4" s="1"/>
  <c r="K230" i="4"/>
  <c r="K229" i="4"/>
  <c r="J229" i="4"/>
  <c r="J228" i="4"/>
  <c r="K228" i="4" s="1"/>
  <c r="K227" i="4"/>
  <c r="K226" i="4"/>
  <c r="J226" i="4"/>
  <c r="J225" i="4"/>
  <c r="K225" i="4" s="1"/>
  <c r="K224" i="4"/>
  <c r="K223" i="4"/>
  <c r="J223" i="4"/>
  <c r="J222" i="4"/>
  <c r="K222" i="4" s="1"/>
  <c r="K221" i="4"/>
  <c r="K220" i="4"/>
  <c r="J220" i="4"/>
  <c r="J219" i="4"/>
  <c r="K219" i="4" s="1"/>
  <c r="I218" i="4"/>
  <c r="K217" i="4"/>
  <c r="K216" i="4"/>
  <c r="J216" i="4"/>
  <c r="J215" i="4"/>
  <c r="K215" i="4" s="1"/>
  <c r="I214" i="4"/>
  <c r="K213" i="4"/>
  <c r="K212" i="4"/>
  <c r="J212" i="4"/>
  <c r="J211" i="4"/>
  <c r="K211" i="4" s="1"/>
  <c r="I210" i="4"/>
  <c r="K209" i="4"/>
  <c r="K208" i="4"/>
  <c r="J208" i="4"/>
  <c r="J207" i="4"/>
  <c r="K207" i="4" s="1"/>
  <c r="K206" i="4"/>
  <c r="K205" i="4"/>
  <c r="J205" i="4"/>
  <c r="J204" i="4"/>
  <c r="K204" i="4" s="1"/>
  <c r="K203" i="4"/>
  <c r="K202" i="4"/>
  <c r="J202" i="4"/>
  <c r="J201" i="4"/>
  <c r="K201" i="4" s="1"/>
  <c r="K200" i="4"/>
  <c r="K199" i="4"/>
  <c r="J199" i="4"/>
  <c r="J198" i="4"/>
  <c r="K198" i="4" s="1"/>
  <c r="K197" i="4"/>
  <c r="K196" i="4"/>
  <c r="J196" i="4"/>
  <c r="J195" i="4"/>
  <c r="K195" i="4" s="1"/>
  <c r="K194" i="4"/>
  <c r="K193" i="4"/>
  <c r="J193" i="4"/>
  <c r="J192" i="4"/>
  <c r="K192" i="4" s="1"/>
  <c r="K191" i="4"/>
  <c r="K190" i="4"/>
  <c r="J190" i="4"/>
  <c r="J189" i="4"/>
  <c r="K189" i="4" s="1"/>
  <c r="K188" i="4"/>
  <c r="K187" i="4"/>
  <c r="J187" i="4"/>
  <c r="J186" i="4"/>
  <c r="K186" i="4" s="1"/>
  <c r="K185" i="4"/>
  <c r="K184" i="4"/>
  <c r="J184" i="4"/>
  <c r="K183" i="4"/>
  <c r="J183" i="4"/>
  <c r="I182" i="4"/>
  <c r="I181" i="4"/>
  <c r="K180" i="4"/>
  <c r="K179" i="4" s="1"/>
  <c r="Q67" i="1" s="1"/>
  <c r="I180" i="4"/>
  <c r="I178" i="4"/>
  <c r="K177" i="4"/>
  <c r="I177" i="4" s="1"/>
  <c r="I176" i="4"/>
  <c r="K175" i="4"/>
  <c r="I174" i="4"/>
  <c r="K173" i="4"/>
  <c r="I173" i="4" s="1"/>
  <c r="K171" i="4"/>
  <c r="I171" i="4"/>
  <c r="K170" i="4"/>
  <c r="I170" i="4"/>
  <c r="K169" i="4"/>
  <c r="I169" i="4"/>
  <c r="K167" i="4"/>
  <c r="I167" i="4" s="1"/>
  <c r="K166" i="4"/>
  <c r="I166" i="4" s="1"/>
  <c r="K165" i="4"/>
  <c r="I165" i="4" s="1"/>
  <c r="K163" i="4"/>
  <c r="K162" i="4" s="1"/>
  <c r="Q63" i="1" s="1"/>
  <c r="I163" i="4"/>
  <c r="K161" i="4"/>
  <c r="K160" i="4"/>
  <c r="I160" i="4"/>
  <c r="K159" i="4"/>
  <c r="J159" i="4"/>
  <c r="I157" i="4"/>
  <c r="J156" i="4"/>
  <c r="K155" i="4"/>
  <c r="Q61" i="1" s="1"/>
  <c r="I154" i="4"/>
  <c r="J153" i="4"/>
  <c r="K152" i="4"/>
  <c r="Q60" i="1" s="1"/>
  <c r="K151" i="4"/>
  <c r="K150" i="4" s="1"/>
  <c r="Q59" i="1" s="1"/>
  <c r="J151" i="4"/>
  <c r="J150" i="4" s="1"/>
  <c r="I150" i="4"/>
  <c r="I149" i="4"/>
  <c r="K148" i="4"/>
  <c r="K147" i="4" s="1"/>
  <c r="Q58" i="1" s="1"/>
  <c r="I148" i="4"/>
  <c r="J146" i="4"/>
  <c r="J145" i="4"/>
  <c r="K144" i="4"/>
  <c r="Q57" i="1" s="1"/>
  <c r="I144" i="4"/>
  <c r="I143" i="4"/>
  <c r="K142" i="4"/>
  <c r="K141" i="4" s="1"/>
  <c r="Q56" i="1" s="1"/>
  <c r="I142" i="4"/>
  <c r="K140" i="4"/>
  <c r="I140" i="4" s="1"/>
  <c r="K139" i="4"/>
  <c r="I139" i="4" s="1"/>
  <c r="K138" i="4"/>
  <c r="I136" i="4"/>
  <c r="K135" i="4"/>
  <c r="I135" i="4" s="1"/>
  <c r="I133" i="4"/>
  <c r="K132" i="4"/>
  <c r="I132" i="4" s="1"/>
  <c r="I130" i="4"/>
  <c r="K129" i="4"/>
  <c r="K128" i="4" s="1"/>
  <c r="Q52" i="1" s="1"/>
  <c r="I129" i="4"/>
  <c r="I127" i="4"/>
  <c r="K126" i="4"/>
  <c r="I126" i="4" s="1"/>
  <c r="I125" i="4"/>
  <c r="K124" i="4"/>
  <c r="I124" i="4" s="1"/>
  <c r="I122" i="4"/>
  <c r="K121" i="4"/>
  <c r="I121" i="4" s="1"/>
  <c r="K119" i="4"/>
  <c r="J119" i="4"/>
  <c r="J118" i="4" s="1"/>
  <c r="I117" i="4"/>
  <c r="K116" i="4"/>
  <c r="K115" i="4" s="1"/>
  <c r="Q48" i="1" s="1"/>
  <c r="I116" i="4"/>
  <c r="J113" i="4"/>
  <c r="J111" i="4"/>
  <c r="J109" i="4"/>
  <c r="K108" i="4"/>
  <c r="Q47" i="1" s="1"/>
  <c r="I108" i="4"/>
  <c r="K107" i="4"/>
  <c r="I107" i="4" s="1"/>
  <c r="K106" i="4"/>
  <c r="I106" i="4" s="1"/>
  <c r="I104" i="4"/>
  <c r="K103" i="4"/>
  <c r="K102" i="4" s="1"/>
  <c r="Q45" i="1" s="1"/>
  <c r="I103" i="4"/>
  <c r="I101" i="4"/>
  <c r="Q44" i="1"/>
  <c r="K99" i="4"/>
  <c r="I99" i="4"/>
  <c r="K98" i="4"/>
  <c r="I98" i="4"/>
  <c r="K97" i="4"/>
  <c r="I97" i="4"/>
  <c r="K96" i="4"/>
  <c r="I96" i="4"/>
  <c r="K95" i="4"/>
  <c r="I95" i="4"/>
  <c r="I93" i="4"/>
  <c r="K92" i="4"/>
  <c r="K91" i="4" s="1"/>
  <c r="Q42" i="1" s="1"/>
  <c r="I92" i="4"/>
  <c r="I90" i="4"/>
  <c r="K89" i="4"/>
  <c r="K88" i="4" s="1"/>
  <c r="Q41" i="1" s="1"/>
  <c r="I89" i="4"/>
  <c r="K87" i="4"/>
  <c r="K86" i="4"/>
  <c r="J86" i="4"/>
  <c r="K85" i="4"/>
  <c r="J85" i="4"/>
  <c r="I84" i="4"/>
  <c r="J82" i="4"/>
  <c r="J80" i="4"/>
  <c r="J78" i="4"/>
  <c r="K77" i="4"/>
  <c r="Q39" i="1" s="1"/>
  <c r="I77" i="4"/>
  <c r="J76" i="4"/>
  <c r="J75" i="4"/>
  <c r="K74" i="4"/>
  <c r="Q38" i="1" s="1"/>
  <c r="I74" i="4"/>
  <c r="I73" i="4"/>
  <c r="K72" i="4"/>
  <c r="I72" i="4"/>
  <c r="I71" i="4"/>
  <c r="K70" i="4"/>
  <c r="I70" i="4"/>
  <c r="I69" i="4"/>
  <c r="K68" i="4"/>
  <c r="I68" i="4"/>
  <c r="A67" i="4"/>
  <c r="A74" i="4" s="1"/>
  <c r="A77" i="4" s="1"/>
  <c r="A84" i="4" s="1"/>
  <c r="A88" i="4" s="1"/>
  <c r="A91" i="4" s="1"/>
  <c r="A94" i="4" s="1"/>
  <c r="A100" i="4" s="1"/>
  <c r="A102" i="4" s="1"/>
  <c r="A105" i="4" s="1"/>
  <c r="A108" i="4" s="1"/>
  <c r="A115" i="4" s="1"/>
  <c r="A118" i="4" s="1"/>
  <c r="A120" i="4" s="1"/>
  <c r="A123" i="4" s="1"/>
  <c r="A128" i="4" s="1"/>
  <c r="A131" i="4" s="1"/>
  <c r="A134" i="4" s="1"/>
  <c r="A137" i="4" s="1"/>
  <c r="A141" i="4" s="1"/>
  <c r="A144" i="4" s="1"/>
  <c r="A147" i="4" s="1"/>
  <c r="A150" i="4" s="1"/>
  <c r="A152" i="4" s="1"/>
  <c r="A155" i="4" s="1"/>
  <c r="A158" i="4" s="1"/>
  <c r="A162" i="4" s="1"/>
  <c r="A164" i="4" s="1"/>
  <c r="A168" i="4" s="1"/>
  <c r="A172" i="4" s="1"/>
  <c r="A179" i="4" s="1"/>
  <c r="A182" i="4" s="1"/>
  <c r="A210" i="4" s="1"/>
  <c r="A214" i="4" s="1"/>
  <c r="A218" i="4" s="1"/>
  <c r="A237" i="4" s="1"/>
  <c r="A239" i="4" s="1"/>
  <c r="A242" i="4" s="1"/>
  <c r="A246" i="4" s="1"/>
  <c r="A249" i="4" s="1"/>
  <c r="A252" i="4" s="1"/>
  <c r="A255" i="4" s="1"/>
  <c r="A258" i="4" s="1"/>
  <c r="A260" i="4" s="1"/>
  <c r="A263" i="4" s="1"/>
  <c r="A267" i="4" s="1"/>
  <c r="A271" i="4" s="1"/>
  <c r="A275" i="4" s="1"/>
  <c r="J66" i="4"/>
  <c r="J65" i="4"/>
  <c r="K64" i="4"/>
  <c r="Q36" i="1" s="1"/>
  <c r="I64" i="4"/>
  <c r="D63" i="4"/>
  <c r="A466" i="1" l="1"/>
  <c r="A38" i="1"/>
  <c r="A346" i="1"/>
  <c r="A772" i="1"/>
  <c r="A132" i="1"/>
  <c r="A846" i="1"/>
  <c r="J160" i="4"/>
  <c r="J158" i="4" s="1"/>
  <c r="J238" i="4"/>
  <c r="J237" i="4" s="1"/>
  <c r="J1452" i="4"/>
  <c r="J1311" i="4"/>
  <c r="J1325" i="4"/>
  <c r="J1324" i="4" s="1"/>
  <c r="J1446" i="4"/>
  <c r="I2686" i="4"/>
  <c r="I2685" i="4" s="1"/>
  <c r="K2685" i="4"/>
  <c r="Q793" i="1" s="1"/>
  <c r="J70" i="4"/>
  <c r="J71" i="4"/>
  <c r="J38" i="1"/>
  <c r="J39" i="1"/>
  <c r="J92" i="4"/>
  <c r="J93" i="4"/>
  <c r="J106" i="4"/>
  <c r="J47" i="1"/>
  <c r="J121" i="4"/>
  <c r="J126" i="4"/>
  <c r="J129" i="4"/>
  <c r="J139" i="4"/>
  <c r="J142" i="4"/>
  <c r="J143" i="4"/>
  <c r="J59" i="1"/>
  <c r="J157" i="4"/>
  <c r="J155" i="4" s="1"/>
  <c r="J163" i="4"/>
  <c r="J162" i="4" s="1"/>
  <c r="J165" i="4"/>
  <c r="J167" i="4"/>
  <c r="J176" i="4"/>
  <c r="J178" i="4"/>
  <c r="J68" i="1"/>
  <c r="J69" i="1"/>
  <c r="J71" i="1"/>
  <c r="J247" i="4"/>
  <c r="J77" i="1"/>
  <c r="J256" i="4"/>
  <c r="J257" i="4"/>
  <c r="J262" i="4"/>
  <c r="J268" i="4"/>
  <c r="J270" i="4"/>
  <c r="J1258" i="4"/>
  <c r="J347" i="1"/>
  <c r="J1289" i="4"/>
  <c r="J1288" i="4" s="1"/>
  <c r="J1298" i="4"/>
  <c r="J1300" i="4"/>
  <c r="J1312" i="4"/>
  <c r="J364" i="1"/>
  <c r="J1352" i="4"/>
  <c r="J1351" i="4" s="1"/>
  <c r="J1355" i="4"/>
  <c r="J366" i="1"/>
  <c r="J1360" i="4"/>
  <c r="J1359" i="4" s="1"/>
  <c r="J1363" i="4"/>
  <c r="J1362" i="4" s="1"/>
  <c r="J1366" i="4"/>
  <c r="J1365" i="4" s="1"/>
  <c r="J1369" i="4"/>
  <c r="J1371" i="4"/>
  <c r="J1373" i="4"/>
  <c r="J1391" i="4"/>
  <c r="J1398" i="4"/>
  <c r="J1410" i="4"/>
  <c r="J384" i="1"/>
  <c r="J1433" i="4"/>
  <c r="J1463" i="4"/>
  <c r="J1482" i="4"/>
  <c r="J1487" i="4"/>
  <c r="J1490" i="4"/>
  <c r="J1495" i="4"/>
  <c r="J1502" i="4"/>
  <c r="J1509" i="4"/>
  <c r="J1304" i="4"/>
  <c r="J1308" i="4"/>
  <c r="J68" i="4"/>
  <c r="J69" i="4"/>
  <c r="J72" i="4"/>
  <c r="J73" i="4"/>
  <c r="J40" i="1"/>
  <c r="J89" i="4"/>
  <c r="J90" i="4"/>
  <c r="J95" i="4"/>
  <c r="J96" i="4"/>
  <c r="J97" i="4"/>
  <c r="J98" i="4"/>
  <c r="J99" i="4"/>
  <c r="J103" i="4"/>
  <c r="J104" i="4"/>
  <c r="J116" i="4"/>
  <c r="J117" i="4"/>
  <c r="J122" i="4"/>
  <c r="J125" i="4"/>
  <c r="J127" i="4"/>
  <c r="J132" i="4"/>
  <c r="J135" i="4"/>
  <c r="J140" i="4"/>
  <c r="J57" i="1"/>
  <c r="J148" i="4"/>
  <c r="J154" i="4"/>
  <c r="J152" i="4" s="1"/>
  <c r="J169" i="4"/>
  <c r="J171" i="4"/>
  <c r="J173" i="4"/>
  <c r="J177" i="4"/>
  <c r="J180" i="4"/>
  <c r="J70" i="1"/>
  <c r="J73" i="1"/>
  <c r="J243" i="4"/>
  <c r="J245" i="4"/>
  <c r="J261" i="4"/>
  <c r="J264" i="4"/>
  <c r="J266" i="4"/>
  <c r="J272" i="4"/>
  <c r="J274" i="4"/>
  <c r="J1256" i="4"/>
  <c r="J1302" i="4"/>
  <c r="J1320" i="4"/>
  <c r="J1329" i="4"/>
  <c r="J1327" i="4" s="1"/>
  <c r="J1331" i="4"/>
  <c r="J1330" i="4" s="1"/>
  <c r="J1336" i="4"/>
  <c r="J1338" i="4"/>
  <c r="J1346" i="4"/>
  <c r="J1345" i="4" s="1"/>
  <c r="J1393" i="4"/>
  <c r="J1400" i="4"/>
  <c r="J1408" i="4"/>
  <c r="J386" i="1"/>
  <c r="J1435" i="4"/>
  <c r="I1440" i="4"/>
  <c r="J1450" i="4"/>
  <c r="J1474" i="4"/>
  <c r="J1480" i="4"/>
  <c r="J1497" i="4"/>
  <c r="J1504" i="4"/>
  <c r="J1511" i="4"/>
  <c r="J1306" i="4"/>
  <c r="J2688" i="4"/>
  <c r="J2687" i="4" s="1"/>
  <c r="J2691" i="4"/>
  <c r="J2690" i="4" s="1"/>
  <c r="J259" i="4"/>
  <c r="J258" i="4" s="1"/>
  <c r="I258" i="4"/>
  <c r="K258" i="4"/>
  <c r="Q79" i="1" s="1"/>
  <c r="K118" i="4"/>
  <c r="Q49" i="1" s="1"/>
  <c r="J250" i="4"/>
  <c r="I249" i="4"/>
  <c r="I152" i="4"/>
  <c r="J49" i="1"/>
  <c r="I158" i="4"/>
  <c r="J1263" i="4"/>
  <c r="K1263" i="4"/>
  <c r="Q346" i="1" s="1"/>
  <c r="J101" i="4"/>
  <c r="J100" i="4" s="1"/>
  <c r="I100" i="4"/>
  <c r="J1343" i="4"/>
  <c r="J1342" i="4" s="1"/>
  <c r="I1342" i="4"/>
  <c r="J1349" i="4"/>
  <c r="J1348" i="4" s="1"/>
  <c r="I1348" i="4"/>
  <c r="I1316" i="4"/>
  <c r="I1327" i="4"/>
  <c r="K1402" i="4"/>
  <c r="Q377" i="1" s="1"/>
  <c r="I1324" i="4"/>
  <c r="I1345" i="4"/>
  <c r="I94" i="4"/>
  <c r="I1362" i="4"/>
  <c r="I1330" i="4"/>
  <c r="K1414" i="4"/>
  <c r="Q380" i="1" s="1"/>
  <c r="I1471" i="4"/>
  <c r="I141" i="4"/>
  <c r="I155" i="4"/>
  <c r="I88" i="4"/>
  <c r="P780" i="1"/>
  <c r="J84" i="4"/>
  <c r="N770" i="1"/>
  <c r="P771" i="1"/>
  <c r="N772" i="1"/>
  <c r="N773" i="1"/>
  <c r="N774" i="1"/>
  <c r="P776" i="1"/>
  <c r="N777" i="1"/>
  <c r="P778" i="1"/>
  <c r="N779" i="1"/>
  <c r="N781" i="1"/>
  <c r="N782" i="1"/>
  <c r="N783" i="1"/>
  <c r="P784" i="1"/>
  <c r="N785" i="1"/>
  <c r="P786" i="1"/>
  <c r="N789" i="1"/>
  <c r="N791" i="1"/>
  <c r="P346" i="1"/>
  <c r="P773" i="1"/>
  <c r="N778" i="1"/>
  <c r="P782" i="1"/>
  <c r="N786" i="1"/>
  <c r="J1404" i="4"/>
  <c r="J1402" i="4" s="1"/>
  <c r="I1402" i="4"/>
  <c r="I1365" i="4"/>
  <c r="I1384" i="4"/>
  <c r="I1457" i="4"/>
  <c r="K1461" i="4"/>
  <c r="Q397" i="1" s="1"/>
  <c r="I1485" i="4"/>
  <c r="K1486" i="4"/>
  <c r="Q405" i="1" s="1"/>
  <c r="J1415" i="4"/>
  <c r="J1414" i="4" s="1"/>
  <c r="I1414" i="4"/>
  <c r="I1292" i="4"/>
  <c r="I1419" i="4"/>
  <c r="I1467" i="4"/>
  <c r="I1475" i="4"/>
  <c r="K1489" i="4"/>
  <c r="Q406" i="1" s="1"/>
  <c r="Q398" i="1"/>
  <c r="N771" i="1"/>
  <c r="N776" i="1"/>
  <c r="N780" i="1"/>
  <c r="N784" i="1"/>
  <c r="N790" i="1"/>
  <c r="P770" i="1"/>
  <c r="P772" i="1"/>
  <c r="P774" i="1"/>
  <c r="P777" i="1"/>
  <c r="P779" i="1"/>
  <c r="P781" i="1"/>
  <c r="P783" i="1"/>
  <c r="P785" i="1"/>
  <c r="P789" i="1"/>
  <c r="P791" i="1"/>
  <c r="J1357" i="4"/>
  <c r="I1354" i="4"/>
  <c r="I1299" i="4"/>
  <c r="A1327" i="4"/>
  <c r="A1330" i="4" s="1"/>
  <c r="A1333" i="4" s="1"/>
  <c r="A1340" i="4" s="1"/>
  <c r="A1342" i="4" s="1"/>
  <c r="A1345" i="4" s="1"/>
  <c r="J214" i="4"/>
  <c r="I1462" i="4"/>
  <c r="I1469" i="4"/>
  <c r="J1294" i="4"/>
  <c r="J1293" i="4" s="1"/>
  <c r="I1293" i="4"/>
  <c r="J1376" i="4"/>
  <c r="J1375" i="4" s="1"/>
  <c r="I1375" i="4"/>
  <c r="J1379" i="4"/>
  <c r="J1378" i="4" s="1"/>
  <c r="I1378" i="4"/>
  <c r="J1417" i="4"/>
  <c r="J1416" i="4" s="1"/>
  <c r="I1416" i="4"/>
  <c r="J1438" i="4"/>
  <c r="J1437" i="4" s="1"/>
  <c r="I1437" i="4"/>
  <c r="J1447" i="4"/>
  <c r="I1445" i="4"/>
  <c r="K1448" i="4"/>
  <c r="Q392" i="1" s="1"/>
  <c r="I1449" i="4"/>
  <c r="K1472" i="4"/>
  <c r="Q402" i="1" s="1"/>
  <c r="I1473" i="4"/>
  <c r="J64" i="4"/>
  <c r="J74" i="4"/>
  <c r="I162" i="4"/>
  <c r="J210" i="4"/>
  <c r="K214" i="4"/>
  <c r="Q70" i="1" s="1"/>
  <c r="J36" i="1"/>
  <c r="J1254" i="4"/>
  <c r="I1253" i="4"/>
  <c r="J1261" i="4"/>
  <c r="J1260" i="4" s="1"/>
  <c r="I1260" i="4"/>
  <c r="J1297" i="4"/>
  <c r="I1296" i="4"/>
  <c r="I1310" i="4"/>
  <c r="J1314" i="4"/>
  <c r="J1313" i="4" s="1"/>
  <c r="I1313" i="4"/>
  <c r="J1322" i="4"/>
  <c r="I1317" i="4"/>
  <c r="I1333" i="4"/>
  <c r="I1341" i="4"/>
  <c r="I1368" i="4"/>
  <c r="I1382" i="4"/>
  <c r="J1386" i="4"/>
  <c r="J1385" i="4" s="1"/>
  <c r="I1385" i="4"/>
  <c r="J1389" i="4"/>
  <c r="I1388" i="4"/>
  <c r="J1396" i="4"/>
  <c r="I1395" i="4"/>
  <c r="J1406" i="4"/>
  <c r="I1405" i="4"/>
  <c r="K1412" i="4"/>
  <c r="Q379" i="1" s="1"/>
  <c r="I1413" i="4"/>
  <c r="J1421" i="4"/>
  <c r="J1420" i="4" s="1"/>
  <c r="I1420" i="4"/>
  <c r="J1426" i="4"/>
  <c r="J1425" i="4" s="1"/>
  <c r="I1425" i="4"/>
  <c r="J1431" i="4"/>
  <c r="I1430" i="4"/>
  <c r="J1441" i="4"/>
  <c r="J1440" i="4" s="1"/>
  <c r="K1443" i="4"/>
  <c r="Q390" i="1" s="1"/>
  <c r="I1444" i="4"/>
  <c r="J1453" i="4"/>
  <c r="J1451" i="4" s="1"/>
  <c r="I1451" i="4"/>
  <c r="K1454" i="4"/>
  <c r="Q394" i="1" s="1"/>
  <c r="I1455" i="4"/>
  <c r="J1459" i="4"/>
  <c r="J1458" i="4" s="1"/>
  <c r="I1458" i="4"/>
  <c r="J1465" i="4"/>
  <c r="J1464" i="4" s="1"/>
  <c r="I1464" i="4"/>
  <c r="J1488" i="4"/>
  <c r="J1486" i="4" s="1"/>
  <c r="I1486" i="4"/>
  <c r="J1491" i="4"/>
  <c r="I1489" i="4"/>
  <c r="J1493" i="4"/>
  <c r="I1492" i="4"/>
  <c r="J1500" i="4"/>
  <c r="I1499" i="4"/>
  <c r="J1507" i="4"/>
  <c r="I1506" i="4"/>
  <c r="J1514" i="4"/>
  <c r="J1513" i="4" s="1"/>
  <c r="I1513" i="4"/>
  <c r="N346" i="1"/>
  <c r="J108" i="4"/>
  <c r="K134" i="4"/>
  <c r="Q54" i="1" s="1"/>
  <c r="J218" i="4"/>
  <c r="J239" i="4"/>
  <c r="K242" i="4"/>
  <c r="Q74" i="1" s="1"/>
  <c r="K271" i="4"/>
  <c r="Q83" i="1" s="1"/>
  <c r="J276" i="4"/>
  <c r="J275" i="4" s="1"/>
  <c r="I275" i="4"/>
  <c r="K84" i="4"/>
  <c r="Q40" i="1" s="1"/>
  <c r="K94" i="4"/>
  <c r="Q43" i="1" s="1"/>
  <c r="K105" i="4"/>
  <c r="Q46" i="1" s="1"/>
  <c r="K120" i="4"/>
  <c r="Q50" i="1" s="1"/>
  <c r="K131" i="4"/>
  <c r="Q53" i="1" s="1"/>
  <c r="K137" i="4"/>
  <c r="Q55" i="1" s="1"/>
  <c r="K210" i="4"/>
  <c r="Q69" i="1" s="1"/>
  <c r="J252" i="4"/>
  <c r="K260" i="4"/>
  <c r="Q80" i="1" s="1"/>
  <c r="K275" i="4"/>
  <c r="Q84" i="1" s="1"/>
  <c r="J107" i="4"/>
  <c r="I105" i="4"/>
  <c r="K168" i="4"/>
  <c r="Q65" i="1" s="1"/>
  <c r="K267" i="4"/>
  <c r="Q82" i="1" s="1"/>
  <c r="K67" i="4"/>
  <c r="Q37" i="1" s="1"/>
  <c r="J77" i="4"/>
  <c r="I91" i="4"/>
  <c r="I102" i="4"/>
  <c r="I115" i="4"/>
  <c r="J144" i="4"/>
  <c r="K158" i="4"/>
  <c r="Q62" i="1" s="1"/>
  <c r="K164" i="4"/>
  <c r="Q64" i="1" s="1"/>
  <c r="K172" i="4"/>
  <c r="Q66" i="1" s="1"/>
  <c r="K182" i="4"/>
  <c r="Q68" i="1" s="1"/>
  <c r="K263" i="4"/>
  <c r="Q81" i="1" s="1"/>
  <c r="I269" i="4"/>
  <c r="J269" i="4" s="1"/>
  <c r="J124" i="4"/>
  <c r="I123" i="4"/>
  <c r="J130" i="4"/>
  <c r="J128" i="4" s="1"/>
  <c r="I128" i="4"/>
  <c r="J133" i="4"/>
  <c r="I131" i="4"/>
  <c r="J136" i="4"/>
  <c r="I134" i="4"/>
  <c r="J166" i="4"/>
  <c r="I164" i="4"/>
  <c r="J174" i="4"/>
  <c r="J181" i="4"/>
  <c r="I179" i="4"/>
  <c r="I67" i="4"/>
  <c r="I120" i="4"/>
  <c r="K123" i="4"/>
  <c r="Q51" i="1" s="1"/>
  <c r="I138" i="4"/>
  <c r="J149" i="4"/>
  <c r="I147" i="4"/>
  <c r="J170" i="4"/>
  <c r="I168" i="4"/>
  <c r="I175" i="4"/>
  <c r="J182" i="4"/>
  <c r="K218" i="4"/>
  <c r="Q71" i="1" s="1"/>
  <c r="I237" i="4"/>
  <c r="I244" i="4"/>
  <c r="J248" i="4"/>
  <c r="I246" i="4"/>
  <c r="J251" i="4"/>
  <c r="I255" i="4"/>
  <c r="I260" i="4"/>
  <c r="I265" i="4"/>
  <c r="I273" i="4"/>
  <c r="D12" i="4"/>
  <c r="H912" i="1"/>
  <c r="I912" i="1"/>
  <c r="K912" i="1"/>
  <c r="L912" i="1"/>
  <c r="M912" i="1"/>
  <c r="O912" i="1"/>
  <c r="G912" i="1"/>
  <c r="H906" i="1"/>
  <c r="I906" i="1"/>
  <c r="K906" i="1"/>
  <c r="L906" i="1"/>
  <c r="M906" i="1"/>
  <c r="G906" i="1"/>
  <c r="H904" i="1"/>
  <c r="I904" i="1"/>
  <c r="K904" i="1"/>
  <c r="L904" i="1"/>
  <c r="M904" i="1"/>
  <c r="O904" i="1"/>
  <c r="G904" i="1"/>
  <c r="H902" i="1"/>
  <c r="I902" i="1"/>
  <c r="K902" i="1"/>
  <c r="L902" i="1"/>
  <c r="M902" i="1"/>
  <c r="O902" i="1"/>
  <c r="G902" i="1"/>
  <c r="H900" i="1"/>
  <c r="I900" i="1"/>
  <c r="G900" i="1"/>
  <c r="H892" i="1"/>
  <c r="K892" i="1"/>
  <c r="L892" i="1"/>
  <c r="M892" i="1"/>
  <c r="O892" i="1"/>
  <c r="G892" i="1"/>
  <c r="H890" i="1"/>
  <c r="I890" i="1"/>
  <c r="K890" i="1"/>
  <c r="L890" i="1"/>
  <c r="M890" i="1"/>
  <c r="O890" i="1"/>
  <c r="G890" i="1"/>
  <c r="H888" i="1"/>
  <c r="I888" i="1"/>
  <c r="K888" i="1"/>
  <c r="L888" i="1"/>
  <c r="M888" i="1"/>
  <c r="O888" i="1"/>
  <c r="G888" i="1"/>
  <c r="H886" i="1"/>
  <c r="I886" i="1"/>
  <c r="K886" i="1"/>
  <c r="L886" i="1"/>
  <c r="M886" i="1"/>
  <c r="O886" i="1"/>
  <c r="G886" i="1"/>
  <c r="H796" i="1"/>
  <c r="I796" i="1"/>
  <c r="K796" i="1"/>
  <c r="L796" i="1"/>
  <c r="M796" i="1"/>
  <c r="O796" i="1"/>
  <c r="G796" i="1"/>
  <c r="H767" i="1"/>
  <c r="I767" i="1"/>
  <c r="K767" i="1"/>
  <c r="L767" i="1"/>
  <c r="M767" i="1"/>
  <c r="O767" i="1"/>
  <c r="G767" i="1"/>
  <c r="H765" i="1"/>
  <c r="I765" i="1"/>
  <c r="K765" i="1"/>
  <c r="L765" i="1"/>
  <c r="M765" i="1"/>
  <c r="O765" i="1"/>
  <c r="G765" i="1"/>
  <c r="H760" i="1"/>
  <c r="I760" i="1"/>
  <c r="K760" i="1"/>
  <c r="L760" i="1"/>
  <c r="M760" i="1"/>
  <c r="O760" i="1"/>
  <c r="G760" i="1"/>
  <c r="H757" i="1"/>
  <c r="I757" i="1"/>
  <c r="K757" i="1"/>
  <c r="L757" i="1"/>
  <c r="M757" i="1"/>
  <c r="O757" i="1"/>
  <c r="G757" i="1"/>
  <c r="H751" i="1"/>
  <c r="I751" i="1"/>
  <c r="K751" i="1"/>
  <c r="L751" i="1"/>
  <c r="M751" i="1"/>
  <c r="O751" i="1"/>
  <c r="G751" i="1"/>
  <c r="H749" i="1"/>
  <c r="I749" i="1"/>
  <c r="K749" i="1"/>
  <c r="L749" i="1"/>
  <c r="M749" i="1"/>
  <c r="O749" i="1"/>
  <c r="G749" i="1"/>
  <c r="H733" i="1"/>
  <c r="I733" i="1"/>
  <c r="K733" i="1"/>
  <c r="L733" i="1"/>
  <c r="M733" i="1"/>
  <c r="G733" i="1"/>
  <c r="H730" i="1"/>
  <c r="I730" i="1"/>
  <c r="K730" i="1"/>
  <c r="L730" i="1"/>
  <c r="M730" i="1"/>
  <c r="O730" i="1"/>
  <c r="G730" i="1"/>
  <c r="H726" i="1"/>
  <c r="I726" i="1"/>
  <c r="G726" i="1"/>
  <c r="H724" i="1"/>
  <c r="I724" i="1"/>
  <c r="O724" i="1"/>
  <c r="G724" i="1"/>
  <c r="H700" i="1"/>
  <c r="I700" i="1"/>
  <c r="K700" i="1"/>
  <c r="L700" i="1"/>
  <c r="M700" i="1"/>
  <c r="O700" i="1"/>
  <c r="G700" i="1"/>
  <c r="H697" i="1"/>
  <c r="I697" i="1"/>
  <c r="K697" i="1"/>
  <c r="L697" i="1"/>
  <c r="M697" i="1"/>
  <c r="O697" i="1"/>
  <c r="G697" i="1"/>
  <c r="H693" i="1"/>
  <c r="I693" i="1"/>
  <c r="O693" i="1"/>
  <c r="G693" i="1"/>
  <c r="H691" i="1"/>
  <c r="I691" i="1"/>
  <c r="K691" i="1"/>
  <c r="L691" i="1"/>
  <c r="M691" i="1"/>
  <c r="O691" i="1"/>
  <c r="G691" i="1"/>
  <c r="H411" i="1"/>
  <c r="I411" i="1"/>
  <c r="K411" i="1"/>
  <c r="L411" i="1"/>
  <c r="M411" i="1"/>
  <c r="O411" i="1"/>
  <c r="G411" i="1"/>
  <c r="H340" i="1"/>
  <c r="I340" i="1"/>
  <c r="K340" i="1"/>
  <c r="L340" i="1"/>
  <c r="M340" i="1"/>
  <c r="O340" i="1"/>
  <c r="G340" i="1"/>
  <c r="H338" i="1"/>
  <c r="I338" i="1"/>
  <c r="K338" i="1"/>
  <c r="L338" i="1"/>
  <c r="M338" i="1"/>
  <c r="O338" i="1"/>
  <c r="G338" i="1"/>
  <c r="H323" i="1"/>
  <c r="I323" i="1"/>
  <c r="K323" i="1"/>
  <c r="L323" i="1"/>
  <c r="M323" i="1"/>
  <c r="O323" i="1"/>
  <c r="H320" i="1"/>
  <c r="I320" i="1"/>
  <c r="K320" i="1"/>
  <c r="L320" i="1"/>
  <c r="M320" i="1"/>
  <c r="O320" i="1"/>
  <c r="G320" i="1"/>
  <c r="H316" i="1"/>
  <c r="I316" i="1"/>
  <c r="K316" i="1"/>
  <c r="L316" i="1"/>
  <c r="M316" i="1"/>
  <c r="O316" i="1"/>
  <c r="G316" i="1"/>
  <c r="H314" i="1"/>
  <c r="I314" i="1"/>
  <c r="K314" i="1"/>
  <c r="L314" i="1"/>
  <c r="M314" i="1"/>
  <c r="O314" i="1"/>
  <c r="G314" i="1"/>
  <c r="H303" i="1"/>
  <c r="I303" i="1"/>
  <c r="K303" i="1"/>
  <c r="L303" i="1"/>
  <c r="M303" i="1"/>
  <c r="O303" i="1"/>
  <c r="G303" i="1"/>
  <c r="H300" i="1"/>
  <c r="I300" i="1"/>
  <c r="K300" i="1"/>
  <c r="L300" i="1"/>
  <c r="M300" i="1"/>
  <c r="O300" i="1"/>
  <c r="G300" i="1"/>
  <c r="H297" i="1"/>
  <c r="I297" i="1"/>
  <c r="K297" i="1"/>
  <c r="L297" i="1"/>
  <c r="M297" i="1"/>
  <c r="O297" i="1"/>
  <c r="G297" i="1"/>
  <c r="H294" i="1"/>
  <c r="I294" i="1"/>
  <c r="O294" i="1"/>
  <c r="G294" i="1"/>
  <c r="H291" i="1"/>
  <c r="I291" i="1"/>
  <c r="O291" i="1"/>
  <c r="G291" i="1"/>
  <c r="H272" i="1"/>
  <c r="I272" i="1"/>
  <c r="K272" i="1"/>
  <c r="L272" i="1"/>
  <c r="M272" i="1"/>
  <c r="O272" i="1"/>
  <c r="G272" i="1"/>
  <c r="H269" i="1"/>
  <c r="I269" i="1"/>
  <c r="K269" i="1"/>
  <c r="L269" i="1"/>
  <c r="M269" i="1"/>
  <c r="O269" i="1"/>
  <c r="G269" i="1"/>
  <c r="H265" i="1"/>
  <c r="I265" i="1"/>
  <c r="O265" i="1"/>
  <c r="G265" i="1"/>
  <c r="H263" i="1"/>
  <c r="I263" i="1"/>
  <c r="K263" i="1"/>
  <c r="L263" i="1"/>
  <c r="M263" i="1"/>
  <c r="O263" i="1"/>
  <c r="G263" i="1"/>
  <c r="H85" i="1"/>
  <c r="I85" i="1"/>
  <c r="K85" i="1"/>
  <c r="L85" i="1"/>
  <c r="M85" i="1"/>
  <c r="O85" i="1"/>
  <c r="G85" i="1"/>
  <c r="H32" i="1"/>
  <c r="I32" i="1"/>
  <c r="K32" i="1"/>
  <c r="L32" i="1"/>
  <c r="M32" i="1"/>
  <c r="O32" i="1"/>
  <c r="G32" i="1"/>
  <c r="H28" i="1"/>
  <c r="I28" i="1"/>
  <c r="K28" i="1"/>
  <c r="L28" i="1"/>
  <c r="M28" i="1"/>
  <c r="O28" i="1"/>
  <c r="G28" i="1"/>
  <c r="H14" i="1"/>
  <c r="I14" i="1"/>
  <c r="K14" i="1"/>
  <c r="L14" i="1"/>
  <c r="M14" i="1"/>
  <c r="O14" i="1"/>
  <c r="G14" i="1"/>
  <c r="H11" i="1"/>
  <c r="I11" i="1"/>
  <c r="K11" i="1"/>
  <c r="L11" i="1"/>
  <c r="M11" i="1"/>
  <c r="O11" i="1"/>
  <c r="G11" i="1"/>
  <c r="D48" i="4"/>
  <c r="J260" i="4" l="1"/>
  <c r="J88" i="4"/>
  <c r="J255" i="4"/>
  <c r="J131" i="4"/>
  <c r="J120" i="4"/>
  <c r="J1333" i="4"/>
  <c r="J249" i="4"/>
  <c r="J102" i="4"/>
  <c r="J1310" i="4"/>
  <c r="J1475" i="4"/>
  <c r="J141" i="4"/>
  <c r="P386" i="1"/>
  <c r="P71" i="1"/>
  <c r="N47" i="1"/>
  <c r="N39" i="1"/>
  <c r="P69" i="1"/>
  <c r="P38" i="1"/>
  <c r="A773" i="1"/>
  <c r="A39" i="1"/>
  <c r="P40" i="1"/>
  <c r="P77" i="1"/>
  <c r="P68" i="1"/>
  <c r="A847" i="1"/>
  <c r="A133" i="1"/>
  <c r="A347" i="1"/>
  <c r="A467" i="1"/>
  <c r="J1299" i="4"/>
  <c r="J168" i="4"/>
  <c r="J164" i="4"/>
  <c r="J134" i="4"/>
  <c r="J123" i="4"/>
  <c r="J94" i="4"/>
  <c r="J1506" i="4"/>
  <c r="J1499" i="4"/>
  <c r="J1492" i="4"/>
  <c r="J1489" i="4"/>
  <c r="P47" i="1"/>
  <c r="J1445" i="4"/>
  <c r="P384" i="1"/>
  <c r="P366" i="1"/>
  <c r="N347" i="1"/>
  <c r="N40" i="1"/>
  <c r="N386" i="1"/>
  <c r="J1430" i="4"/>
  <c r="J1405" i="4"/>
  <c r="J1395" i="4"/>
  <c r="J1388" i="4"/>
  <c r="J1317" i="4"/>
  <c r="J115" i="4"/>
  <c r="J67" i="4"/>
  <c r="J1368" i="4"/>
  <c r="J91" i="4"/>
  <c r="J246" i="4"/>
  <c r="J147" i="4"/>
  <c r="J267" i="4"/>
  <c r="J179" i="4"/>
  <c r="J105" i="4"/>
  <c r="P73" i="1"/>
  <c r="P57" i="1"/>
  <c r="N68" i="1"/>
  <c r="N38" i="1"/>
  <c r="P347" i="1"/>
  <c r="N364" i="1"/>
  <c r="J389" i="1"/>
  <c r="J1296" i="4"/>
  <c r="J1253" i="4"/>
  <c r="N70" i="1"/>
  <c r="P59" i="1"/>
  <c r="J1354" i="4"/>
  <c r="N384" i="1"/>
  <c r="N366" i="1"/>
  <c r="J2686" i="4"/>
  <c r="J2685" i="4" s="1"/>
  <c r="P364" i="1"/>
  <c r="N71" i="1"/>
  <c r="N59" i="1"/>
  <c r="P39" i="1"/>
  <c r="P70" i="1"/>
  <c r="I2611" i="4"/>
  <c r="N73" i="1"/>
  <c r="N57" i="1"/>
  <c r="N77" i="1"/>
  <c r="N69" i="1"/>
  <c r="J351" i="1"/>
  <c r="J80" i="1"/>
  <c r="J72" i="1"/>
  <c r="J65" i="1"/>
  <c r="J50" i="1"/>
  <c r="J64" i="1"/>
  <c r="J54" i="1"/>
  <c r="J53" i="1"/>
  <c r="J52" i="1"/>
  <c r="J51" i="1"/>
  <c r="I267" i="4"/>
  <c r="J45" i="1"/>
  <c r="J42" i="1"/>
  <c r="J410" i="1"/>
  <c r="J409" i="1"/>
  <c r="J408" i="1"/>
  <c r="J407" i="1"/>
  <c r="J406" i="1"/>
  <c r="J405" i="1"/>
  <c r="J398" i="1"/>
  <c r="J396" i="1"/>
  <c r="J393" i="1"/>
  <c r="J387" i="1"/>
  <c r="J385" i="1"/>
  <c r="J383" i="1"/>
  <c r="J378" i="1"/>
  <c r="J376" i="1"/>
  <c r="J375" i="1"/>
  <c r="J374" i="1"/>
  <c r="J355" i="1"/>
  <c r="J353" i="1"/>
  <c r="J352" i="1"/>
  <c r="J345" i="1"/>
  <c r="J391" i="1"/>
  <c r="J388" i="1"/>
  <c r="J381" i="1"/>
  <c r="J371" i="1"/>
  <c r="J370" i="1"/>
  <c r="J1462" i="4"/>
  <c r="J1461" i="4" s="1"/>
  <c r="J795" i="1"/>
  <c r="J403" i="1"/>
  <c r="I1418" i="4"/>
  <c r="J380" i="1"/>
  <c r="J1384" i="4"/>
  <c r="J1383" i="4" s="1"/>
  <c r="J377" i="1"/>
  <c r="J61" i="1"/>
  <c r="J1471" i="4"/>
  <c r="J1470" i="4" s="1"/>
  <c r="J358" i="1"/>
  <c r="J43" i="1"/>
  <c r="J356" i="1"/>
  <c r="J1316" i="4"/>
  <c r="J1315" i="4" s="1"/>
  <c r="J76" i="1"/>
  <c r="J79" i="1"/>
  <c r="J78" i="1"/>
  <c r="J75" i="1"/>
  <c r="J175" i="4"/>
  <c r="J172" i="4" s="1"/>
  <c r="J58" i="1"/>
  <c r="J37" i="1"/>
  <c r="J67" i="1"/>
  <c r="J48" i="1"/>
  <c r="J46" i="1"/>
  <c r="J84" i="1"/>
  <c r="J369" i="1"/>
  <c r="J359" i="1"/>
  <c r="J350" i="1"/>
  <c r="J63" i="1"/>
  <c r="J349" i="1"/>
  <c r="J1469" i="4"/>
  <c r="J1468" i="4" s="1"/>
  <c r="J365" i="1"/>
  <c r="J794" i="1"/>
  <c r="I1466" i="4"/>
  <c r="J1292" i="4"/>
  <c r="J1291" i="4" s="1"/>
  <c r="J1485" i="4"/>
  <c r="J1484" i="4" s="1"/>
  <c r="J1457" i="4"/>
  <c r="J1456" i="4" s="1"/>
  <c r="J368" i="1"/>
  <c r="J41" i="1"/>
  <c r="J56" i="1"/>
  <c r="J367" i="1"/>
  <c r="J362" i="1"/>
  <c r="J357" i="1"/>
  <c r="J363" i="1"/>
  <c r="J361" i="1"/>
  <c r="J44" i="1"/>
  <c r="J62" i="1"/>
  <c r="J60" i="1"/>
  <c r="N49" i="1"/>
  <c r="A1348" i="4"/>
  <c r="A1351" i="4" s="1"/>
  <c r="A1354" i="4" s="1"/>
  <c r="A1359" i="4" s="1"/>
  <c r="A1362" i="4" s="1"/>
  <c r="A1365" i="4" s="1"/>
  <c r="A1368" i="4" s="1"/>
  <c r="A1375" i="4" s="1"/>
  <c r="A1378" i="4" s="1"/>
  <c r="A1381" i="4" s="1"/>
  <c r="A1383" i="4" s="1"/>
  <c r="A1385" i="4" s="1"/>
  <c r="A1388" i="4" s="1"/>
  <c r="A1395" i="4" s="1"/>
  <c r="A1402" i="4" s="1"/>
  <c r="A1405" i="4" s="1"/>
  <c r="A1412" i="4" s="1"/>
  <c r="A1414" i="4" s="1"/>
  <c r="A1416" i="4" s="1"/>
  <c r="A1418" i="4" s="1"/>
  <c r="A1420" i="4" s="1"/>
  <c r="A1423" i="4" s="1"/>
  <c r="A1425" i="4" s="1"/>
  <c r="A1428" i="4" s="1"/>
  <c r="A1430" i="4" s="1"/>
  <c r="A1437" i="4" s="1"/>
  <c r="A1440" i="4" s="1"/>
  <c r="A1443" i="4" s="1"/>
  <c r="A1445" i="4" s="1"/>
  <c r="A1448" i="4" s="1"/>
  <c r="A1451" i="4" s="1"/>
  <c r="A1454" i="4" s="1"/>
  <c r="A1456" i="4" s="1"/>
  <c r="A1458" i="4" s="1"/>
  <c r="A1461" i="4" s="1"/>
  <c r="A1464" i="4" s="1"/>
  <c r="A1466" i="4" s="1"/>
  <c r="A1468" i="4" s="1"/>
  <c r="A1470" i="4" s="1"/>
  <c r="P49" i="1"/>
  <c r="I1315" i="4"/>
  <c r="H10" i="1"/>
  <c r="I319" i="1"/>
  <c r="I1484" i="4"/>
  <c r="J1419" i="4"/>
  <c r="J1418" i="4" s="1"/>
  <c r="G319" i="1"/>
  <c r="H319" i="1"/>
  <c r="G756" i="1"/>
  <c r="H756" i="1"/>
  <c r="I1456" i="4"/>
  <c r="O10" i="1"/>
  <c r="I10" i="1"/>
  <c r="G10" i="1"/>
  <c r="I1470" i="4"/>
  <c r="I1468" i="4"/>
  <c r="I1461" i="4"/>
  <c r="I1383" i="4"/>
  <c r="J1467" i="4"/>
  <c r="J1466" i="4" s="1"/>
  <c r="J793" i="1"/>
  <c r="I1291" i="4"/>
  <c r="J344" i="1"/>
  <c r="J1455" i="4"/>
  <c r="J1454" i="4" s="1"/>
  <c r="I1454" i="4"/>
  <c r="J1444" i="4"/>
  <c r="J1443" i="4" s="1"/>
  <c r="I1443" i="4"/>
  <c r="J1413" i="4"/>
  <c r="J1412" i="4" s="1"/>
  <c r="I1412" i="4"/>
  <c r="J1382" i="4"/>
  <c r="J1381" i="4" s="1"/>
  <c r="I1381" i="4"/>
  <c r="J1341" i="4"/>
  <c r="J1340" i="4" s="1"/>
  <c r="I1340" i="4"/>
  <c r="P36" i="1"/>
  <c r="N36" i="1"/>
  <c r="J1473" i="4"/>
  <c r="J1472" i="4" s="1"/>
  <c r="I1472" i="4"/>
  <c r="J1449" i="4"/>
  <c r="J1448" i="4" s="1"/>
  <c r="I1448" i="4"/>
  <c r="J265" i="4"/>
  <c r="J263" i="4" s="1"/>
  <c r="I263" i="4"/>
  <c r="J244" i="4"/>
  <c r="J242" i="4" s="1"/>
  <c r="I242" i="4"/>
  <c r="J273" i="4"/>
  <c r="J271" i="4" s="1"/>
  <c r="I271" i="4"/>
  <c r="J138" i="4"/>
  <c r="J137" i="4" s="1"/>
  <c r="I137" i="4"/>
  <c r="I172" i="4"/>
  <c r="A848" i="1" l="1"/>
  <c r="P351" i="1"/>
  <c r="N351" i="1"/>
  <c r="A348" i="1"/>
  <c r="A40" i="1"/>
  <c r="N409" i="1"/>
  <c r="A468" i="1"/>
  <c r="A134" i="1"/>
  <c r="A774" i="1"/>
  <c r="P389" i="1"/>
  <c r="N389" i="1"/>
  <c r="N80" i="1"/>
  <c r="N407" i="1"/>
  <c r="P406" i="1"/>
  <c r="P408" i="1"/>
  <c r="N52" i="1"/>
  <c r="P52" i="1"/>
  <c r="N48" i="1"/>
  <c r="N54" i="1"/>
  <c r="N42" i="1"/>
  <c r="P398" i="1"/>
  <c r="P385" i="1"/>
  <c r="P374" i="1"/>
  <c r="N345" i="1"/>
  <c r="P409" i="1"/>
  <c r="N72" i="1"/>
  <c r="P358" i="1"/>
  <c r="P72" i="1"/>
  <c r="P45" i="1"/>
  <c r="N64" i="1"/>
  <c r="P46" i="1"/>
  <c r="N78" i="1"/>
  <c r="N359" i="1"/>
  <c r="P405" i="1"/>
  <c r="P410" i="1"/>
  <c r="P387" i="1"/>
  <c r="P795" i="1"/>
  <c r="P370" i="1"/>
  <c r="N75" i="1"/>
  <c r="P378" i="1"/>
  <c r="N406" i="1"/>
  <c r="N45" i="1"/>
  <c r="P50" i="1"/>
  <c r="N370" i="1"/>
  <c r="P350" i="1"/>
  <c r="N51" i="1"/>
  <c r="N67" i="1"/>
  <c r="P63" i="1"/>
  <c r="P53" i="1"/>
  <c r="P54" i="1"/>
  <c r="P64" i="1"/>
  <c r="P80" i="1"/>
  <c r="P48" i="1"/>
  <c r="N50" i="1"/>
  <c r="P65" i="1"/>
  <c r="P371" i="1"/>
  <c r="N398" i="1"/>
  <c r="N405" i="1"/>
  <c r="P407" i="1"/>
  <c r="N410" i="1"/>
  <c r="P383" i="1"/>
  <c r="P393" i="1"/>
  <c r="P352" i="1"/>
  <c r="N376" i="1"/>
  <c r="P381" i="1"/>
  <c r="P355" i="1"/>
  <c r="P388" i="1"/>
  <c r="P84" i="1"/>
  <c r="N37" i="1"/>
  <c r="N377" i="1"/>
  <c r="N355" i="1"/>
  <c r="N385" i="1"/>
  <c r="N393" i="1"/>
  <c r="N408" i="1"/>
  <c r="P42" i="1"/>
  <c r="P51" i="1"/>
  <c r="N53" i="1"/>
  <c r="N65" i="1"/>
  <c r="P356" i="1"/>
  <c r="N356" i="1"/>
  <c r="N43" i="1"/>
  <c r="P375" i="1"/>
  <c r="N79" i="1"/>
  <c r="N84" i="1"/>
  <c r="N58" i="1"/>
  <c r="P75" i="1"/>
  <c r="N76" i="1"/>
  <c r="P37" i="1"/>
  <c r="N371" i="1"/>
  <c r="P359" i="1"/>
  <c r="N378" i="1"/>
  <c r="P353" i="1"/>
  <c r="N352" i="1"/>
  <c r="N374" i="1"/>
  <c r="P376" i="1"/>
  <c r="N387" i="1"/>
  <c r="P391" i="1"/>
  <c r="P369" i="1"/>
  <c r="P345" i="1"/>
  <c r="N403" i="1"/>
  <c r="N795" i="1"/>
  <c r="P403" i="1"/>
  <c r="N381" i="1"/>
  <c r="N391" i="1"/>
  <c r="N369" i="1"/>
  <c r="N46" i="1"/>
  <c r="P67" i="1"/>
  <c r="P58" i="1"/>
  <c r="P76" i="1"/>
  <c r="P380" i="1"/>
  <c r="N353" i="1"/>
  <c r="N375" i="1"/>
  <c r="N383" i="1"/>
  <c r="P396" i="1"/>
  <c r="P78" i="1"/>
  <c r="P61" i="1"/>
  <c r="N358" i="1"/>
  <c r="P43" i="1"/>
  <c r="P377" i="1"/>
  <c r="N388" i="1"/>
  <c r="N396" i="1"/>
  <c r="N365" i="1"/>
  <c r="N794" i="1"/>
  <c r="P79" i="1"/>
  <c r="N41" i="1"/>
  <c r="P363" i="1"/>
  <c r="P41" i="1"/>
  <c r="P361" i="1"/>
  <c r="P357" i="1"/>
  <c r="N60" i="1"/>
  <c r="P794" i="1"/>
  <c r="N368" i="1"/>
  <c r="P368" i="1"/>
  <c r="N63" i="1"/>
  <c r="P362" i="1"/>
  <c r="N362" i="1"/>
  <c r="P44" i="1"/>
  <c r="N62" i="1"/>
  <c r="N56" i="1"/>
  <c r="P349" i="1"/>
  <c r="J83" i="1"/>
  <c r="J81" i="1"/>
  <c r="J360" i="1"/>
  <c r="J379" i="1"/>
  <c r="J394" i="1"/>
  <c r="J348" i="1"/>
  <c r="J66" i="1"/>
  <c r="J392" i="1"/>
  <c r="J402" i="1"/>
  <c r="N349" i="1"/>
  <c r="J373" i="1"/>
  <c r="J397" i="1"/>
  <c r="P56" i="1"/>
  <c r="N363" i="1"/>
  <c r="J395" i="1"/>
  <c r="J404" i="1"/>
  <c r="N357" i="1"/>
  <c r="P367" i="1"/>
  <c r="N361" i="1"/>
  <c r="P62" i="1"/>
  <c r="P60" i="1"/>
  <c r="N44" i="1"/>
  <c r="N367" i="1"/>
  <c r="P365" i="1"/>
  <c r="N350" i="1"/>
  <c r="N61" i="1"/>
  <c r="N380" i="1"/>
  <c r="J55" i="1"/>
  <c r="J74" i="1"/>
  <c r="J372" i="1"/>
  <c r="J390" i="1"/>
  <c r="J400" i="1"/>
  <c r="J401" i="1"/>
  <c r="J354" i="1"/>
  <c r="J399" i="1"/>
  <c r="J382" i="1"/>
  <c r="J82" i="1"/>
  <c r="A1472" i="4"/>
  <c r="A1475" i="4" s="1"/>
  <c r="A1484" i="4" s="1"/>
  <c r="A1486" i="4" s="1"/>
  <c r="A1489" i="4" s="1"/>
  <c r="A1492" i="4" s="1"/>
  <c r="A1499" i="4" s="1"/>
  <c r="A1506" i="4" s="1"/>
  <c r="A1513" i="4" s="1"/>
  <c r="I1252" i="4"/>
  <c r="N793" i="1"/>
  <c r="J769" i="1"/>
  <c r="P793" i="1"/>
  <c r="N344" i="1"/>
  <c r="P344" i="1"/>
  <c r="I63" i="4"/>
  <c r="I2598" i="4"/>
  <c r="N348" i="1" l="1"/>
  <c r="A469" i="1"/>
  <c r="A775" i="1"/>
  <c r="P395" i="1"/>
  <c r="P373" i="1"/>
  <c r="P397" i="1"/>
  <c r="A41" i="1"/>
  <c r="A135" i="1"/>
  <c r="A349" i="1"/>
  <c r="A849" i="1"/>
  <c r="N373" i="1"/>
  <c r="N395" i="1"/>
  <c r="N392" i="1"/>
  <c r="P348" i="1"/>
  <c r="N400" i="1"/>
  <c r="P404" i="1"/>
  <c r="N404" i="1"/>
  <c r="N397" i="1"/>
  <c r="N74" i="1"/>
  <c r="J35" i="1"/>
  <c r="P379" i="1"/>
  <c r="N66" i="1"/>
  <c r="P55" i="1"/>
  <c r="N360" i="1"/>
  <c r="P81" i="1"/>
  <c r="P83" i="1"/>
  <c r="N394" i="1"/>
  <c r="N372" i="1"/>
  <c r="P402" i="1"/>
  <c r="P66" i="1"/>
  <c r="N81" i="1"/>
  <c r="P74" i="1"/>
  <c r="N83" i="1"/>
  <c r="N55" i="1"/>
  <c r="P394" i="1"/>
  <c r="N379" i="1"/>
  <c r="P360" i="1"/>
  <c r="N402" i="1"/>
  <c r="P392" i="1"/>
  <c r="N390" i="1"/>
  <c r="J343" i="1"/>
  <c r="P390" i="1"/>
  <c r="P372" i="1"/>
  <c r="P400" i="1"/>
  <c r="N401" i="1"/>
  <c r="P354" i="1"/>
  <c r="N354" i="1"/>
  <c r="P401" i="1"/>
  <c r="P82" i="1"/>
  <c r="N82" i="1"/>
  <c r="N382" i="1"/>
  <c r="P382" i="1"/>
  <c r="N399" i="1"/>
  <c r="P399" i="1"/>
  <c r="N769" i="1"/>
  <c r="I41" i="4"/>
  <c r="A350" i="1" l="1"/>
  <c r="A42" i="1"/>
  <c r="A776" i="1"/>
  <c r="A850" i="1"/>
  <c r="A136" i="1"/>
  <c r="A470" i="1"/>
  <c r="N35" i="1"/>
  <c r="N343" i="1"/>
  <c r="A754" i="1"/>
  <c r="A317" i="1"/>
  <c r="D3071" i="4"/>
  <c r="I3074" i="4"/>
  <c r="I3073" i="4"/>
  <c r="K3072" i="4"/>
  <c r="Q913" i="1" s="1"/>
  <c r="D2572" i="4"/>
  <c r="K2581" i="4"/>
  <c r="K2580" i="4" s="1"/>
  <c r="Q754" i="1" s="1"/>
  <c r="A2580" i="4"/>
  <c r="I2579" i="4"/>
  <c r="I2578" i="4"/>
  <c r="K2577" i="4"/>
  <c r="I2577" i="4" s="1"/>
  <c r="I2575" i="4"/>
  <c r="I2574" i="4"/>
  <c r="K2573" i="4"/>
  <c r="Q752" i="1" s="1"/>
  <c r="D1192" i="4"/>
  <c r="I1195" i="4"/>
  <c r="J1194" i="4"/>
  <c r="K1193" i="4"/>
  <c r="Q317" i="1" s="1"/>
  <c r="A1193" i="4"/>
  <c r="D2569" i="4"/>
  <c r="K2571" i="4"/>
  <c r="I2571" i="4" s="1"/>
  <c r="D1188" i="4"/>
  <c r="J1191" i="4"/>
  <c r="J1190" i="4"/>
  <c r="K1189" i="4"/>
  <c r="Q315" i="1" s="1"/>
  <c r="I1189" i="4"/>
  <c r="O911" i="1"/>
  <c r="O910" i="1"/>
  <c r="O909" i="1"/>
  <c r="O908" i="1"/>
  <c r="A908" i="1"/>
  <c r="O907" i="1"/>
  <c r="A471" i="1" l="1"/>
  <c r="A851" i="1"/>
  <c r="A43" i="1"/>
  <c r="A909" i="1"/>
  <c r="A137" i="1"/>
  <c r="A777" i="1"/>
  <c r="A351" i="1"/>
  <c r="J315" i="1"/>
  <c r="J1195" i="4"/>
  <c r="J1193" i="4" s="1"/>
  <c r="J2575" i="4"/>
  <c r="J2578" i="4"/>
  <c r="J3073" i="4"/>
  <c r="J2574" i="4"/>
  <c r="J2577" i="4"/>
  <c r="J2579" i="4"/>
  <c r="J3074" i="4"/>
  <c r="J3072" i="4" s="1"/>
  <c r="O906" i="1"/>
  <c r="K2576" i="4"/>
  <c r="Q753" i="1" s="1"/>
  <c r="K2570" i="4"/>
  <c r="Q750" i="1" s="1"/>
  <c r="J2571" i="4"/>
  <c r="J2570" i="4" s="1"/>
  <c r="I2570" i="4"/>
  <c r="I2569" i="4" s="1"/>
  <c r="I2581" i="4"/>
  <c r="I2580" i="4" s="1"/>
  <c r="J1189" i="4"/>
  <c r="I1188" i="4"/>
  <c r="I1193" i="4"/>
  <c r="I2576" i="4"/>
  <c r="I3072" i="4"/>
  <c r="I2573" i="4"/>
  <c r="O748" i="1"/>
  <c r="O747" i="1"/>
  <c r="O746" i="1"/>
  <c r="O745" i="1"/>
  <c r="O744" i="1"/>
  <c r="O743" i="1"/>
  <c r="O742" i="1"/>
  <c r="O741" i="1"/>
  <c r="O740" i="1"/>
  <c r="O739" i="1"/>
  <c r="O738" i="1"/>
  <c r="O737" i="1"/>
  <c r="O736" i="1"/>
  <c r="O735" i="1"/>
  <c r="A735" i="1"/>
  <c r="O734" i="1"/>
  <c r="A305" i="1"/>
  <c r="D3053" i="4"/>
  <c r="I3070" i="4"/>
  <c r="I3069" i="4"/>
  <c r="K3068" i="4"/>
  <c r="Q911" i="1" s="1"/>
  <c r="I3067" i="4"/>
  <c r="I3066" i="4"/>
  <c r="K3065" i="4"/>
  <c r="Q910" i="1" s="1"/>
  <c r="I3064" i="4"/>
  <c r="I3063" i="4"/>
  <c r="K3062" i="4"/>
  <c r="Q909" i="1" s="1"/>
  <c r="I3061" i="4"/>
  <c r="I3060" i="4"/>
  <c r="I3059" i="4"/>
  <c r="I3058" i="4"/>
  <c r="K3057" i="4"/>
  <c r="Q908" i="1" s="1"/>
  <c r="A3057" i="4"/>
  <c r="A3062" i="4" s="1"/>
  <c r="A3065" i="4" s="1"/>
  <c r="A3068" i="4" s="1"/>
  <c r="I3056" i="4"/>
  <c r="I3055" i="4"/>
  <c r="K3054" i="4"/>
  <c r="Q907" i="1" s="1"/>
  <c r="D2524" i="4"/>
  <c r="K2568" i="4"/>
  <c r="K2567" i="4" s="1"/>
  <c r="Q748" i="1" s="1"/>
  <c r="I2566" i="4"/>
  <c r="I2565" i="4"/>
  <c r="K2564" i="4"/>
  <c r="I2564" i="4" s="1"/>
  <c r="K2563" i="4"/>
  <c r="I2562" i="4"/>
  <c r="I2561" i="4"/>
  <c r="I2560" i="4"/>
  <c r="I2559" i="4"/>
  <c r="I2557" i="4"/>
  <c r="I2556" i="4"/>
  <c r="K2555" i="4"/>
  <c r="Q746" i="1" s="1"/>
  <c r="I2554" i="4"/>
  <c r="I2553" i="4"/>
  <c r="K2552" i="4"/>
  <c r="Q745" i="1" s="1"/>
  <c r="K2551" i="4"/>
  <c r="I2551" i="4" s="1"/>
  <c r="K2549" i="4"/>
  <c r="K2548" i="4" s="1"/>
  <c r="Q743" i="1" s="1"/>
  <c r="I2547" i="4"/>
  <c r="I2546" i="4"/>
  <c r="K2545" i="4"/>
  <c r="Q742" i="1" s="1"/>
  <c r="K2544" i="4"/>
  <c r="I2544" i="4" s="1"/>
  <c r="K2542" i="4"/>
  <c r="K2541" i="4" s="1"/>
  <c r="Q740" i="1" s="1"/>
  <c r="I2540" i="4"/>
  <c r="I2539" i="4"/>
  <c r="K2538" i="4"/>
  <c r="Q739" i="1" s="1"/>
  <c r="K2537" i="4"/>
  <c r="I2537" i="4" s="1"/>
  <c r="I2535" i="4"/>
  <c r="I2534" i="4"/>
  <c r="K2533" i="4"/>
  <c r="Q737" i="1" s="1"/>
  <c r="I2532" i="4"/>
  <c r="I2531" i="4"/>
  <c r="K2530" i="4"/>
  <c r="Q736" i="1" s="1"/>
  <c r="K2529" i="4"/>
  <c r="K2528" i="4" s="1"/>
  <c r="Q735" i="1" s="1"/>
  <c r="A2528" i="4"/>
  <c r="A2530" i="4" s="1"/>
  <c r="A2533" i="4" s="1"/>
  <c r="A2536" i="4" s="1"/>
  <c r="A2538" i="4" s="1"/>
  <c r="A2541" i="4" s="1"/>
  <c r="A2543" i="4" s="1"/>
  <c r="A2545" i="4" s="1"/>
  <c r="A2548" i="4" s="1"/>
  <c r="A2550" i="4" s="1"/>
  <c r="A2552" i="4" s="1"/>
  <c r="A2555" i="4" s="1"/>
  <c r="A2558" i="4" s="1"/>
  <c r="A2567" i="4" s="1"/>
  <c r="I2527" i="4"/>
  <c r="I2526" i="4"/>
  <c r="K2525" i="4"/>
  <c r="Q734" i="1" s="1"/>
  <c r="D1155" i="4"/>
  <c r="J1187" i="4"/>
  <c r="J1186" i="4"/>
  <c r="K1185" i="4"/>
  <c r="Q313" i="1" s="1"/>
  <c r="I1185" i="4"/>
  <c r="K1184" i="4"/>
  <c r="I1184" i="4" s="1"/>
  <c r="K1183" i="4"/>
  <c r="I1183" i="4" s="1"/>
  <c r="K1182" i="4"/>
  <c r="I1182" i="4" s="1"/>
  <c r="K1181" i="4"/>
  <c r="I1181" i="4" s="1"/>
  <c r="I1179" i="4"/>
  <c r="K1178" i="4"/>
  <c r="K1177" i="4" s="1"/>
  <c r="Q311" i="1" s="1"/>
  <c r="I1178" i="4"/>
  <c r="I1176" i="4"/>
  <c r="K1175" i="4"/>
  <c r="I1175" i="4"/>
  <c r="K1174" i="4"/>
  <c r="Q310" i="1" s="1"/>
  <c r="I1173" i="4"/>
  <c r="K1172" i="4"/>
  <c r="K1171" i="4" s="1"/>
  <c r="Q309" i="1" s="1"/>
  <c r="I1172" i="4"/>
  <c r="J1170" i="4"/>
  <c r="K1169" i="4"/>
  <c r="K1168" i="4" s="1"/>
  <c r="Q308" i="1" s="1"/>
  <c r="I1169" i="4"/>
  <c r="I1167" i="4"/>
  <c r="K1166" i="4"/>
  <c r="K1165" i="4" s="1"/>
  <c r="Q307" i="1" s="1"/>
  <c r="I1166" i="4"/>
  <c r="I1164" i="4"/>
  <c r="K1163" i="4"/>
  <c r="K1162" i="4" s="1"/>
  <c r="Q306" i="1" s="1"/>
  <c r="I1163" i="4"/>
  <c r="J1161" i="4"/>
  <c r="J1160" i="4"/>
  <c r="K1159" i="4"/>
  <c r="Q305" i="1" s="1"/>
  <c r="I1159" i="4"/>
  <c r="A1159" i="4"/>
  <c r="A1162" i="4" s="1"/>
  <c r="A1165" i="4" s="1"/>
  <c r="A1168" i="4" s="1"/>
  <c r="A1171" i="4" s="1"/>
  <c r="A1174" i="4" s="1"/>
  <c r="A1177" i="4" s="1"/>
  <c r="A1180" i="4" s="1"/>
  <c r="A1185" i="4" s="1"/>
  <c r="J1158" i="4"/>
  <c r="J1157" i="4"/>
  <c r="K1156" i="4"/>
  <c r="Q304" i="1" s="1"/>
  <c r="I1156" i="4"/>
  <c r="J2573" i="4" l="1"/>
  <c r="A306" i="1"/>
  <c r="A778" i="1"/>
  <c r="A910" i="1"/>
  <c r="A852" i="1"/>
  <c r="A736" i="1"/>
  <c r="A352" i="1"/>
  <c r="A138" i="1"/>
  <c r="A44" i="1"/>
  <c r="A472" i="1"/>
  <c r="J314" i="1"/>
  <c r="J2576" i="4"/>
  <c r="J305" i="1"/>
  <c r="J1163" i="4"/>
  <c r="J1166" i="4"/>
  <c r="J1173" i="4"/>
  <c r="J2532" i="4"/>
  <c r="J2534" i="4"/>
  <c r="J2539" i="4"/>
  <c r="J304" i="1"/>
  <c r="J1169" i="4"/>
  <c r="J1168" i="4" s="1"/>
  <c r="J1178" i="4"/>
  <c r="J1179" i="4"/>
  <c r="J1182" i="4"/>
  <c r="J1184" i="4"/>
  <c r="J2527" i="4"/>
  <c r="J2531" i="4"/>
  <c r="J2535" i="4"/>
  <c r="J2540" i="4"/>
  <c r="J2546" i="4"/>
  <c r="J2554" i="4"/>
  <c r="J2556" i="4"/>
  <c r="J2559" i="4"/>
  <c r="J2561" i="4"/>
  <c r="J2565" i="4"/>
  <c r="J3056" i="4"/>
  <c r="J3059" i="4"/>
  <c r="J3061" i="4"/>
  <c r="J3063" i="4"/>
  <c r="J3067" i="4"/>
  <c r="J3069" i="4"/>
  <c r="P315" i="1"/>
  <c r="J754" i="1"/>
  <c r="J753" i="1"/>
  <c r="J2581" i="4"/>
  <c r="J2580" i="4" s="1"/>
  <c r="N315" i="1"/>
  <c r="J1164" i="4"/>
  <c r="J1167" i="4"/>
  <c r="J1172" i="4"/>
  <c r="J1171" i="4" s="1"/>
  <c r="J1175" i="4"/>
  <c r="J1176" i="4"/>
  <c r="J1181" i="4"/>
  <c r="J1183" i="4"/>
  <c r="J313" i="1"/>
  <c r="J2526" i="4"/>
  <c r="J2547" i="4"/>
  <c r="J2553" i="4"/>
  <c r="J2552" i="4" s="1"/>
  <c r="J2557" i="4"/>
  <c r="J2560" i="4"/>
  <c r="J2562" i="4"/>
  <c r="J2564" i="4"/>
  <c r="J2566" i="4"/>
  <c r="J3055" i="4"/>
  <c r="J3054" i="4" s="1"/>
  <c r="J3058" i="4"/>
  <c r="J3060" i="4"/>
  <c r="J3064" i="4"/>
  <c r="J3062" i="4" s="1"/>
  <c r="J3066" i="4"/>
  <c r="J3065" i="4" s="1"/>
  <c r="J3070" i="4"/>
  <c r="J750" i="1"/>
  <c r="J1174" i="4"/>
  <c r="O733" i="1"/>
  <c r="I1165" i="4"/>
  <c r="K2536" i="4"/>
  <c r="Q738" i="1" s="1"/>
  <c r="J2537" i="4"/>
  <c r="J2536" i="4" s="1"/>
  <c r="I2536" i="4"/>
  <c r="J1156" i="4"/>
  <c r="I2529" i="4"/>
  <c r="K2543" i="4"/>
  <c r="Q741" i="1" s="1"/>
  <c r="K2550" i="4"/>
  <c r="Q744" i="1" s="1"/>
  <c r="K2558" i="4"/>
  <c r="Q747" i="1" s="1"/>
  <c r="K1180" i="4"/>
  <c r="Q312" i="1" s="1"/>
  <c r="J2551" i="4"/>
  <c r="J2550" i="4" s="1"/>
  <c r="I2550" i="4"/>
  <c r="I2549" i="4"/>
  <c r="I2563" i="4"/>
  <c r="I2568" i="4"/>
  <c r="J2544" i="4"/>
  <c r="J2543" i="4" s="1"/>
  <c r="I2543" i="4"/>
  <c r="I2542" i="4"/>
  <c r="J1159" i="4"/>
  <c r="J1185" i="4"/>
  <c r="I2530" i="4"/>
  <c r="I2533" i="4"/>
  <c r="J317" i="1"/>
  <c r="I1192" i="4"/>
  <c r="I1174" i="4"/>
  <c r="I1180" i="4"/>
  <c r="I3057" i="4"/>
  <c r="I3062" i="4"/>
  <c r="I3065" i="4"/>
  <c r="I3068" i="4"/>
  <c r="J752" i="1"/>
  <c r="I2572" i="4"/>
  <c r="J913" i="1"/>
  <c r="I3071" i="4"/>
  <c r="I3054" i="4"/>
  <c r="I2525" i="4"/>
  <c r="I2538" i="4"/>
  <c r="I2545" i="4"/>
  <c r="I2552" i="4"/>
  <c r="I2555" i="4"/>
  <c r="I1162" i="4"/>
  <c r="I1168" i="4"/>
  <c r="I1171" i="4"/>
  <c r="I1177" i="4"/>
  <c r="A798" i="1"/>
  <c r="A413" i="1"/>
  <c r="A87" i="1"/>
  <c r="D2693" i="4"/>
  <c r="K2753" i="4"/>
  <c r="K2752" i="4" s="1"/>
  <c r="Q808" i="1" s="1"/>
  <c r="I2751" i="4"/>
  <c r="I2750" i="4"/>
  <c r="K2749" i="4"/>
  <c r="Q807" i="1" s="1"/>
  <c r="I2748" i="4"/>
  <c r="I2747" i="4"/>
  <c r="K2746" i="4"/>
  <c r="Q806" i="1" s="1"/>
  <c r="K2745" i="4"/>
  <c r="I2745" i="4" s="1"/>
  <c r="I2743" i="4"/>
  <c r="I2742" i="4"/>
  <c r="K2741" i="4"/>
  <c r="Q804" i="1" s="1"/>
  <c r="I2740" i="4"/>
  <c r="I2739" i="4"/>
  <c r="K2738" i="4"/>
  <c r="Q803" i="1" s="1"/>
  <c r="I2737" i="4"/>
  <c r="I2736" i="4"/>
  <c r="I2735" i="4"/>
  <c r="I2734" i="4"/>
  <c r="I2733" i="4"/>
  <c r="I2732" i="4"/>
  <c r="I2731" i="4"/>
  <c r="I2730" i="4"/>
  <c r="K2729" i="4"/>
  <c r="Q802" i="1" s="1"/>
  <c r="I2728" i="4"/>
  <c r="I2727" i="4"/>
  <c r="K2726" i="4"/>
  <c r="Q801" i="1" s="1"/>
  <c r="K2725" i="4"/>
  <c r="I2725" i="4" s="1"/>
  <c r="K2724" i="4"/>
  <c r="I2724" i="4" s="1"/>
  <c r="I2723" i="4"/>
  <c r="I2722" i="4"/>
  <c r="I2721" i="4"/>
  <c r="I2720" i="4"/>
  <c r="I2719" i="4"/>
  <c r="I2718" i="4"/>
  <c r="I2717" i="4"/>
  <c r="I2716" i="4"/>
  <c r="K2714" i="4"/>
  <c r="I2714" i="4" s="1"/>
  <c r="K2713" i="4"/>
  <c r="I2713" i="4" s="1"/>
  <c r="I2712" i="4"/>
  <c r="I2711" i="4"/>
  <c r="I2710" i="4"/>
  <c r="I2709" i="4"/>
  <c r="I2708" i="4"/>
  <c r="I2707" i="4"/>
  <c r="I2706" i="4"/>
  <c r="I2705" i="4"/>
  <c r="K2703" i="4"/>
  <c r="I2703" i="4" s="1"/>
  <c r="K2702" i="4"/>
  <c r="I2702" i="4" s="1"/>
  <c r="K2701" i="4"/>
  <c r="I2701" i="4" s="1"/>
  <c r="K2700" i="4"/>
  <c r="I2700" i="4" s="1"/>
  <c r="A2699" i="4"/>
  <c r="A2704" i="4" s="1"/>
  <c r="A2715" i="4" s="1"/>
  <c r="A2726" i="4" s="1"/>
  <c r="A2729" i="4" s="1"/>
  <c r="A2738" i="4" s="1"/>
  <c r="A2741" i="4" s="1"/>
  <c r="A2744" i="4" s="1"/>
  <c r="A2746" i="4" s="1"/>
  <c r="A2749" i="4" s="1"/>
  <c r="A2752" i="4" s="1"/>
  <c r="K2698" i="4"/>
  <c r="I2698" i="4" s="1"/>
  <c r="K2697" i="4"/>
  <c r="I2697" i="4" s="1"/>
  <c r="K2696" i="4"/>
  <c r="I2696" i="4" s="1"/>
  <c r="K2695" i="4"/>
  <c r="I2695" i="4" s="1"/>
  <c r="D1516" i="4"/>
  <c r="K1608" i="4"/>
  <c r="I1608" i="4" s="1"/>
  <c r="K1606" i="4"/>
  <c r="K1605" i="4" s="1"/>
  <c r="Q431" i="1" s="1"/>
  <c r="K1604" i="4"/>
  <c r="I1604" i="4" s="1"/>
  <c r="I1602" i="4"/>
  <c r="I1601" i="4"/>
  <c r="I1600" i="4"/>
  <c r="I1599" i="4"/>
  <c r="I1598" i="4"/>
  <c r="I1597" i="4"/>
  <c r="K1596" i="4"/>
  <c r="Q429" i="1" s="1"/>
  <c r="K1595" i="4"/>
  <c r="J1595" i="4"/>
  <c r="K1594" i="4"/>
  <c r="J1594" i="4"/>
  <c r="K1593" i="4"/>
  <c r="J1593" i="4"/>
  <c r="K1592" i="4"/>
  <c r="J1592" i="4"/>
  <c r="K1591" i="4"/>
  <c r="J1591" i="4"/>
  <c r="K1590" i="4"/>
  <c r="J1590" i="4"/>
  <c r="K1589" i="4"/>
  <c r="J1589" i="4"/>
  <c r="K1588" i="4"/>
  <c r="J1588" i="4"/>
  <c r="K1587" i="4"/>
  <c r="J1587" i="4"/>
  <c r="K1586" i="4"/>
  <c r="J1586" i="4"/>
  <c r="I1585" i="4"/>
  <c r="K1584" i="4"/>
  <c r="K1583" i="4" s="1"/>
  <c r="Q427" i="1" s="1"/>
  <c r="I1582" i="4"/>
  <c r="K1581" i="4"/>
  <c r="I1581" i="4" s="1"/>
  <c r="I1579" i="4"/>
  <c r="I1578" i="4"/>
  <c r="K1577" i="4"/>
  <c r="Q425" i="1" s="1"/>
  <c r="I1576" i="4"/>
  <c r="I1575" i="4"/>
  <c r="K1574" i="4"/>
  <c r="Q424" i="1" s="1"/>
  <c r="I1573" i="4"/>
  <c r="I1572" i="4"/>
  <c r="K1571" i="4"/>
  <c r="Q423" i="1" s="1"/>
  <c r="K1570" i="4"/>
  <c r="I1570" i="4" s="1"/>
  <c r="K1569" i="4"/>
  <c r="I1569" i="4" s="1"/>
  <c r="K1568" i="4"/>
  <c r="I1568" i="4" s="1"/>
  <c r="K1567" i="4"/>
  <c r="I1567" i="4" s="1"/>
  <c r="K1565" i="4"/>
  <c r="I1565" i="4" s="1"/>
  <c r="K1564" i="4"/>
  <c r="I1564" i="4" s="1"/>
  <c r="K1563" i="4"/>
  <c r="I1563" i="4" s="1"/>
  <c r="K1562" i="4"/>
  <c r="I1562" i="4" s="1"/>
  <c r="I1560" i="4"/>
  <c r="I1559" i="4"/>
  <c r="I1558" i="4"/>
  <c r="I1557" i="4"/>
  <c r="K1556" i="4"/>
  <c r="Q420" i="1" s="1"/>
  <c r="I1555" i="4"/>
  <c r="K1554" i="4"/>
  <c r="K1553" i="4" s="1"/>
  <c r="Q419" i="1" s="1"/>
  <c r="K1552" i="4"/>
  <c r="I1552" i="4" s="1"/>
  <c r="K1551" i="4"/>
  <c r="I1551" i="4" s="1"/>
  <c r="K1550" i="4"/>
  <c r="I1550" i="4" s="1"/>
  <c r="K1549" i="4"/>
  <c r="K1547" i="4"/>
  <c r="I1547" i="4" s="1"/>
  <c r="I1545" i="4"/>
  <c r="K1544" i="4"/>
  <c r="I1544" i="4" s="1"/>
  <c r="I1543" i="4"/>
  <c r="K1542" i="4"/>
  <c r="I1542" i="4" s="1"/>
  <c r="I1541" i="4"/>
  <c r="K1540" i="4"/>
  <c r="I1540" i="4" s="1"/>
  <c r="I1539" i="4"/>
  <c r="K1538" i="4"/>
  <c r="I1538" i="4" s="1"/>
  <c r="I1536" i="4"/>
  <c r="K1535" i="4"/>
  <c r="K1534" i="4" s="1"/>
  <c r="Q415" i="1" s="1"/>
  <c r="K1533" i="4"/>
  <c r="I1533" i="4" s="1"/>
  <c r="K1532" i="4"/>
  <c r="I1532" i="4" s="1"/>
  <c r="K1531" i="4"/>
  <c r="I1531" i="4" s="1"/>
  <c r="K1530" i="4"/>
  <c r="I1530" i="4" s="1"/>
  <c r="K1529" i="4"/>
  <c r="I1529" i="4" s="1"/>
  <c r="K1527" i="4"/>
  <c r="I1527" i="4" s="1"/>
  <c r="K1526" i="4"/>
  <c r="I1526" i="4" s="1"/>
  <c r="K1525" i="4"/>
  <c r="I1525" i="4" s="1"/>
  <c r="K1524" i="4"/>
  <c r="I1524" i="4" s="1"/>
  <c r="K1523" i="4"/>
  <c r="A1522" i="4"/>
  <c r="A1528" i="4" s="1"/>
  <c r="A1534" i="4" s="1"/>
  <c r="A1537" i="4" s="1"/>
  <c r="A1546" i="4" s="1"/>
  <c r="A1548" i="4" s="1"/>
  <c r="A1553" i="4" s="1"/>
  <c r="A1556" i="4" s="1"/>
  <c r="A1561" i="4" s="1"/>
  <c r="A1566" i="4" s="1"/>
  <c r="A1571" i="4" s="1"/>
  <c r="A1574" i="4" s="1"/>
  <c r="A1577" i="4" s="1"/>
  <c r="A1580" i="4" s="1"/>
  <c r="A1583" i="4" s="1"/>
  <c r="A1585" i="4" s="1"/>
  <c r="A1596" i="4" s="1"/>
  <c r="A1603" i="4" s="1"/>
  <c r="A1605" i="4" s="1"/>
  <c r="A1607" i="4" s="1"/>
  <c r="K1521" i="4"/>
  <c r="I1521" i="4" s="1"/>
  <c r="K1520" i="4"/>
  <c r="I1520" i="4" s="1"/>
  <c r="K1519" i="4"/>
  <c r="I1519" i="4" s="1"/>
  <c r="K1518" i="4"/>
  <c r="D277" i="4"/>
  <c r="J376" i="4"/>
  <c r="J375" i="4"/>
  <c r="K374" i="4"/>
  <c r="Q101" i="1" s="1"/>
  <c r="I374" i="4"/>
  <c r="J373" i="4"/>
  <c r="J372" i="4"/>
  <c r="K371" i="4"/>
  <c r="Q100" i="1" s="1"/>
  <c r="I371" i="4"/>
  <c r="J370" i="4"/>
  <c r="J369" i="4"/>
  <c r="K368" i="4"/>
  <c r="Q99" i="1" s="1"/>
  <c r="I368" i="4"/>
  <c r="I367" i="4"/>
  <c r="K366" i="4"/>
  <c r="I366" i="4"/>
  <c r="I365" i="4"/>
  <c r="K364" i="4"/>
  <c r="I364" i="4"/>
  <c r="I363" i="4"/>
  <c r="K362" i="4"/>
  <c r="I362" i="4"/>
  <c r="K360" i="4"/>
  <c r="J360" i="4"/>
  <c r="K359" i="4"/>
  <c r="J359" i="4"/>
  <c r="K358" i="4"/>
  <c r="K357" i="4"/>
  <c r="J357" i="4"/>
  <c r="K356" i="4"/>
  <c r="J356" i="4"/>
  <c r="K355" i="4"/>
  <c r="K354" i="4"/>
  <c r="J354" i="4"/>
  <c r="K353" i="4"/>
  <c r="J353" i="4"/>
  <c r="K352" i="4"/>
  <c r="K351" i="4"/>
  <c r="J351" i="4"/>
  <c r="K350" i="4"/>
  <c r="J350" i="4"/>
  <c r="K349" i="4"/>
  <c r="K348" i="4"/>
  <c r="J348" i="4"/>
  <c r="K347" i="4"/>
  <c r="J347" i="4"/>
  <c r="K346" i="4"/>
  <c r="I345" i="4"/>
  <c r="K344" i="4"/>
  <c r="J344" i="4"/>
  <c r="K343" i="4"/>
  <c r="J343" i="4"/>
  <c r="K342" i="4"/>
  <c r="K341" i="4"/>
  <c r="J341" i="4"/>
  <c r="K340" i="4"/>
  <c r="J340" i="4"/>
  <c r="K339" i="4"/>
  <c r="K338" i="4"/>
  <c r="J338" i="4"/>
  <c r="K337" i="4"/>
  <c r="J337" i="4"/>
  <c r="K336" i="4"/>
  <c r="K335" i="4"/>
  <c r="J335" i="4"/>
  <c r="K334" i="4"/>
  <c r="J334" i="4"/>
  <c r="K333" i="4"/>
  <c r="K332" i="4"/>
  <c r="J332" i="4"/>
  <c r="K331" i="4"/>
  <c r="J331" i="4"/>
  <c r="K330" i="4"/>
  <c r="I329" i="4"/>
  <c r="K328" i="4"/>
  <c r="J328" i="4"/>
  <c r="K327" i="4"/>
  <c r="J327" i="4"/>
  <c r="K326" i="4"/>
  <c r="K325" i="4"/>
  <c r="J325" i="4"/>
  <c r="K324" i="4"/>
  <c r="J324" i="4"/>
  <c r="K323" i="4"/>
  <c r="K322" i="4"/>
  <c r="J322" i="4"/>
  <c r="K321" i="4"/>
  <c r="J321" i="4"/>
  <c r="K320" i="4"/>
  <c r="K319" i="4"/>
  <c r="J319" i="4"/>
  <c r="K318" i="4"/>
  <c r="J318" i="4"/>
  <c r="K317" i="4"/>
  <c r="I316" i="4"/>
  <c r="K315" i="4"/>
  <c r="J315" i="4"/>
  <c r="K314" i="4"/>
  <c r="J314" i="4"/>
  <c r="K313" i="4"/>
  <c r="K312" i="4"/>
  <c r="J312" i="4"/>
  <c r="K311" i="4"/>
  <c r="J311" i="4"/>
  <c r="K310" i="4"/>
  <c r="I309" i="4"/>
  <c r="K308" i="4"/>
  <c r="J308" i="4"/>
  <c r="K307" i="4"/>
  <c r="J307" i="4"/>
  <c r="K306" i="4"/>
  <c r="K305" i="4"/>
  <c r="J305" i="4"/>
  <c r="K304" i="4"/>
  <c r="J304" i="4"/>
  <c r="K303" i="4"/>
  <c r="K302" i="4"/>
  <c r="J302" i="4"/>
  <c r="K301" i="4"/>
  <c r="J301" i="4"/>
  <c r="K300" i="4"/>
  <c r="K299" i="4"/>
  <c r="J299" i="4"/>
  <c r="K298" i="4"/>
  <c r="J298" i="4"/>
  <c r="K297" i="4"/>
  <c r="I296" i="4"/>
  <c r="J295" i="4"/>
  <c r="J294" i="4"/>
  <c r="K293" i="4"/>
  <c r="Q92" i="1" s="1"/>
  <c r="I293" i="4"/>
  <c r="K292" i="4"/>
  <c r="K291" i="4" s="1"/>
  <c r="Q91" i="1" s="1"/>
  <c r="I292" i="4"/>
  <c r="K290" i="4"/>
  <c r="K289" i="4" s="1"/>
  <c r="Q90" i="1" s="1"/>
  <c r="I290" i="4"/>
  <c r="K288" i="4"/>
  <c r="K287" i="4" s="1"/>
  <c r="Q89" i="1" s="1"/>
  <c r="I288" i="4"/>
  <c r="I285" i="4"/>
  <c r="K284" i="4"/>
  <c r="Q88" i="1" s="1"/>
  <c r="A284" i="4"/>
  <c r="A287" i="4" s="1"/>
  <c r="A289" i="4" s="1"/>
  <c r="A291" i="4" s="1"/>
  <c r="A293" i="4" s="1"/>
  <c r="A296" i="4" s="1"/>
  <c r="A309" i="4" s="1"/>
  <c r="A316" i="4" s="1"/>
  <c r="A329" i="4" s="1"/>
  <c r="A345" i="4" s="1"/>
  <c r="A361" i="4" s="1"/>
  <c r="A368" i="4" s="1"/>
  <c r="A371" i="4" s="1"/>
  <c r="A374" i="4" s="1"/>
  <c r="J283" i="4"/>
  <c r="J282" i="4"/>
  <c r="K281" i="4"/>
  <c r="Q87" i="1" s="1"/>
  <c r="I281" i="4"/>
  <c r="J280" i="4"/>
  <c r="J279" i="4"/>
  <c r="K278" i="4"/>
  <c r="Q86" i="1" s="1"/>
  <c r="I278" i="4"/>
  <c r="J2525" i="4" l="1"/>
  <c r="J2538" i="4"/>
  <c r="J3068" i="4"/>
  <c r="J2530" i="4"/>
  <c r="K1585" i="4"/>
  <c r="Q428" i="1" s="1"/>
  <c r="N314" i="1"/>
  <c r="A853" i="1"/>
  <c r="A799" i="1"/>
  <c r="A353" i="1"/>
  <c r="A779" i="1"/>
  <c r="A88" i="1"/>
  <c r="A45" i="1"/>
  <c r="A414" i="1"/>
  <c r="A473" i="1"/>
  <c r="A139" i="1"/>
  <c r="A737" i="1"/>
  <c r="A911" i="1"/>
  <c r="A307" i="1"/>
  <c r="J2533" i="4"/>
  <c r="N304" i="1"/>
  <c r="J2555" i="4"/>
  <c r="P754" i="1"/>
  <c r="J749" i="1"/>
  <c r="N305" i="1"/>
  <c r="J1180" i="4"/>
  <c r="P313" i="1"/>
  <c r="P753" i="1"/>
  <c r="N754" i="1"/>
  <c r="N753" i="1"/>
  <c r="N313" i="1"/>
  <c r="J3057" i="4"/>
  <c r="J2545" i="4"/>
  <c r="J1177" i="4"/>
  <c r="J1162" i="4"/>
  <c r="P305" i="1"/>
  <c r="P304" i="1"/>
  <c r="N750" i="1"/>
  <c r="J1520" i="4"/>
  <c r="J1524" i="4"/>
  <c r="J1526" i="4"/>
  <c r="J1529" i="4"/>
  <c r="J1531" i="4"/>
  <c r="J1533" i="4"/>
  <c r="J1536" i="4"/>
  <c r="J1539" i="4"/>
  <c r="J1541" i="4"/>
  <c r="J1543" i="4"/>
  <c r="J1545" i="4"/>
  <c r="J1551" i="4"/>
  <c r="J1558" i="4"/>
  <c r="J1560" i="4"/>
  <c r="J1563" i="4"/>
  <c r="J1565" i="4"/>
  <c r="J1568" i="4"/>
  <c r="J1570" i="4"/>
  <c r="J1572" i="4"/>
  <c r="J1576" i="4"/>
  <c r="J1578" i="4"/>
  <c r="J1581" i="4"/>
  <c r="J1598" i="4"/>
  <c r="J1600" i="4"/>
  <c r="J1602" i="4"/>
  <c r="J2696" i="4"/>
  <c r="J2698" i="4"/>
  <c r="J2700" i="4"/>
  <c r="J2702" i="4"/>
  <c r="J2705" i="4"/>
  <c r="J2707" i="4"/>
  <c r="J2709" i="4"/>
  <c r="J2711" i="4"/>
  <c r="J2713" i="4"/>
  <c r="J2716" i="4"/>
  <c r="J2718" i="4"/>
  <c r="J2720" i="4"/>
  <c r="J2722" i="4"/>
  <c r="J2724" i="4"/>
  <c r="J2728" i="4"/>
  <c r="J2730" i="4"/>
  <c r="J2732" i="4"/>
  <c r="J2734" i="4"/>
  <c r="J2736" i="4"/>
  <c r="J2740" i="4"/>
  <c r="J2742" i="4"/>
  <c r="J2747" i="4"/>
  <c r="J2751" i="4"/>
  <c r="J311" i="1"/>
  <c r="J308" i="1"/>
  <c r="J746" i="1"/>
  <c r="J742" i="1"/>
  <c r="J910" i="1"/>
  <c r="J908" i="1"/>
  <c r="J737" i="1"/>
  <c r="J741" i="1"/>
  <c r="J2568" i="4"/>
  <c r="J2567" i="4" s="1"/>
  <c r="J2549" i="4"/>
  <c r="J2548" i="4" s="1"/>
  <c r="J307" i="1"/>
  <c r="I287" i="4"/>
  <c r="I291" i="4"/>
  <c r="J1519" i="4"/>
  <c r="J1521" i="4"/>
  <c r="J1525" i="4"/>
  <c r="J1527" i="4"/>
  <c r="J1530" i="4"/>
  <c r="J1532" i="4"/>
  <c r="J1538" i="4"/>
  <c r="J1540" i="4"/>
  <c r="J1542" i="4"/>
  <c r="J1544" i="4"/>
  <c r="J1550" i="4"/>
  <c r="J1552" i="4"/>
  <c r="J1555" i="4"/>
  <c r="J1557" i="4"/>
  <c r="J1559" i="4"/>
  <c r="J1562" i="4"/>
  <c r="J1564" i="4"/>
  <c r="J1567" i="4"/>
  <c r="J1569" i="4"/>
  <c r="J1573" i="4"/>
  <c r="J1575" i="4"/>
  <c r="J1574" i="4" s="1"/>
  <c r="J1579" i="4"/>
  <c r="J1577" i="4" s="1"/>
  <c r="J1582" i="4"/>
  <c r="J1580" i="4" s="1"/>
  <c r="J428" i="1"/>
  <c r="J1597" i="4"/>
  <c r="J1599" i="4"/>
  <c r="J1601" i="4"/>
  <c r="J2695" i="4"/>
  <c r="J2697" i="4"/>
  <c r="J2701" i="4"/>
  <c r="J2703" i="4"/>
  <c r="J2706" i="4"/>
  <c r="J2708" i="4"/>
  <c r="J2710" i="4"/>
  <c r="J2712" i="4"/>
  <c r="J2714" i="4"/>
  <c r="J2717" i="4"/>
  <c r="J2719" i="4"/>
  <c r="J2721" i="4"/>
  <c r="J2723" i="4"/>
  <c r="J2725" i="4"/>
  <c r="J2727" i="4"/>
  <c r="J2726" i="4" s="1"/>
  <c r="J2731" i="4"/>
  <c r="J2733" i="4"/>
  <c r="J2735" i="4"/>
  <c r="J2737" i="4"/>
  <c r="J2739" i="4"/>
  <c r="J2743" i="4"/>
  <c r="J2748" i="4"/>
  <c r="J2750" i="4"/>
  <c r="J2749" i="4" s="1"/>
  <c r="J309" i="1"/>
  <c r="J745" i="1"/>
  <c r="J739" i="1"/>
  <c r="J911" i="1"/>
  <c r="J909" i="1"/>
  <c r="J312" i="1"/>
  <c r="J310" i="1"/>
  <c r="J736" i="1"/>
  <c r="J2542" i="4"/>
  <c r="J2541" i="4" s="1"/>
  <c r="J2563" i="4"/>
  <c r="J2558" i="4" s="1"/>
  <c r="J744" i="1"/>
  <c r="J2529" i="4"/>
  <c r="J2528" i="4" s="1"/>
  <c r="J738" i="1"/>
  <c r="P750" i="1"/>
  <c r="J1165" i="4"/>
  <c r="J1585" i="4"/>
  <c r="J912" i="1"/>
  <c r="J751" i="1"/>
  <c r="J316" i="1"/>
  <c r="K1517" i="4"/>
  <c r="Q412" i="1" s="1"/>
  <c r="I2567" i="4"/>
  <c r="I2548" i="4"/>
  <c r="J86" i="1"/>
  <c r="I286" i="4"/>
  <c r="J94" i="1"/>
  <c r="J96" i="1"/>
  <c r="J97" i="1"/>
  <c r="J362" i="4"/>
  <c r="J363" i="4"/>
  <c r="J366" i="4"/>
  <c r="J367" i="4"/>
  <c r="K2704" i="4"/>
  <c r="Q799" i="1" s="1"/>
  <c r="J87" i="1"/>
  <c r="J288" i="4"/>
  <c r="J287" i="4" s="1"/>
  <c r="J290" i="4"/>
  <c r="J289" i="4" s="1"/>
  <c r="J292" i="4"/>
  <c r="J291" i="4" s="1"/>
  <c r="J92" i="1"/>
  <c r="J93" i="1"/>
  <c r="J95" i="1"/>
  <c r="J364" i="4"/>
  <c r="J365" i="4"/>
  <c r="J99" i="1"/>
  <c r="J100" i="1"/>
  <c r="J101" i="1"/>
  <c r="K1546" i="4"/>
  <c r="Q417" i="1" s="1"/>
  <c r="K1548" i="4"/>
  <c r="Q418" i="1" s="1"/>
  <c r="I1518" i="4"/>
  <c r="K1528" i="4"/>
  <c r="Q414" i="1" s="1"/>
  <c r="K1566" i="4"/>
  <c r="Q422" i="1" s="1"/>
  <c r="K1580" i="4"/>
  <c r="Q426" i="1" s="1"/>
  <c r="K1607" i="4"/>
  <c r="Q432" i="1" s="1"/>
  <c r="K2699" i="4"/>
  <c r="Q798" i="1" s="1"/>
  <c r="K2715" i="4"/>
  <c r="Q800" i="1" s="1"/>
  <c r="I2558" i="4"/>
  <c r="I2528" i="4"/>
  <c r="J1547" i="4"/>
  <c r="J1546" i="4" s="1"/>
  <c r="I1546" i="4"/>
  <c r="I1549" i="4"/>
  <c r="I1554" i="4"/>
  <c r="K1561" i="4"/>
  <c r="Q421" i="1" s="1"/>
  <c r="K1603" i="4"/>
  <c r="Q430" i="1" s="1"/>
  <c r="K2694" i="4"/>
  <c r="Q797" i="1" s="1"/>
  <c r="J285" i="4"/>
  <c r="K1522" i="4"/>
  <c r="Q413" i="1" s="1"/>
  <c r="I1535" i="4"/>
  <c r="K2744" i="4"/>
  <c r="Q805" i="1" s="1"/>
  <c r="J1608" i="4"/>
  <c r="J1607" i="4" s="1"/>
  <c r="I1607" i="4"/>
  <c r="J2745" i="4"/>
  <c r="J2744" i="4" s="1"/>
  <c r="I2744" i="4"/>
  <c r="J1604" i="4"/>
  <c r="J1603" i="4" s="1"/>
  <c r="I1603" i="4"/>
  <c r="K361" i="4"/>
  <c r="Q98" i="1" s="1"/>
  <c r="I1523" i="4"/>
  <c r="K1537" i="4"/>
  <c r="Q416" i="1" s="1"/>
  <c r="I1584" i="4"/>
  <c r="I1606" i="4"/>
  <c r="I2753" i="4"/>
  <c r="I2541" i="4"/>
  <c r="J309" i="4"/>
  <c r="J329" i="4"/>
  <c r="K345" i="4"/>
  <c r="Q97" i="1" s="1"/>
  <c r="J368" i="4"/>
  <c r="J371" i="4"/>
  <c r="J374" i="4"/>
  <c r="J278" i="4"/>
  <c r="J296" i="4"/>
  <c r="J316" i="4"/>
  <c r="I1556" i="4"/>
  <c r="I1571" i="4"/>
  <c r="I1574" i="4"/>
  <c r="I1577" i="4"/>
  <c r="I1596" i="4"/>
  <c r="I2704" i="4"/>
  <c r="I2726" i="4"/>
  <c r="I2729" i="4"/>
  <c r="I2738" i="4"/>
  <c r="I2741" i="4"/>
  <c r="J293" i="4"/>
  <c r="I1537" i="4"/>
  <c r="I2699" i="4"/>
  <c r="P317" i="1"/>
  <c r="N317" i="1"/>
  <c r="J281" i="4"/>
  <c r="K296" i="4"/>
  <c r="Q93" i="1" s="1"/>
  <c r="K309" i="4"/>
  <c r="Q94" i="1" s="1"/>
  <c r="K316" i="4"/>
  <c r="Q95" i="1" s="1"/>
  <c r="K329" i="4"/>
  <c r="Q96" i="1" s="1"/>
  <c r="J345" i="4"/>
  <c r="I1528" i="4"/>
  <c r="I1561" i="4"/>
  <c r="I1566" i="4"/>
  <c r="I1580" i="4"/>
  <c r="I2694" i="4"/>
  <c r="I2715" i="4"/>
  <c r="J306" i="1"/>
  <c r="I1155" i="4"/>
  <c r="J734" i="1"/>
  <c r="J907" i="1"/>
  <c r="I3053" i="4"/>
  <c r="N913" i="1"/>
  <c r="P913" i="1"/>
  <c r="N752" i="1"/>
  <c r="P752" i="1"/>
  <c r="I2746" i="4"/>
  <c r="I2749" i="4"/>
  <c r="I289" i="4"/>
  <c r="I361" i="4"/>
  <c r="K3050" i="4"/>
  <c r="Q905" i="1" s="1"/>
  <c r="I3051" i="4"/>
  <c r="I3052" i="4"/>
  <c r="A302" i="1"/>
  <c r="D3049" i="4"/>
  <c r="D1149" i="4"/>
  <c r="K1154" i="4"/>
  <c r="K1153" i="4" s="1"/>
  <c r="Q302" i="1" s="1"/>
  <c r="I1154" i="4"/>
  <c r="J1152" i="4"/>
  <c r="J1151" i="4"/>
  <c r="K1150" i="4"/>
  <c r="Q301" i="1" s="1"/>
  <c r="I1150" i="4"/>
  <c r="A732" i="1"/>
  <c r="A299" i="1"/>
  <c r="D3043" i="4"/>
  <c r="I3048" i="4"/>
  <c r="I3047" i="4"/>
  <c r="I3046" i="4"/>
  <c r="I3045" i="4"/>
  <c r="K3044" i="4"/>
  <c r="Q903" i="1" s="1"/>
  <c r="D2517" i="4"/>
  <c r="K2523" i="4"/>
  <c r="I2523" i="4" s="1"/>
  <c r="K2522" i="4"/>
  <c r="A2521" i="4"/>
  <c r="I2520" i="4"/>
  <c r="I2519" i="4"/>
  <c r="K2518" i="4"/>
  <c r="Q731" i="1" s="1"/>
  <c r="D1143" i="4"/>
  <c r="J1148" i="4"/>
  <c r="J1147" i="4"/>
  <c r="K1146" i="4"/>
  <c r="Q299" i="1" s="1"/>
  <c r="I1146" i="4"/>
  <c r="A1146" i="4"/>
  <c r="K1145" i="4"/>
  <c r="K1144" i="4" s="1"/>
  <c r="Q298" i="1" s="1"/>
  <c r="I1145" i="4"/>
  <c r="J1571" i="4" l="1"/>
  <c r="A140" i="1"/>
  <c r="A89" i="1"/>
  <c r="A354" i="1"/>
  <c r="N316" i="1"/>
  <c r="A415" i="1"/>
  <c r="A854" i="1"/>
  <c r="N908" i="1"/>
  <c r="N308" i="1"/>
  <c r="N749" i="1"/>
  <c r="A308" i="1"/>
  <c r="A738" i="1"/>
  <c r="A474" i="1"/>
  <c r="A46" i="1"/>
  <c r="A780" i="1"/>
  <c r="A800" i="1"/>
  <c r="J2746" i="4"/>
  <c r="J2738" i="4"/>
  <c r="J2694" i="4"/>
  <c r="N742" i="1"/>
  <c r="N909" i="1"/>
  <c r="P737" i="1"/>
  <c r="N737" i="1"/>
  <c r="P428" i="1"/>
  <c r="J1556" i="4"/>
  <c r="J1528" i="4"/>
  <c r="N910" i="1"/>
  <c r="N746" i="1"/>
  <c r="P311" i="1"/>
  <c r="N307" i="1"/>
  <c r="J1566" i="4"/>
  <c r="N310" i="1"/>
  <c r="J89" i="1"/>
  <c r="P745" i="1"/>
  <c r="J1561" i="4"/>
  <c r="J2741" i="4"/>
  <c r="J2729" i="4"/>
  <c r="J2704" i="4"/>
  <c r="J2699" i="4"/>
  <c r="J1537" i="4"/>
  <c r="N312" i="1"/>
  <c r="P908" i="1"/>
  <c r="P910" i="1"/>
  <c r="N751" i="1"/>
  <c r="N911" i="1"/>
  <c r="P746" i="1"/>
  <c r="P308" i="1"/>
  <c r="N311" i="1"/>
  <c r="P309" i="1"/>
  <c r="P741" i="1"/>
  <c r="P742" i="1"/>
  <c r="N428" i="1"/>
  <c r="J91" i="1"/>
  <c r="P307" i="1"/>
  <c r="P738" i="1"/>
  <c r="N309" i="1"/>
  <c r="N738" i="1"/>
  <c r="N741" i="1"/>
  <c r="J2715" i="4"/>
  <c r="P310" i="1"/>
  <c r="P312" i="1"/>
  <c r="P909" i="1"/>
  <c r="P911" i="1"/>
  <c r="N745" i="1"/>
  <c r="N739" i="1"/>
  <c r="P736" i="1"/>
  <c r="N736" i="1"/>
  <c r="J1596" i="4"/>
  <c r="J2519" i="4"/>
  <c r="J3048" i="4"/>
  <c r="J806" i="1"/>
  <c r="J422" i="1"/>
  <c r="J414" i="1"/>
  <c r="J1145" i="4"/>
  <c r="J1144" i="4" s="1"/>
  <c r="J2520" i="4"/>
  <c r="J3045" i="4"/>
  <c r="J3047" i="4"/>
  <c r="J3052" i="4"/>
  <c r="J807" i="1"/>
  <c r="J800" i="1"/>
  <c r="J426" i="1"/>
  <c r="J421" i="1"/>
  <c r="J798" i="1"/>
  <c r="J429" i="1"/>
  <c r="J425" i="1"/>
  <c r="J424" i="1"/>
  <c r="J423" i="1"/>
  <c r="J420" i="1"/>
  <c r="J740" i="1"/>
  <c r="J1606" i="4"/>
  <c r="J1605" i="4" s="1"/>
  <c r="J1535" i="4"/>
  <c r="J1534" i="4" s="1"/>
  <c r="J1554" i="4"/>
  <c r="J1553" i="4" s="1"/>
  <c r="J417" i="1"/>
  <c r="J735" i="1"/>
  <c r="J1518" i="4"/>
  <c r="J1517" i="4" s="1"/>
  <c r="P744" i="1"/>
  <c r="P739" i="1"/>
  <c r="J286" i="4"/>
  <c r="J284" i="4" s="1"/>
  <c r="J743" i="1"/>
  <c r="N744" i="1"/>
  <c r="J299" i="1"/>
  <c r="J2523" i="4"/>
  <c r="J3046" i="4"/>
  <c r="J301" i="1"/>
  <c r="J1154" i="4"/>
  <c r="J1153" i="4" s="1"/>
  <c r="J3051" i="4"/>
  <c r="J416" i="1"/>
  <c r="J804" i="1"/>
  <c r="J803" i="1"/>
  <c r="J802" i="1"/>
  <c r="J801" i="1"/>
  <c r="J799" i="1"/>
  <c r="J2753" i="4"/>
  <c r="J2752" i="4" s="1"/>
  <c r="J1584" i="4"/>
  <c r="J1583" i="4" s="1"/>
  <c r="J1523" i="4"/>
  <c r="J1522" i="4" s="1"/>
  <c r="J430" i="1"/>
  <c r="J805" i="1"/>
  <c r="J432" i="1"/>
  <c r="J1549" i="4"/>
  <c r="J1548" i="4" s="1"/>
  <c r="J747" i="1"/>
  <c r="J748" i="1"/>
  <c r="I1605" i="4"/>
  <c r="N912" i="1"/>
  <c r="J906" i="1"/>
  <c r="N101" i="1"/>
  <c r="P99" i="1"/>
  <c r="P89" i="1"/>
  <c r="P97" i="1"/>
  <c r="N94" i="1"/>
  <c r="J303" i="1"/>
  <c r="N100" i="1"/>
  <c r="N95" i="1"/>
  <c r="N92" i="1"/>
  <c r="N87" i="1"/>
  <c r="N96" i="1"/>
  <c r="N86" i="1"/>
  <c r="I1534" i="4"/>
  <c r="I284" i="4"/>
  <c r="I1553" i="4"/>
  <c r="I1517" i="4"/>
  <c r="I1583" i="4"/>
  <c r="I1548" i="4"/>
  <c r="I1522" i="4"/>
  <c r="P93" i="1"/>
  <c r="J361" i="4"/>
  <c r="P87" i="1"/>
  <c r="N93" i="1"/>
  <c r="N99" i="1"/>
  <c r="P101" i="1"/>
  <c r="N97" i="1"/>
  <c r="P95" i="1"/>
  <c r="J90" i="1"/>
  <c r="J98" i="1"/>
  <c r="P100" i="1"/>
  <c r="P92" i="1"/>
  <c r="P96" i="1"/>
  <c r="P94" i="1"/>
  <c r="P86" i="1"/>
  <c r="I2752" i="4"/>
  <c r="K2521" i="4"/>
  <c r="Q732" i="1" s="1"/>
  <c r="I2522" i="4"/>
  <c r="I2524" i="4"/>
  <c r="J1146" i="4"/>
  <c r="J1150" i="4"/>
  <c r="I3050" i="4"/>
  <c r="P907" i="1"/>
  <c r="N907" i="1"/>
  <c r="P734" i="1"/>
  <c r="N734" i="1"/>
  <c r="N306" i="1"/>
  <c r="P306" i="1"/>
  <c r="J797" i="1"/>
  <c r="I1153" i="4"/>
  <c r="I3044" i="4"/>
  <c r="I2518" i="4"/>
  <c r="I1144" i="4"/>
  <c r="N422" i="1" l="1"/>
  <c r="N89" i="1"/>
  <c r="P423" i="1"/>
  <c r="P422" i="1"/>
  <c r="N91" i="1"/>
  <c r="A47" i="1"/>
  <c r="A90" i="1"/>
  <c r="P421" i="1"/>
  <c r="P426" i="1"/>
  <c r="P420" i="1"/>
  <c r="P429" i="1"/>
  <c r="P740" i="1"/>
  <c r="A801" i="1"/>
  <c r="A739" i="1"/>
  <c r="A855" i="1"/>
  <c r="P806" i="1"/>
  <c r="A781" i="1"/>
  <c r="A475" i="1"/>
  <c r="A309" i="1"/>
  <c r="A416" i="1"/>
  <c r="A355" i="1"/>
  <c r="A141" i="1"/>
  <c r="P807" i="1"/>
  <c r="P800" i="1"/>
  <c r="N420" i="1"/>
  <c r="N414" i="1"/>
  <c r="N429" i="1"/>
  <c r="P735" i="1"/>
  <c r="N424" i="1"/>
  <c r="N735" i="1"/>
  <c r="N801" i="1"/>
  <c r="J2518" i="4"/>
  <c r="P414" i="1"/>
  <c r="N806" i="1"/>
  <c r="N421" i="1"/>
  <c r="N800" i="1"/>
  <c r="P798" i="1"/>
  <c r="P425" i="1"/>
  <c r="P424" i="1"/>
  <c r="P91" i="1"/>
  <c r="N740" i="1"/>
  <c r="N423" i="1"/>
  <c r="N425" i="1"/>
  <c r="N807" i="1"/>
  <c r="N798" i="1"/>
  <c r="N426" i="1"/>
  <c r="P417" i="1"/>
  <c r="N743" i="1"/>
  <c r="P743" i="1"/>
  <c r="N417" i="1"/>
  <c r="J3050" i="4"/>
  <c r="P747" i="1"/>
  <c r="P416" i="1"/>
  <c r="J3044" i="4"/>
  <c r="P799" i="1"/>
  <c r="P803" i="1"/>
  <c r="P432" i="1"/>
  <c r="N416" i="1"/>
  <c r="N301" i="1"/>
  <c r="P299" i="1"/>
  <c r="P301" i="1"/>
  <c r="I277" i="4"/>
  <c r="P801" i="1"/>
  <c r="N299" i="1"/>
  <c r="N803" i="1"/>
  <c r="J88" i="1"/>
  <c r="N805" i="1"/>
  <c r="J733" i="1"/>
  <c r="N748" i="1"/>
  <c r="P805" i="1"/>
  <c r="P804" i="1"/>
  <c r="N802" i="1"/>
  <c r="N799" i="1"/>
  <c r="P802" i="1"/>
  <c r="N804" i="1"/>
  <c r="N432" i="1"/>
  <c r="N430" i="1"/>
  <c r="P748" i="1"/>
  <c r="P430" i="1"/>
  <c r="N303" i="1"/>
  <c r="J808" i="1"/>
  <c r="J413" i="1"/>
  <c r="J427" i="1"/>
  <c r="J419" i="1"/>
  <c r="J415" i="1"/>
  <c r="J431" i="1"/>
  <c r="N747" i="1"/>
  <c r="J2522" i="4"/>
  <c r="J2521" i="4" s="1"/>
  <c r="J418" i="1"/>
  <c r="J412" i="1"/>
  <c r="N906" i="1"/>
  <c r="N90" i="1"/>
  <c r="N98" i="1"/>
  <c r="I1516" i="4"/>
  <c r="I2693" i="4"/>
  <c r="P98" i="1"/>
  <c r="P90" i="1"/>
  <c r="I2521" i="4"/>
  <c r="J298" i="1"/>
  <c r="I1143" i="4"/>
  <c r="J731" i="1"/>
  <c r="I2517" i="4"/>
  <c r="J302" i="1"/>
  <c r="I1149" i="4"/>
  <c r="J903" i="1"/>
  <c r="I3043" i="4"/>
  <c r="N797" i="1"/>
  <c r="P797" i="1"/>
  <c r="J905" i="1"/>
  <c r="I3049" i="4"/>
  <c r="A296" i="1"/>
  <c r="M295" i="1"/>
  <c r="L295" i="1"/>
  <c r="K295" i="1"/>
  <c r="O729" i="1"/>
  <c r="M729" i="1"/>
  <c r="L729" i="1"/>
  <c r="K729" i="1"/>
  <c r="O728" i="1"/>
  <c r="M728" i="1"/>
  <c r="L728" i="1"/>
  <c r="K728" i="1"/>
  <c r="A728" i="1"/>
  <c r="O901" i="1"/>
  <c r="M901" i="1"/>
  <c r="L901" i="1"/>
  <c r="K901" i="1"/>
  <c r="D3039" i="4"/>
  <c r="I3042" i="4"/>
  <c r="I3041" i="4"/>
  <c r="K3040" i="4"/>
  <c r="Q901" i="1" s="1"/>
  <c r="D2509" i="4"/>
  <c r="K2516" i="4"/>
  <c r="I2516" i="4" s="1"/>
  <c r="I2514" i="4"/>
  <c r="I2513" i="4"/>
  <c r="K2512" i="4"/>
  <c r="Q728" i="1" s="1"/>
  <c r="A2512" i="4"/>
  <c r="A2515" i="4" s="1"/>
  <c r="K2511" i="4"/>
  <c r="K2510" i="4" s="1"/>
  <c r="Q727" i="1" s="1"/>
  <c r="D1137" i="4"/>
  <c r="J1142" i="4"/>
  <c r="J1141" i="4"/>
  <c r="K1140" i="4"/>
  <c r="Q296" i="1" s="1"/>
  <c r="I1140" i="4"/>
  <c r="A1140" i="4"/>
  <c r="K1139" i="4"/>
  <c r="K1138" i="4" s="1"/>
  <c r="Q295" i="1" s="1"/>
  <c r="I1139" i="4"/>
  <c r="M292" i="1"/>
  <c r="L292" i="1"/>
  <c r="K292" i="1"/>
  <c r="D2505" i="4"/>
  <c r="I2508" i="4"/>
  <c r="I2507" i="4"/>
  <c r="K2506" i="4"/>
  <c r="Q725" i="1" s="1"/>
  <c r="D1131" i="4"/>
  <c r="J1136" i="4"/>
  <c r="J1135" i="4"/>
  <c r="K1134" i="4"/>
  <c r="Q293" i="1" s="1"/>
  <c r="I1134" i="4"/>
  <c r="K1133" i="4"/>
  <c r="J1133" i="4"/>
  <c r="J1132" i="4" s="1"/>
  <c r="K1132" i="4"/>
  <c r="Q292" i="1" s="1"/>
  <c r="A274" i="1"/>
  <c r="A702" i="1"/>
  <c r="I892" i="1"/>
  <c r="A894" i="1"/>
  <c r="D3017" i="4"/>
  <c r="I3038" i="4"/>
  <c r="I3037" i="4"/>
  <c r="K3036" i="4"/>
  <c r="Q899" i="1" s="1"/>
  <c r="I3035" i="4"/>
  <c r="I3034" i="4"/>
  <c r="K3033" i="4"/>
  <c r="Q898" i="1" s="1"/>
  <c r="I3032" i="4"/>
  <c r="I3031" i="4"/>
  <c r="K3030" i="4"/>
  <c r="Q897" i="1" s="1"/>
  <c r="I3029" i="4"/>
  <c r="I3028" i="4"/>
  <c r="K3027" i="4"/>
  <c r="Q896" i="1" s="1"/>
  <c r="I3026" i="4"/>
  <c r="I3025" i="4"/>
  <c r="K3024" i="4"/>
  <c r="Q895" i="1" s="1"/>
  <c r="I3023" i="4"/>
  <c r="I3022" i="4"/>
  <c r="K3021" i="4"/>
  <c r="Q894" i="1" s="1"/>
  <c r="A3021" i="4"/>
  <c r="A3024" i="4" s="1"/>
  <c r="A3027" i="4" s="1"/>
  <c r="A3030" i="4" s="1"/>
  <c r="A3033" i="4" s="1"/>
  <c r="A3036" i="4" s="1"/>
  <c r="I3020" i="4"/>
  <c r="I3019" i="4"/>
  <c r="K3018" i="4"/>
  <c r="Q893" i="1" s="1"/>
  <c r="D2436" i="4"/>
  <c r="I2504" i="4"/>
  <c r="I2503" i="4"/>
  <c r="K2502" i="4"/>
  <c r="Q723" i="1" s="1"/>
  <c r="I2501" i="4"/>
  <c r="I2500" i="4"/>
  <c r="K2499" i="4"/>
  <c r="Q722" i="1" s="1"/>
  <c r="I2498" i="4"/>
  <c r="K2496" i="4"/>
  <c r="K2495" i="4" s="1"/>
  <c r="Q720" i="1" s="1"/>
  <c r="K2494" i="4"/>
  <c r="I2494" i="4" s="1"/>
  <c r="I2492" i="4"/>
  <c r="I2491" i="4"/>
  <c r="K2490" i="4"/>
  <c r="Q718" i="1" s="1"/>
  <c r="I2489" i="4"/>
  <c r="I2488" i="4"/>
  <c r="K2487" i="4"/>
  <c r="Q717" i="1" s="1"/>
  <c r="K2486" i="4"/>
  <c r="K2485" i="4" s="1"/>
  <c r="Q716" i="1" s="1"/>
  <c r="I2484" i="4"/>
  <c r="I2483" i="4"/>
  <c r="K2482" i="4"/>
  <c r="Q715" i="1" s="1"/>
  <c r="K2481" i="4"/>
  <c r="I2481" i="4" s="1"/>
  <c r="K2480" i="4"/>
  <c r="I2480" i="4" s="1"/>
  <c r="I2478" i="4"/>
  <c r="I2477" i="4"/>
  <c r="I2476" i="4"/>
  <c r="I2475" i="4"/>
  <c r="K2474" i="4"/>
  <c r="Q713" i="1" s="1"/>
  <c r="I2473" i="4"/>
  <c r="I2472" i="4"/>
  <c r="I2471" i="4"/>
  <c r="I2470" i="4"/>
  <c r="K2469" i="4"/>
  <c r="Q712" i="1" s="1"/>
  <c r="I2468" i="4"/>
  <c r="I2467" i="4"/>
  <c r="K2466" i="4"/>
  <c r="Q711" i="1" s="1"/>
  <c r="I2465" i="4"/>
  <c r="K2463" i="4"/>
  <c r="Q710" i="1" s="1"/>
  <c r="J2463" i="4"/>
  <c r="I2462" i="4"/>
  <c r="J2461" i="4"/>
  <c r="K2460" i="4"/>
  <c r="Q709" i="1" s="1"/>
  <c r="K2459" i="4"/>
  <c r="K2458" i="4" s="1"/>
  <c r="Q708" i="1" s="1"/>
  <c r="I2457" i="4"/>
  <c r="I2456" i="4"/>
  <c r="K2455" i="4"/>
  <c r="Q707" i="1" s="1"/>
  <c r="I2454" i="4"/>
  <c r="I2453" i="4"/>
  <c r="I2452" i="4"/>
  <c r="I2451" i="4"/>
  <c r="K2450" i="4"/>
  <c r="Q706" i="1" s="1"/>
  <c r="K2449" i="4"/>
  <c r="I2449" i="4" s="1"/>
  <c r="I2447" i="4"/>
  <c r="I2446" i="4"/>
  <c r="K2445" i="4"/>
  <c r="Q704" i="1" s="1"/>
  <c r="I2444" i="4"/>
  <c r="K2443" i="4"/>
  <c r="I2443" i="4" s="1"/>
  <c r="K2441" i="4"/>
  <c r="I2441" i="4" s="1"/>
  <c r="A2440" i="4"/>
  <c r="A2442" i="4" s="1"/>
  <c r="A2445" i="4" s="1"/>
  <c r="A2448" i="4" s="1"/>
  <c r="A2450" i="4" s="1"/>
  <c r="A2455" i="4" s="1"/>
  <c r="A2458" i="4" s="1"/>
  <c r="A2460" i="4" s="1"/>
  <c r="A2463" i="4" s="1"/>
  <c r="A2466" i="4" s="1"/>
  <c r="A2469" i="4" s="1"/>
  <c r="A2474" i="4" s="1"/>
  <c r="A2479" i="4" s="1"/>
  <c r="A2482" i="4" s="1"/>
  <c r="A2485" i="4" s="1"/>
  <c r="A2487" i="4" s="1"/>
  <c r="A2490" i="4" s="1"/>
  <c r="A2493" i="4" s="1"/>
  <c r="A2495" i="4" s="1"/>
  <c r="A2497" i="4" s="1"/>
  <c r="A2499" i="4" s="1"/>
  <c r="A2502" i="4" s="1"/>
  <c r="I2439" i="4"/>
  <c r="K2438" i="4"/>
  <c r="I2438" i="4" s="1"/>
  <c r="D1072" i="4"/>
  <c r="I1130" i="4"/>
  <c r="K1129" i="4"/>
  <c r="I1129" i="4"/>
  <c r="I1128" i="4" s="1"/>
  <c r="K1128" i="4"/>
  <c r="Q290" i="1" s="1"/>
  <c r="J1127" i="4"/>
  <c r="J1126" i="4"/>
  <c r="K1125" i="4"/>
  <c r="Q289" i="1" s="1"/>
  <c r="I1125" i="4"/>
  <c r="I1124" i="4"/>
  <c r="K1123" i="4"/>
  <c r="K1122" i="4" s="1"/>
  <c r="Q288" i="1" s="1"/>
  <c r="I1123" i="4"/>
  <c r="J1121" i="4"/>
  <c r="J1120" i="4"/>
  <c r="K1119" i="4"/>
  <c r="Q287" i="1" s="1"/>
  <c r="I1119" i="4"/>
  <c r="J1118" i="4"/>
  <c r="J1117" i="4"/>
  <c r="K1116" i="4"/>
  <c r="Q286" i="1" s="1"/>
  <c r="I1116" i="4"/>
  <c r="I1115" i="4"/>
  <c r="K1114" i="4"/>
  <c r="K1113" i="4" s="1"/>
  <c r="Q285" i="1" s="1"/>
  <c r="I1114" i="4"/>
  <c r="I1112" i="4"/>
  <c r="K1111" i="4"/>
  <c r="K1110" i="4" s="1"/>
  <c r="Q284" i="1" s="1"/>
  <c r="I1111" i="4"/>
  <c r="J1109" i="4"/>
  <c r="J1108" i="4"/>
  <c r="K1107" i="4"/>
  <c r="Q283" i="1" s="1"/>
  <c r="I1107" i="4"/>
  <c r="I1106" i="4"/>
  <c r="K1105" i="4"/>
  <c r="K1104" i="4" s="1"/>
  <c r="Q282" i="1" s="1"/>
  <c r="I1105" i="4"/>
  <c r="I1103" i="4"/>
  <c r="K1102" i="4"/>
  <c r="I1102" i="4" s="1"/>
  <c r="I1101" i="4"/>
  <c r="K1100" i="4"/>
  <c r="I1100" i="4" s="1"/>
  <c r="I1098" i="4"/>
  <c r="K1097" i="4"/>
  <c r="I1097" i="4" s="1"/>
  <c r="I1096" i="4"/>
  <c r="K1095" i="4"/>
  <c r="I1095" i="4" s="1"/>
  <c r="I1093" i="4"/>
  <c r="K1092" i="4"/>
  <c r="K1091" i="4" s="1"/>
  <c r="Q279" i="1" s="1"/>
  <c r="I1092" i="4"/>
  <c r="J1090" i="4"/>
  <c r="J1089" i="4"/>
  <c r="K1088" i="4"/>
  <c r="Q278" i="1" s="1"/>
  <c r="I1088" i="4"/>
  <c r="J1087" i="4"/>
  <c r="J1086" i="4"/>
  <c r="K1085" i="4"/>
  <c r="Q277" i="1" s="1"/>
  <c r="I1085" i="4"/>
  <c r="J1084" i="4"/>
  <c r="J1083" i="4"/>
  <c r="K1082" i="4"/>
  <c r="Q276" i="1" s="1"/>
  <c r="I1082" i="4"/>
  <c r="I1081" i="4"/>
  <c r="K1080" i="4"/>
  <c r="K1079" i="4" s="1"/>
  <c r="Q275" i="1" s="1"/>
  <c r="I1080" i="4"/>
  <c r="K1078" i="4"/>
  <c r="I1078" i="4" s="1"/>
  <c r="K1077" i="4"/>
  <c r="I1077" i="4" s="1"/>
  <c r="A1076" i="4"/>
  <c r="A1079" i="4" s="1"/>
  <c r="A1082" i="4" s="1"/>
  <c r="A1085" i="4" s="1"/>
  <c r="A1088" i="4" s="1"/>
  <c r="A1091" i="4" s="1"/>
  <c r="A1094" i="4" s="1"/>
  <c r="A1099" i="4" s="1"/>
  <c r="A1104" i="4" s="1"/>
  <c r="A1107" i="4" s="1"/>
  <c r="A1110" i="4" s="1"/>
  <c r="A1113" i="4" s="1"/>
  <c r="A1116" i="4" s="1"/>
  <c r="A1119" i="4" s="1"/>
  <c r="A1122" i="4" s="1"/>
  <c r="A1125" i="4" s="1"/>
  <c r="A1128" i="4" s="1"/>
  <c r="I1075" i="4"/>
  <c r="K1074" i="4"/>
  <c r="I1074" i="4"/>
  <c r="K1073" i="4"/>
  <c r="Q273" i="1" s="1"/>
  <c r="A699" i="1"/>
  <c r="D3013" i="4"/>
  <c r="I3016" i="4"/>
  <c r="I3015" i="4"/>
  <c r="K3014" i="4"/>
  <c r="Q891" i="1" s="1"/>
  <c r="D2426" i="4"/>
  <c r="I2435" i="4"/>
  <c r="I2434" i="4"/>
  <c r="I2433" i="4"/>
  <c r="I2432" i="4"/>
  <c r="I2431" i="4"/>
  <c r="K2430" i="4"/>
  <c r="I2430" i="4" s="1"/>
  <c r="A2429" i="4"/>
  <c r="K2428" i="4"/>
  <c r="K2427" i="4" s="1"/>
  <c r="Q698" i="1" s="1"/>
  <c r="D1066" i="4"/>
  <c r="J1071" i="4"/>
  <c r="J1070" i="4"/>
  <c r="K1069" i="4"/>
  <c r="Q271" i="1" s="1"/>
  <c r="I1069" i="4"/>
  <c r="K1068" i="4"/>
  <c r="M696" i="1"/>
  <c r="L696" i="1"/>
  <c r="K696" i="1"/>
  <c r="A695" i="1"/>
  <c r="A267" i="1"/>
  <c r="M266" i="1"/>
  <c r="L266" i="1"/>
  <c r="K266" i="1"/>
  <c r="D3007" i="4"/>
  <c r="I3012" i="4"/>
  <c r="I3011" i="4"/>
  <c r="I3010" i="4"/>
  <c r="I3009" i="4"/>
  <c r="K3008" i="4"/>
  <c r="Q889" i="1" s="1"/>
  <c r="D2414" i="4"/>
  <c r="I2425" i="4"/>
  <c r="I2424" i="4"/>
  <c r="I2423" i="4"/>
  <c r="I2422" i="4"/>
  <c r="K2421" i="4"/>
  <c r="Q696" i="1" s="1"/>
  <c r="K2420" i="4"/>
  <c r="I2420" i="4" s="1"/>
  <c r="K2419" i="4"/>
  <c r="A2418" i="4"/>
  <c r="A2421" i="4" s="1"/>
  <c r="K2417" i="4"/>
  <c r="I2417" i="4" s="1"/>
  <c r="K2416" i="4"/>
  <c r="D1054" i="4"/>
  <c r="J1065" i="4"/>
  <c r="J1064" i="4"/>
  <c r="J1063" i="4"/>
  <c r="J1062" i="4"/>
  <c r="K1061" i="4"/>
  <c r="Q268" i="1" s="1"/>
  <c r="I1061" i="4"/>
  <c r="K1060" i="4"/>
  <c r="I1060" i="4" s="1"/>
  <c r="K1059" i="4"/>
  <c r="I1059" i="4" s="1"/>
  <c r="A1058" i="4"/>
  <c r="A1061" i="4" s="1"/>
  <c r="J1057" i="4"/>
  <c r="J1056" i="4"/>
  <c r="K1055" i="4"/>
  <c r="Q266" i="1" s="1"/>
  <c r="I1055" i="4"/>
  <c r="A342" i="1"/>
  <c r="A34" i="1"/>
  <c r="D1246" i="4"/>
  <c r="K1251" i="4"/>
  <c r="K1250" i="4" s="1"/>
  <c r="Q342" i="1" s="1"/>
  <c r="A1250" i="4"/>
  <c r="I1249" i="4"/>
  <c r="I1248" i="4"/>
  <c r="K1247" i="4"/>
  <c r="Q341" i="1" s="1"/>
  <c r="D56" i="4"/>
  <c r="I62" i="4"/>
  <c r="K61" i="4"/>
  <c r="K60" i="4" s="1"/>
  <c r="Q34" i="1" s="1"/>
  <c r="A60" i="4"/>
  <c r="J59" i="4"/>
  <c r="J58" i="4"/>
  <c r="K57" i="4"/>
  <c r="Q33" i="1" s="1"/>
  <c r="I57" i="4"/>
  <c r="D3003" i="4"/>
  <c r="I3006" i="4"/>
  <c r="J3005" i="4"/>
  <c r="K3004" i="4"/>
  <c r="Q887" i="1" s="1"/>
  <c r="D2411" i="4"/>
  <c r="K2413" i="4"/>
  <c r="I2413" i="4" s="1"/>
  <c r="D1050" i="4"/>
  <c r="I1053" i="4"/>
  <c r="J1052" i="4"/>
  <c r="K1051" i="4"/>
  <c r="Q264" i="1" s="1"/>
  <c r="A30" i="1"/>
  <c r="D2607" i="4"/>
  <c r="I2610" i="4"/>
  <c r="I2609" i="4"/>
  <c r="K2608" i="4"/>
  <c r="Q768" i="1" s="1"/>
  <c r="D1242" i="4"/>
  <c r="I1245" i="4"/>
  <c r="I1244" i="4"/>
  <c r="K1243" i="4"/>
  <c r="Q339" i="1" s="1"/>
  <c r="J55" i="4"/>
  <c r="J54" i="4"/>
  <c r="K53" i="4"/>
  <c r="Q31" i="1" s="1"/>
  <c r="I53" i="4"/>
  <c r="K52" i="4"/>
  <c r="K51" i="4" s="1"/>
  <c r="Q30" i="1" s="1"/>
  <c r="A51" i="4"/>
  <c r="A53" i="4" s="1"/>
  <c r="K50" i="4"/>
  <c r="I50" i="4" s="1"/>
  <c r="D2603" i="4"/>
  <c r="K2606" i="4"/>
  <c r="I2606" i="4" s="1"/>
  <c r="K2605" i="4"/>
  <c r="J2605" i="4"/>
  <c r="A16" i="1"/>
  <c r="A325" i="1"/>
  <c r="A762" i="1"/>
  <c r="D2590" i="4"/>
  <c r="I2602" i="4"/>
  <c r="I2601" i="4"/>
  <c r="K2600" i="4"/>
  <c r="Q764" i="1" s="1"/>
  <c r="I2599" i="4"/>
  <c r="J2598" i="4"/>
  <c r="K2597" i="4"/>
  <c r="Q763" i="1" s="1"/>
  <c r="I2596" i="4"/>
  <c r="I2595" i="4"/>
  <c r="K2594" i="4"/>
  <c r="Q762" i="1" s="1"/>
  <c r="A2594" i="4"/>
  <c r="A2597" i="4" s="1"/>
  <c r="A2600" i="4" s="1"/>
  <c r="I2593" i="4"/>
  <c r="I2592" i="4"/>
  <c r="K2591" i="4"/>
  <c r="Q761" i="1" s="1"/>
  <c r="I1241" i="4"/>
  <c r="I1240" i="4"/>
  <c r="I1239" i="4"/>
  <c r="I1238" i="4"/>
  <c r="I1237" i="4"/>
  <c r="K1236" i="4"/>
  <c r="K1233" i="4" s="1"/>
  <c r="Q337" i="1" s="1"/>
  <c r="I1235" i="4"/>
  <c r="I1234" i="4"/>
  <c r="I1232" i="4"/>
  <c r="I1231" i="4"/>
  <c r="K1230" i="4"/>
  <c r="Q336" i="1" s="1"/>
  <c r="K1229" i="4"/>
  <c r="I1229" i="4" s="1"/>
  <c r="K1227" i="4"/>
  <c r="K1226" i="4" s="1"/>
  <c r="Q334" i="1" s="1"/>
  <c r="K1225" i="4"/>
  <c r="K1224" i="4" s="1"/>
  <c r="Q333" i="1" s="1"/>
  <c r="I1223" i="4"/>
  <c r="I1222" i="4"/>
  <c r="K1221" i="4"/>
  <c r="Q332" i="1" s="1"/>
  <c r="I1218" i="4"/>
  <c r="I1217" i="4"/>
  <c r="K1216" i="4"/>
  <c r="Q330" i="1" s="1"/>
  <c r="K1215" i="4"/>
  <c r="K1214" i="4" s="1"/>
  <c r="Q329" i="1" s="1"/>
  <c r="I1213" i="4"/>
  <c r="I1212" i="4"/>
  <c r="K1211" i="4"/>
  <c r="Q328" i="1" s="1"/>
  <c r="K1208" i="4"/>
  <c r="I1208" i="4" s="1"/>
  <c r="K1206" i="4"/>
  <c r="K1205" i="4" s="1"/>
  <c r="Q325" i="1" s="1"/>
  <c r="A1205" i="4"/>
  <c r="A1207" i="4" s="1"/>
  <c r="K1204" i="4"/>
  <c r="I1204" i="4" s="1"/>
  <c r="I47" i="4"/>
  <c r="K46" i="4"/>
  <c r="K45" i="4" s="1"/>
  <c r="Q27" i="1" s="1"/>
  <c r="I46" i="4"/>
  <c r="J44" i="4"/>
  <c r="J43" i="4"/>
  <c r="K42" i="4"/>
  <c r="Q26" i="1" s="1"/>
  <c r="I42" i="4"/>
  <c r="J41" i="4"/>
  <c r="K40" i="4"/>
  <c r="K39" i="4" s="1"/>
  <c r="Q25" i="1" s="1"/>
  <c r="I40" i="4"/>
  <c r="K38" i="4"/>
  <c r="K37" i="4" s="1"/>
  <c r="Q24" i="1" s="1"/>
  <c r="I38" i="4"/>
  <c r="J36" i="4"/>
  <c r="J35" i="4"/>
  <c r="K34" i="4"/>
  <c r="Q23" i="1" s="1"/>
  <c r="I34" i="4"/>
  <c r="J33" i="4"/>
  <c r="J32" i="4"/>
  <c r="K31" i="4"/>
  <c r="Q22" i="1" s="1"/>
  <c r="I31" i="4"/>
  <c r="J30" i="4"/>
  <c r="J29" i="4"/>
  <c r="K28" i="4"/>
  <c r="Q21" i="1" s="1"/>
  <c r="I28" i="4"/>
  <c r="K27" i="4"/>
  <c r="K26" i="4" s="1"/>
  <c r="Q20" i="1" s="1"/>
  <c r="I27" i="4"/>
  <c r="K25" i="4"/>
  <c r="K24" i="4" s="1"/>
  <c r="Q19" i="1" s="1"/>
  <c r="I25" i="4"/>
  <c r="I23" i="4"/>
  <c r="K22" i="4"/>
  <c r="K21" i="4" s="1"/>
  <c r="Q18" i="1" s="1"/>
  <c r="I22" i="4"/>
  <c r="J20" i="4"/>
  <c r="J19" i="4"/>
  <c r="K18" i="4"/>
  <c r="Q17" i="1" s="1"/>
  <c r="I18" i="4"/>
  <c r="A18" i="4"/>
  <c r="A21" i="4" s="1"/>
  <c r="A24" i="4" s="1"/>
  <c r="A26" i="4" s="1"/>
  <c r="A28" i="4" s="1"/>
  <c r="A31" i="4" s="1"/>
  <c r="A34" i="4" s="1"/>
  <c r="A37" i="4" s="1"/>
  <c r="A39" i="4" s="1"/>
  <c r="A42" i="4" s="1"/>
  <c r="A45" i="4" s="1"/>
  <c r="J17" i="4"/>
  <c r="J16" i="4"/>
  <c r="K15" i="4"/>
  <c r="Q16" i="1" s="1"/>
  <c r="I15" i="4"/>
  <c r="K14" i="4"/>
  <c r="Q15" i="1" s="1"/>
  <c r="I14" i="4"/>
  <c r="A759" i="1"/>
  <c r="A322" i="1"/>
  <c r="A13" i="1"/>
  <c r="O726" i="1" l="1"/>
  <c r="A326" i="1"/>
  <c r="L265" i="1"/>
  <c r="K693" i="1"/>
  <c r="I756" i="1"/>
  <c r="L291" i="1"/>
  <c r="O900" i="1"/>
  <c r="M727" i="1"/>
  <c r="M294" i="1"/>
  <c r="A142" i="1"/>
  <c r="A417" i="1"/>
  <c r="A476" i="1"/>
  <c r="A17" i="1"/>
  <c r="A31" i="1"/>
  <c r="M265" i="1"/>
  <c r="L693" i="1"/>
  <c r="M291" i="1"/>
  <c r="A729" i="1"/>
  <c r="A856" i="1"/>
  <c r="A802" i="1"/>
  <c r="A91" i="1"/>
  <c r="A268" i="1"/>
  <c r="M693" i="1"/>
  <c r="A275" i="1"/>
  <c r="L900" i="1"/>
  <c r="K727" i="1"/>
  <c r="K294" i="1"/>
  <c r="A356" i="1"/>
  <c r="A310" i="1"/>
  <c r="A782" i="1"/>
  <c r="A703" i="1"/>
  <c r="K900" i="1"/>
  <c r="A763" i="1"/>
  <c r="K265" i="1"/>
  <c r="A696" i="1"/>
  <c r="A895" i="1"/>
  <c r="K291" i="1"/>
  <c r="M900" i="1"/>
  <c r="L727" i="1"/>
  <c r="L294" i="1"/>
  <c r="A740" i="1"/>
  <c r="A48" i="1"/>
  <c r="P88" i="1"/>
  <c r="P431" i="1"/>
  <c r="P418" i="1"/>
  <c r="P415" i="1"/>
  <c r="J85" i="1"/>
  <c r="P412" i="1"/>
  <c r="N733" i="1"/>
  <c r="N88" i="1"/>
  <c r="N412" i="1"/>
  <c r="P808" i="1"/>
  <c r="P413" i="1"/>
  <c r="N427" i="1"/>
  <c r="J796" i="1"/>
  <c r="P427" i="1"/>
  <c r="P419" i="1"/>
  <c r="J411" i="1"/>
  <c r="N419" i="1"/>
  <c r="N413" i="1"/>
  <c r="N808" i="1"/>
  <c r="N431" i="1"/>
  <c r="I13" i="4"/>
  <c r="J1212" i="4"/>
  <c r="J1217" i="4"/>
  <c r="J1223" i="4"/>
  <c r="J1232" i="4"/>
  <c r="J1235" i="4"/>
  <c r="J1237" i="4"/>
  <c r="J1239" i="4"/>
  <c r="J1241" i="4"/>
  <c r="J2592" i="4"/>
  <c r="J2595" i="4"/>
  <c r="J2599" i="4"/>
  <c r="J2597" i="4" s="1"/>
  <c r="J2601" i="4"/>
  <c r="J2606" i="4"/>
  <c r="J2604" i="4" s="1"/>
  <c r="J1244" i="4"/>
  <c r="J2609" i="4"/>
  <c r="J1053" i="4"/>
  <c r="J1051" i="4" s="1"/>
  <c r="J3006" i="4"/>
  <c r="J3004" i="4" s="1"/>
  <c r="J1249" i="4"/>
  <c r="J2420" i="4"/>
  <c r="J2422" i="4"/>
  <c r="J2424" i="4"/>
  <c r="J3009" i="4"/>
  <c r="J3011" i="4"/>
  <c r="J271" i="1"/>
  <c r="J2433" i="4"/>
  <c r="J2435" i="4"/>
  <c r="J3016" i="4"/>
  <c r="J1074" i="4"/>
  <c r="J1075" i="4"/>
  <c r="J276" i="1"/>
  <c r="J277" i="1"/>
  <c r="J278" i="1"/>
  <c r="J1092" i="4"/>
  <c r="J1093" i="4"/>
  <c r="J1096" i="4"/>
  <c r="J1098" i="4"/>
  <c r="J1101" i="4"/>
  <c r="J1103" i="4"/>
  <c r="J283" i="1"/>
  <c r="J1111" i="4"/>
  <c r="J1112" i="4"/>
  <c r="J286" i="1"/>
  <c r="J287" i="1"/>
  <c r="J289" i="1"/>
  <c r="J290" i="1"/>
  <c r="J1129" i="4"/>
  <c r="J1130" i="4"/>
  <c r="J2447" i="4"/>
  <c r="J2452" i="4"/>
  <c r="J2454" i="4"/>
  <c r="J2456" i="4"/>
  <c r="I2463" i="4"/>
  <c r="J2467" i="4"/>
  <c r="J2471" i="4"/>
  <c r="J2473" i="4"/>
  <c r="J2475" i="4"/>
  <c r="J2477" i="4"/>
  <c r="J2480" i="4"/>
  <c r="J2484" i="4"/>
  <c r="J2489" i="4"/>
  <c r="J2491" i="4"/>
  <c r="J2500" i="4"/>
  <c r="J2504" i="4"/>
  <c r="J3020" i="4"/>
  <c r="J3023" i="4"/>
  <c r="J3025" i="4"/>
  <c r="J3029" i="4"/>
  <c r="J3031" i="4"/>
  <c r="J3035" i="4"/>
  <c r="J3037" i="4"/>
  <c r="J293" i="1"/>
  <c r="J2507" i="4"/>
  <c r="J1139" i="4"/>
  <c r="J1138" i="4" s="1"/>
  <c r="J2514" i="4"/>
  <c r="J3041" i="4"/>
  <c r="J732" i="1"/>
  <c r="I26" i="4"/>
  <c r="J38" i="4"/>
  <c r="J37" i="4" s="1"/>
  <c r="I39" i="4"/>
  <c r="J1213" i="4"/>
  <c r="J1211" i="4" s="1"/>
  <c r="J1218" i="4"/>
  <c r="J1222" i="4"/>
  <c r="J1221" i="4" s="1"/>
  <c r="J1231" i="4"/>
  <c r="J1234" i="4"/>
  <c r="J1238" i="4"/>
  <c r="J1240" i="4"/>
  <c r="J2593" i="4"/>
  <c r="J2596" i="4"/>
  <c r="J2602" i="4"/>
  <c r="J1245" i="4"/>
  <c r="J1243" i="4" s="1"/>
  <c r="J2610" i="4"/>
  <c r="J1248" i="4"/>
  <c r="J1247" i="4" s="1"/>
  <c r="J1059" i="4"/>
  <c r="J268" i="1"/>
  <c r="J2417" i="4"/>
  <c r="J2423" i="4"/>
  <c r="J2425" i="4"/>
  <c r="J3010" i="4"/>
  <c r="J3012" i="4"/>
  <c r="J2430" i="4"/>
  <c r="J2432" i="4"/>
  <c r="J2434" i="4"/>
  <c r="J3015" i="4"/>
  <c r="J3014" i="4" s="1"/>
  <c r="J1078" i="4"/>
  <c r="J1080" i="4"/>
  <c r="J1095" i="4"/>
  <c r="J1097" i="4"/>
  <c r="J1100" i="4"/>
  <c r="J1102" i="4"/>
  <c r="J1105" i="4"/>
  <c r="J1106" i="4"/>
  <c r="J1114" i="4"/>
  <c r="J1113" i="4" s="1"/>
  <c r="J1115" i="4"/>
  <c r="J1123" i="4"/>
  <c r="J1124" i="4"/>
  <c r="J2439" i="4"/>
  <c r="J2441" i="4"/>
  <c r="J2440" i="4" s="1"/>
  <c r="J2444" i="4"/>
  <c r="J2446" i="4"/>
  <c r="J2451" i="4"/>
  <c r="J2453" i="4"/>
  <c r="J2457" i="4"/>
  <c r="J2462" i="4"/>
  <c r="J2460" i="4" s="1"/>
  <c r="J2468" i="4"/>
  <c r="J2470" i="4"/>
  <c r="J2472" i="4"/>
  <c r="J2476" i="4"/>
  <c r="J2478" i="4"/>
  <c r="J2483" i="4"/>
  <c r="J2488" i="4"/>
  <c r="J2492" i="4"/>
  <c r="J2490" i="4" s="1"/>
  <c r="J2501" i="4"/>
  <c r="J2499" i="4" s="1"/>
  <c r="J2503" i="4"/>
  <c r="J3019" i="4"/>
  <c r="J3022" i="4"/>
  <c r="J3021" i="4" s="1"/>
  <c r="J3026" i="4"/>
  <c r="J3024" i="4" s="1"/>
  <c r="J3028" i="4"/>
  <c r="J3032" i="4"/>
  <c r="J3034" i="4"/>
  <c r="J3033" i="4" s="1"/>
  <c r="J3038" i="4"/>
  <c r="J3036" i="4" s="1"/>
  <c r="J2508" i="4"/>
  <c r="J296" i="1"/>
  <c r="J2513" i="4"/>
  <c r="J3042" i="4"/>
  <c r="N418" i="1"/>
  <c r="N415" i="1"/>
  <c r="K1067" i="4"/>
  <c r="Q270" i="1" s="1"/>
  <c r="I1068" i="4"/>
  <c r="A1209" i="4"/>
  <c r="A1211" i="4" s="1"/>
  <c r="A1214" i="4" s="1"/>
  <c r="A1216" i="4" s="1"/>
  <c r="A1219" i="4" s="1"/>
  <c r="A1221" i="4" s="1"/>
  <c r="A1224" i="4" s="1"/>
  <c r="A1226" i="4" s="1"/>
  <c r="A1228" i="4" s="1"/>
  <c r="A1230" i="4" s="1"/>
  <c r="A1233" i="4" s="1"/>
  <c r="I1122" i="4"/>
  <c r="I1104" i="4"/>
  <c r="J904" i="1"/>
  <c r="J902" i="1"/>
  <c r="J300" i="1"/>
  <c r="J297" i="1"/>
  <c r="K13" i="4"/>
  <c r="I1113" i="4"/>
  <c r="I1110" i="4"/>
  <c r="J1122" i="4"/>
  <c r="I1132" i="4"/>
  <c r="I1073" i="4"/>
  <c r="K2429" i="4"/>
  <c r="Q699" i="1" s="1"/>
  <c r="K2497" i="4"/>
  <c r="Q721" i="1" s="1"/>
  <c r="K2515" i="4"/>
  <c r="Q729" i="1" s="1"/>
  <c r="J2516" i="4"/>
  <c r="J2515" i="4" s="1"/>
  <c r="I2515" i="4"/>
  <c r="I2511" i="4"/>
  <c r="J17" i="1"/>
  <c r="J25" i="4"/>
  <c r="J24" i="4" s="1"/>
  <c r="J27" i="4"/>
  <c r="J26" i="4" s="1"/>
  <c r="J21" i="1"/>
  <c r="J22" i="1"/>
  <c r="J23" i="1"/>
  <c r="J40" i="4"/>
  <c r="J39" i="4" s="1"/>
  <c r="J14" i="4"/>
  <c r="J13" i="4" s="1"/>
  <c r="J16" i="1"/>
  <c r="J22" i="4"/>
  <c r="J23" i="4"/>
  <c r="J26" i="1"/>
  <c r="J46" i="4"/>
  <c r="J47" i="4"/>
  <c r="K1203" i="4"/>
  <c r="Q324" i="1" s="1"/>
  <c r="J31" i="1"/>
  <c r="J33" i="1"/>
  <c r="J62" i="4"/>
  <c r="K2493" i="4"/>
  <c r="Q719" i="1" s="1"/>
  <c r="J2498" i="4"/>
  <c r="J2497" i="4" s="1"/>
  <c r="I2497" i="4"/>
  <c r="J1204" i="4"/>
  <c r="J1203" i="4" s="1"/>
  <c r="I1203" i="4"/>
  <c r="J2494" i="4"/>
  <c r="J2493" i="4" s="1"/>
  <c r="I2493" i="4"/>
  <c r="K1207" i="4"/>
  <c r="Q326" i="1" s="1"/>
  <c r="I1225" i="4"/>
  <c r="I1224" i="4" s="1"/>
  <c r="I52" i="4"/>
  <c r="K2415" i="4"/>
  <c r="Q694" i="1" s="1"/>
  <c r="K1076" i="4"/>
  <c r="Q274" i="1" s="1"/>
  <c r="K2440" i="4"/>
  <c r="Q702" i="1" s="1"/>
  <c r="K2442" i="4"/>
  <c r="Q703" i="1" s="1"/>
  <c r="K2448" i="4"/>
  <c r="Q705" i="1" s="1"/>
  <c r="K2479" i="4"/>
  <c r="Q714" i="1" s="1"/>
  <c r="I2486" i="4"/>
  <c r="I2496" i="4"/>
  <c r="K2412" i="4"/>
  <c r="Q692" i="1" s="1"/>
  <c r="J57" i="4"/>
  <c r="I61" i="4"/>
  <c r="I1251" i="4"/>
  <c r="K1058" i="4"/>
  <c r="Q267" i="1" s="1"/>
  <c r="I2416" i="4"/>
  <c r="I1221" i="4"/>
  <c r="K1228" i="4"/>
  <c r="Q335" i="1" s="1"/>
  <c r="J1229" i="4"/>
  <c r="J1228" i="4" s="1"/>
  <c r="I1228" i="4"/>
  <c r="J2443" i="4"/>
  <c r="I2442" i="4"/>
  <c r="J2449" i="4"/>
  <c r="J2448" i="4" s="1"/>
  <c r="I2448" i="4"/>
  <c r="J2413" i="4"/>
  <c r="J2412" i="4" s="1"/>
  <c r="I2412" i="4"/>
  <c r="J1077" i="4"/>
  <c r="I1076" i="4"/>
  <c r="I1215" i="4"/>
  <c r="I1227" i="4"/>
  <c r="I2459" i="4"/>
  <c r="K49" i="4"/>
  <c r="Q29" i="1" s="1"/>
  <c r="K2418" i="4"/>
  <c r="Q695" i="1" s="1"/>
  <c r="I2428" i="4"/>
  <c r="K1099" i="4"/>
  <c r="Q281" i="1" s="1"/>
  <c r="K2437" i="4"/>
  <c r="Q701" i="1" s="1"/>
  <c r="J2481" i="4"/>
  <c r="I2479" i="4"/>
  <c r="J1208" i="4"/>
  <c r="J1207" i="4" s="1"/>
  <c r="I1207" i="4"/>
  <c r="J50" i="4"/>
  <c r="J49" i="4" s="1"/>
  <c r="I49" i="4"/>
  <c r="J2438" i="4"/>
  <c r="I2437" i="4"/>
  <c r="I1206" i="4"/>
  <c r="I1236" i="4"/>
  <c r="K2604" i="4"/>
  <c r="Q766" i="1" s="1"/>
  <c r="I2419" i="4"/>
  <c r="K1094" i="4"/>
  <c r="Q280" i="1" s="1"/>
  <c r="J1088" i="4"/>
  <c r="I3021" i="4"/>
  <c r="I3024" i="4"/>
  <c r="I3027" i="4"/>
  <c r="I3030" i="4"/>
  <c r="I3033" i="4"/>
  <c r="I3036" i="4"/>
  <c r="I3040" i="4"/>
  <c r="J31" i="4"/>
  <c r="J42" i="4"/>
  <c r="I1216" i="4"/>
  <c r="I3014" i="4"/>
  <c r="J1082" i="4"/>
  <c r="J1085" i="4"/>
  <c r="I1051" i="4"/>
  <c r="J1116" i="4"/>
  <c r="J1119" i="4"/>
  <c r="I2460" i="4"/>
  <c r="I2487" i="4"/>
  <c r="I2490" i="4"/>
  <c r="J1134" i="4"/>
  <c r="I2506" i="4"/>
  <c r="J18" i="4"/>
  <c r="J28" i="4"/>
  <c r="J34" i="4"/>
  <c r="J53" i="4"/>
  <c r="J1069" i="4"/>
  <c r="I1094" i="4"/>
  <c r="I1099" i="4"/>
  <c r="J1107" i="4"/>
  <c r="I3018" i="4"/>
  <c r="I2512" i="4"/>
  <c r="J15" i="4"/>
  <c r="I21" i="4"/>
  <c r="I3004" i="4"/>
  <c r="J1060" i="4"/>
  <c r="I1058" i="4"/>
  <c r="J2431" i="4"/>
  <c r="I2429" i="4"/>
  <c r="J266" i="1"/>
  <c r="J1081" i="4"/>
  <c r="I1079" i="4"/>
  <c r="J1055" i="4"/>
  <c r="J1061" i="4"/>
  <c r="J1125" i="4"/>
  <c r="I2445" i="4"/>
  <c r="I2469" i="4"/>
  <c r="I2474" i="4"/>
  <c r="J1140" i="4"/>
  <c r="P905" i="1"/>
  <c r="N905" i="1"/>
  <c r="N903" i="1"/>
  <c r="P903" i="1"/>
  <c r="N302" i="1"/>
  <c r="P302" i="1"/>
  <c r="N731" i="1"/>
  <c r="P731" i="1"/>
  <c r="N298" i="1"/>
  <c r="P298" i="1"/>
  <c r="I1138" i="4"/>
  <c r="I2450" i="4"/>
  <c r="I2455" i="4"/>
  <c r="I2440" i="4"/>
  <c r="I2466" i="4"/>
  <c r="I2482" i="4"/>
  <c r="I2499" i="4"/>
  <c r="I2502" i="4"/>
  <c r="I1091" i="4"/>
  <c r="I3008" i="4"/>
  <c r="I2421" i="4"/>
  <c r="I1247" i="4"/>
  <c r="I2608" i="4"/>
  <c r="I1243" i="4"/>
  <c r="I2604" i="4"/>
  <c r="I2591" i="4"/>
  <c r="I2594" i="4"/>
  <c r="I2597" i="4"/>
  <c r="I2600" i="4"/>
  <c r="I1211" i="4"/>
  <c r="I1230" i="4"/>
  <c r="I24" i="4"/>
  <c r="I37" i="4"/>
  <c r="I45" i="4"/>
  <c r="D2583" i="4"/>
  <c r="D2582" i="4" s="1"/>
  <c r="I2589" i="4"/>
  <c r="I2588" i="4"/>
  <c r="K2587" i="4"/>
  <c r="Q759" i="1" s="1"/>
  <c r="A2587" i="4"/>
  <c r="I2586" i="4"/>
  <c r="I2585" i="4"/>
  <c r="K2584" i="4"/>
  <c r="Q758" i="1" s="1"/>
  <c r="D1197" i="4"/>
  <c r="D1196" i="4" s="1"/>
  <c r="K1201" i="4"/>
  <c r="K1200" i="4" s="1"/>
  <c r="Q322" i="1" s="1"/>
  <c r="A1200" i="4"/>
  <c r="K1199" i="4"/>
  <c r="I1199" i="4" s="1"/>
  <c r="J3027" i="4" l="1"/>
  <c r="J2502" i="4"/>
  <c r="J2482" i="4"/>
  <c r="J3030" i="4"/>
  <c r="J3018" i="4"/>
  <c r="J2487" i="4"/>
  <c r="P271" i="1"/>
  <c r="N796" i="1"/>
  <c r="A327" i="1"/>
  <c r="A328" i="1" s="1"/>
  <c r="M10" i="1"/>
  <c r="A49" i="1"/>
  <c r="K756" i="1"/>
  <c r="N297" i="1"/>
  <c r="N300" i="1"/>
  <c r="K10" i="1"/>
  <c r="J730" i="1"/>
  <c r="A896" i="1"/>
  <c r="A783" i="1"/>
  <c r="K726" i="1"/>
  <c r="A276" i="1"/>
  <c r="A143" i="1"/>
  <c r="L10" i="1"/>
  <c r="M756" i="1"/>
  <c r="A357" i="1"/>
  <c r="A803" i="1"/>
  <c r="A477" i="1"/>
  <c r="M726" i="1"/>
  <c r="N85" i="1"/>
  <c r="A741" i="1"/>
  <c r="L726" i="1"/>
  <c r="A764" i="1"/>
  <c r="A704" i="1"/>
  <c r="A311" i="1"/>
  <c r="L756" i="1"/>
  <c r="A92" i="1"/>
  <c r="A857" i="1"/>
  <c r="A18" i="1"/>
  <c r="A418" i="1"/>
  <c r="O756" i="1"/>
  <c r="O319" i="1"/>
  <c r="J2512" i="4"/>
  <c r="J2450" i="4"/>
  <c r="J2445" i="4"/>
  <c r="J1230" i="4"/>
  <c r="J2469" i="4"/>
  <c r="J2479" i="4"/>
  <c r="J2466" i="4"/>
  <c r="J1091" i="4"/>
  <c r="P293" i="1"/>
  <c r="P290" i="1"/>
  <c r="J2506" i="4"/>
  <c r="J2594" i="4"/>
  <c r="N289" i="1"/>
  <c r="N271" i="1"/>
  <c r="P276" i="1"/>
  <c r="N283" i="1"/>
  <c r="N278" i="1"/>
  <c r="J1079" i="4"/>
  <c r="N286" i="1"/>
  <c r="P283" i="1"/>
  <c r="J1094" i="4"/>
  <c r="J2474" i="4"/>
  <c r="J2455" i="4"/>
  <c r="J3008" i="4"/>
  <c r="J2421" i="4"/>
  <c r="J2608" i="4"/>
  <c r="J2600" i="4"/>
  <c r="J2591" i="4"/>
  <c r="J1216" i="4"/>
  <c r="J1099" i="4"/>
  <c r="J3040" i="4"/>
  <c r="N296" i="1"/>
  <c r="J2429" i="4"/>
  <c r="J1058" i="4"/>
  <c r="P268" i="1"/>
  <c r="J2437" i="4"/>
  <c r="J1076" i="4"/>
  <c r="J2442" i="4"/>
  <c r="P732" i="1"/>
  <c r="N732" i="1"/>
  <c r="J20" i="1"/>
  <c r="N287" i="1"/>
  <c r="N277" i="1"/>
  <c r="P296" i="1"/>
  <c r="P278" i="1"/>
  <c r="N290" i="1"/>
  <c r="P286" i="1"/>
  <c r="N276" i="1"/>
  <c r="N268" i="1"/>
  <c r="P287" i="1"/>
  <c r="P277" i="1"/>
  <c r="P289" i="1"/>
  <c r="J25" i="1"/>
  <c r="J15" i="1"/>
  <c r="J1068" i="4"/>
  <c r="J1067" i="4" s="1"/>
  <c r="N411" i="1"/>
  <c r="N293" i="1"/>
  <c r="J2585" i="4"/>
  <c r="J336" i="1"/>
  <c r="J1199" i="4"/>
  <c r="J1198" i="4" s="1"/>
  <c r="J2586" i="4"/>
  <c r="J2589" i="4"/>
  <c r="J328" i="1"/>
  <c r="J764" i="1"/>
  <c r="J762" i="1"/>
  <c r="J696" i="1"/>
  <c r="J723" i="1"/>
  <c r="J715" i="1"/>
  <c r="J702" i="1"/>
  <c r="J706" i="1"/>
  <c r="J280" i="1"/>
  <c r="J718" i="1"/>
  <c r="J717" i="1"/>
  <c r="J709" i="1"/>
  <c r="J891" i="1"/>
  <c r="J901" i="1"/>
  <c r="J899" i="1"/>
  <c r="J898" i="1"/>
  <c r="J897" i="1"/>
  <c r="J896" i="1"/>
  <c r="J895" i="1"/>
  <c r="J894" i="1"/>
  <c r="J2419" i="4"/>
  <c r="J2418" i="4" s="1"/>
  <c r="J1236" i="4"/>
  <c r="J1233" i="4" s="1"/>
  <c r="J2459" i="4"/>
  <c r="J2458" i="4" s="1"/>
  <c r="J1215" i="4"/>
  <c r="J1214" i="4" s="1"/>
  <c r="J333" i="1"/>
  <c r="J332" i="1"/>
  <c r="I60" i="4"/>
  <c r="J2486" i="4"/>
  <c r="J2485" i="4" s="1"/>
  <c r="J1225" i="4"/>
  <c r="J1224" i="4" s="1"/>
  <c r="J719" i="1"/>
  <c r="J721" i="1"/>
  <c r="J729" i="1"/>
  <c r="I1131" i="4"/>
  <c r="J284" i="1"/>
  <c r="J285" i="1"/>
  <c r="J288" i="1"/>
  <c r="J763" i="1"/>
  <c r="J279" i="1"/>
  <c r="J722" i="1"/>
  <c r="J711" i="1"/>
  <c r="J707" i="1"/>
  <c r="J713" i="1"/>
  <c r="J712" i="1"/>
  <c r="J704" i="1"/>
  <c r="J275" i="1"/>
  <c r="J699" i="1"/>
  <c r="J267" i="1"/>
  <c r="J728" i="1"/>
  <c r="J893" i="1"/>
  <c r="J281" i="1"/>
  <c r="J725" i="1"/>
  <c r="J264" i="1"/>
  <c r="J330" i="1"/>
  <c r="J1206" i="4"/>
  <c r="J1205" i="4" s="1"/>
  <c r="J701" i="1"/>
  <c r="J326" i="1"/>
  <c r="J714" i="1"/>
  <c r="J2428" i="4"/>
  <c r="J2427" i="4" s="1"/>
  <c r="J1227" i="4"/>
  <c r="J1226" i="4" s="1"/>
  <c r="J274" i="1"/>
  <c r="J692" i="1"/>
  <c r="J705" i="1"/>
  <c r="J703" i="1"/>
  <c r="J335" i="1"/>
  <c r="J2416" i="4"/>
  <c r="J2415" i="4" s="1"/>
  <c r="J1251" i="4"/>
  <c r="J1250" i="4" s="1"/>
  <c r="J2496" i="4"/>
  <c r="J2495" i="4" s="1"/>
  <c r="I51" i="4"/>
  <c r="J2511" i="4"/>
  <c r="J2510" i="4" s="1"/>
  <c r="J273" i="1"/>
  <c r="J282" i="1"/>
  <c r="J1104" i="4"/>
  <c r="J710" i="1"/>
  <c r="J1128" i="4"/>
  <c r="J1110" i="4"/>
  <c r="J1073" i="4"/>
  <c r="J324" i="1"/>
  <c r="P21" i="1"/>
  <c r="N904" i="1"/>
  <c r="N902" i="1"/>
  <c r="N16" i="1"/>
  <c r="P22" i="1"/>
  <c r="N31" i="1"/>
  <c r="N26" i="1"/>
  <c r="N17" i="1"/>
  <c r="J292" i="1"/>
  <c r="I2415" i="4"/>
  <c r="I2505" i="4"/>
  <c r="P31" i="1"/>
  <c r="I1250" i="4"/>
  <c r="I1067" i="4"/>
  <c r="I2411" i="4"/>
  <c r="J21" i="4"/>
  <c r="I2418" i="4"/>
  <c r="P33" i="1"/>
  <c r="P23" i="1"/>
  <c r="P17" i="1"/>
  <c r="J45" i="4"/>
  <c r="P26" i="1"/>
  <c r="P16" i="1"/>
  <c r="N21" i="1"/>
  <c r="I1226" i="4"/>
  <c r="I1205" i="4"/>
  <c r="I2427" i="4"/>
  <c r="I2495" i="4"/>
  <c r="I2510" i="4"/>
  <c r="N33" i="1"/>
  <c r="I1050" i="4"/>
  <c r="N23" i="1"/>
  <c r="J27" i="1"/>
  <c r="J24" i="1"/>
  <c r="P266" i="1"/>
  <c r="J29" i="1"/>
  <c r="J52" i="4"/>
  <c r="J51" i="4" s="1"/>
  <c r="J19" i="1"/>
  <c r="J18" i="1"/>
  <c r="J61" i="4"/>
  <c r="J60" i="4" s="1"/>
  <c r="N22" i="1"/>
  <c r="I1054" i="4"/>
  <c r="K1198" i="4"/>
  <c r="Q321" i="1" s="1"/>
  <c r="I1214" i="4"/>
  <c r="I2485" i="4"/>
  <c r="I2458" i="4"/>
  <c r="I1198" i="4"/>
  <c r="I1201" i="4"/>
  <c r="I1233" i="4"/>
  <c r="I2584" i="4"/>
  <c r="I3039" i="4"/>
  <c r="I3017" i="4"/>
  <c r="I3013" i="4"/>
  <c r="I2587" i="4"/>
  <c r="N266" i="1"/>
  <c r="J2588" i="4"/>
  <c r="J768" i="1"/>
  <c r="I2607" i="4"/>
  <c r="J295" i="1"/>
  <c r="I1137" i="4"/>
  <c r="I12" i="4"/>
  <c r="I1072" i="4"/>
  <c r="J761" i="1"/>
  <c r="I2590" i="4"/>
  <c r="J766" i="1"/>
  <c r="I2603" i="4"/>
  <c r="I1242" i="4"/>
  <c r="J339" i="1"/>
  <c r="J341" i="1"/>
  <c r="J889" i="1"/>
  <c r="I3007" i="4"/>
  <c r="I3003" i="4"/>
  <c r="J887" i="1"/>
  <c r="D6" i="4"/>
  <c r="D5" i="4" s="1"/>
  <c r="I11" i="4"/>
  <c r="J10" i="4"/>
  <c r="K9" i="4"/>
  <c r="Q13" i="1" s="1"/>
  <c r="A9" i="4"/>
  <c r="K8" i="4"/>
  <c r="K7" i="4" s="1"/>
  <c r="Q12" i="1" s="1"/>
  <c r="N20" i="1" l="1"/>
  <c r="A19" i="1"/>
  <c r="A93" i="1"/>
  <c r="A312" i="1"/>
  <c r="A742" i="1"/>
  <c r="A277" i="1"/>
  <c r="A784" i="1"/>
  <c r="N730" i="1"/>
  <c r="A358" i="1"/>
  <c r="A419" i="1"/>
  <c r="A858" i="1"/>
  <c r="A705" i="1"/>
  <c r="L725" i="1"/>
  <c r="A144" i="1"/>
  <c r="K725" i="1"/>
  <c r="A897" i="1"/>
  <c r="A329" i="1"/>
  <c r="M725" i="1"/>
  <c r="A478" i="1"/>
  <c r="A804" i="1"/>
  <c r="A50" i="1"/>
  <c r="P25" i="1"/>
  <c r="P15" i="1"/>
  <c r="N15" i="1"/>
  <c r="N25" i="1"/>
  <c r="N696" i="1"/>
  <c r="N893" i="1"/>
  <c r="N723" i="1"/>
  <c r="J34" i="1"/>
  <c r="N280" i="1"/>
  <c r="N706" i="1"/>
  <c r="P20" i="1"/>
  <c r="P706" i="1"/>
  <c r="N328" i="1"/>
  <c r="P336" i="1"/>
  <c r="P897" i="1"/>
  <c r="N336" i="1"/>
  <c r="J691" i="1"/>
  <c r="P894" i="1"/>
  <c r="J2584" i="4"/>
  <c r="N707" i="1"/>
  <c r="N275" i="1"/>
  <c r="N721" i="1"/>
  <c r="N333" i="1"/>
  <c r="N891" i="1"/>
  <c r="N762" i="1"/>
  <c r="N719" i="1"/>
  <c r="P713" i="1"/>
  <c r="N715" i="1"/>
  <c r="N279" i="1"/>
  <c r="P711" i="1"/>
  <c r="P762" i="1"/>
  <c r="P763" i="1"/>
  <c r="N897" i="1"/>
  <c r="N901" i="1"/>
  <c r="P895" i="1"/>
  <c r="N899" i="1"/>
  <c r="N717" i="1"/>
  <c r="N722" i="1"/>
  <c r="J900" i="1"/>
  <c r="N713" i="1"/>
  <c r="P707" i="1"/>
  <c r="P715" i="1"/>
  <c r="P723" i="1"/>
  <c r="I56" i="4"/>
  <c r="P699" i="1"/>
  <c r="P702" i="1"/>
  <c r="P722" i="1"/>
  <c r="N711" i="1"/>
  <c r="P696" i="1"/>
  <c r="P328" i="1"/>
  <c r="J2587" i="4"/>
  <c r="N763" i="1"/>
  <c r="N281" i="1"/>
  <c r="P764" i="1"/>
  <c r="P280" i="1"/>
  <c r="P896" i="1"/>
  <c r="N898" i="1"/>
  <c r="P717" i="1"/>
  <c r="P718" i="1"/>
  <c r="P719" i="1"/>
  <c r="N332" i="1"/>
  <c r="N896" i="1"/>
  <c r="P898" i="1"/>
  <c r="P901" i="1"/>
  <c r="P709" i="1"/>
  <c r="N718" i="1"/>
  <c r="N702" i="1"/>
  <c r="N764" i="1"/>
  <c r="P893" i="1"/>
  <c r="N704" i="1"/>
  <c r="P333" i="1"/>
  <c r="N709" i="1"/>
  <c r="N282" i="1"/>
  <c r="N699" i="1"/>
  <c r="P701" i="1"/>
  <c r="P712" i="1"/>
  <c r="P704" i="1"/>
  <c r="P275" i="1"/>
  <c r="P279" i="1"/>
  <c r="N712" i="1"/>
  <c r="N729" i="1"/>
  <c r="P721" i="1"/>
  <c r="P332" i="1"/>
  <c r="P899" i="1"/>
  <c r="J890" i="1"/>
  <c r="P729" i="1"/>
  <c r="N895" i="1"/>
  <c r="N701" i="1"/>
  <c r="I48" i="4"/>
  <c r="N728" i="1"/>
  <c r="P264" i="1"/>
  <c r="N725" i="1"/>
  <c r="N267" i="1"/>
  <c r="N330" i="1"/>
  <c r="P725" i="1"/>
  <c r="P705" i="1"/>
  <c r="J892" i="1"/>
  <c r="P292" i="1"/>
  <c r="J694" i="1"/>
  <c r="N714" i="1"/>
  <c r="P274" i="1"/>
  <c r="J30" i="1"/>
  <c r="N324" i="1"/>
  <c r="N264" i="1"/>
  <c r="P281" i="1"/>
  <c r="P728" i="1"/>
  <c r="N285" i="1"/>
  <c r="P284" i="1"/>
  <c r="N335" i="1"/>
  <c r="J263" i="1"/>
  <c r="N288" i="1"/>
  <c r="P285" i="1"/>
  <c r="N274" i="1"/>
  <c r="P324" i="1"/>
  <c r="N705" i="1"/>
  <c r="P326" i="1"/>
  <c r="P282" i="1"/>
  <c r="J337" i="1"/>
  <c r="J716" i="1"/>
  <c r="J759" i="1"/>
  <c r="J1201" i="4"/>
  <c r="J1200" i="4" s="1"/>
  <c r="N273" i="1"/>
  <c r="J708" i="1"/>
  <c r="J329" i="1"/>
  <c r="P273" i="1"/>
  <c r="N326" i="1"/>
  <c r="N692" i="1"/>
  <c r="P335" i="1"/>
  <c r="P703" i="1"/>
  <c r="J720" i="1"/>
  <c r="J334" i="1"/>
  <c r="J342" i="1"/>
  <c r="J265" i="1"/>
  <c r="P267" i="1"/>
  <c r="N703" i="1"/>
  <c r="P714" i="1"/>
  <c r="P330" i="1"/>
  <c r="J724" i="1"/>
  <c r="J272" i="1"/>
  <c r="P288" i="1"/>
  <c r="N284" i="1"/>
  <c r="P710" i="1"/>
  <c r="N710" i="1"/>
  <c r="J758" i="1"/>
  <c r="J321" i="1"/>
  <c r="I2509" i="4"/>
  <c r="I2426" i="4"/>
  <c r="J325" i="1"/>
  <c r="J695" i="1"/>
  <c r="I1066" i="4"/>
  <c r="P692" i="1"/>
  <c r="N894" i="1"/>
  <c r="I1202" i="4"/>
  <c r="J888" i="1"/>
  <c r="J338" i="1"/>
  <c r="J886" i="1"/>
  <c r="J765" i="1"/>
  <c r="J760" i="1"/>
  <c r="J767" i="1"/>
  <c r="P19" i="1"/>
  <c r="P24" i="1"/>
  <c r="N27" i="1"/>
  <c r="J294" i="1"/>
  <c r="N759" i="1"/>
  <c r="P18" i="1"/>
  <c r="P27" i="1"/>
  <c r="N292" i="1"/>
  <c r="J291" i="1"/>
  <c r="J14" i="1"/>
  <c r="J698" i="1"/>
  <c r="J727" i="1"/>
  <c r="J270" i="1"/>
  <c r="I2414" i="4"/>
  <c r="I1246" i="4"/>
  <c r="N19" i="1"/>
  <c r="I1200" i="4"/>
  <c r="J11" i="4"/>
  <c r="J9" i="4" s="1"/>
  <c r="N18" i="1"/>
  <c r="N29" i="1"/>
  <c r="P29" i="1"/>
  <c r="N24" i="1"/>
  <c r="I2436" i="4"/>
  <c r="I8" i="4"/>
  <c r="I9" i="4"/>
  <c r="I2583" i="4"/>
  <c r="N341" i="1"/>
  <c r="P341" i="1"/>
  <c r="N339" i="1"/>
  <c r="P339" i="1"/>
  <c r="P295" i="1"/>
  <c r="N295" i="1"/>
  <c r="P768" i="1"/>
  <c r="N768" i="1"/>
  <c r="P887" i="1"/>
  <c r="N887" i="1"/>
  <c r="P889" i="1"/>
  <c r="N889" i="1"/>
  <c r="N766" i="1"/>
  <c r="P766" i="1"/>
  <c r="N761" i="1"/>
  <c r="P761" i="1"/>
  <c r="A51" i="1" l="1"/>
  <c r="L724" i="1"/>
  <c r="A743" i="1"/>
  <c r="N294" i="1"/>
  <c r="N263" i="1"/>
  <c r="N724" i="1"/>
  <c r="P891" i="1"/>
  <c r="N34" i="1"/>
  <c r="N291" i="1"/>
  <c r="A330" i="1"/>
  <c r="A859" i="1"/>
  <c r="A94" i="1"/>
  <c r="N691" i="1"/>
  <c r="N900" i="1"/>
  <c r="A479" i="1"/>
  <c r="K724" i="1"/>
  <c r="A359" i="1"/>
  <c r="A785" i="1"/>
  <c r="N338" i="1"/>
  <c r="N265" i="1"/>
  <c r="A805" i="1"/>
  <c r="M724" i="1"/>
  <c r="A898" i="1"/>
  <c r="A145" i="1"/>
  <c r="A706" i="1"/>
  <c r="A420" i="1"/>
  <c r="A278" i="1"/>
  <c r="A313" i="1"/>
  <c r="A20" i="1"/>
  <c r="P329" i="1"/>
  <c r="P34" i="1"/>
  <c r="P337" i="1"/>
  <c r="J32" i="1"/>
  <c r="P694" i="1"/>
  <c r="N708" i="1"/>
  <c r="P708" i="1"/>
  <c r="P695" i="1"/>
  <c r="N30" i="1"/>
  <c r="N321" i="1"/>
  <c r="J340" i="1"/>
  <c r="N890" i="1"/>
  <c r="J28" i="1"/>
  <c r="P716" i="1"/>
  <c r="N758" i="1"/>
  <c r="P759" i="1"/>
  <c r="N334" i="1"/>
  <c r="P321" i="1"/>
  <c r="J757" i="1"/>
  <c r="P342" i="1"/>
  <c r="N892" i="1"/>
  <c r="N694" i="1"/>
  <c r="N329" i="1"/>
  <c r="J693" i="1"/>
  <c r="N272" i="1"/>
  <c r="P30" i="1"/>
  <c r="P758" i="1"/>
  <c r="N716" i="1"/>
  <c r="N337" i="1"/>
  <c r="P334" i="1"/>
  <c r="P720" i="1"/>
  <c r="P325" i="1"/>
  <c r="J323" i="1"/>
  <c r="J700" i="1"/>
  <c r="N342" i="1"/>
  <c r="N720" i="1"/>
  <c r="N325" i="1"/>
  <c r="I2582" i="4"/>
  <c r="J322" i="1"/>
  <c r="N695" i="1"/>
  <c r="N760" i="1"/>
  <c r="N765" i="1"/>
  <c r="N767" i="1"/>
  <c r="N888" i="1"/>
  <c r="N886" i="1"/>
  <c r="N727" i="1"/>
  <c r="J726" i="1"/>
  <c r="N698" i="1"/>
  <c r="J697" i="1"/>
  <c r="N270" i="1"/>
  <c r="J269" i="1"/>
  <c r="N14" i="1"/>
  <c r="P727" i="1"/>
  <c r="I1197" i="4"/>
  <c r="P270" i="1"/>
  <c r="J13" i="1"/>
  <c r="J8" i="4"/>
  <c r="J7" i="4" s="1"/>
  <c r="I7" i="4"/>
  <c r="M319" i="1" l="1"/>
  <c r="N340" i="1"/>
  <c r="N28" i="1"/>
  <c r="N757" i="1"/>
  <c r="A421" i="1"/>
  <c r="A786" i="1"/>
  <c r="K319" i="1"/>
  <c r="A95" i="1"/>
  <c r="A331" i="1"/>
  <c r="N32" i="1"/>
  <c r="L319" i="1"/>
  <c r="N269" i="1"/>
  <c r="N726" i="1"/>
  <c r="A146" i="1"/>
  <c r="A21" i="1"/>
  <c r="A279" i="1"/>
  <c r="A707" i="1"/>
  <c r="A899" i="1"/>
  <c r="A806" i="1"/>
  <c r="A360" i="1"/>
  <c r="A480" i="1"/>
  <c r="A860" i="1"/>
  <c r="A744" i="1"/>
  <c r="A52" i="1"/>
  <c r="J756" i="1"/>
  <c r="N700" i="1"/>
  <c r="N322" i="1"/>
  <c r="J320" i="1"/>
  <c r="P322" i="1"/>
  <c r="N693" i="1"/>
  <c r="N323" i="1"/>
  <c r="I1196" i="4"/>
  <c r="P698" i="1"/>
  <c r="N697" i="1"/>
  <c r="N13" i="1"/>
  <c r="P13" i="1"/>
  <c r="I6" i="4"/>
  <c r="J12" i="1"/>
  <c r="A53" i="1" l="1"/>
  <c r="A361" i="1"/>
  <c r="A147" i="1"/>
  <c r="A96" i="1"/>
  <c r="A787" i="1"/>
  <c r="A332" i="1"/>
  <c r="N320" i="1"/>
  <c r="A861" i="1"/>
  <c r="A280" i="1"/>
  <c r="N756" i="1"/>
  <c r="A745" i="1"/>
  <c r="A481" i="1"/>
  <c r="A807" i="1"/>
  <c r="A708" i="1"/>
  <c r="A22" i="1"/>
  <c r="A422" i="1"/>
  <c r="J319" i="1"/>
  <c r="I5" i="4"/>
  <c r="J11" i="1"/>
  <c r="N12" i="1"/>
  <c r="P12" i="1"/>
  <c r="N319" i="1" l="1"/>
  <c r="N11" i="1"/>
  <c r="A23" i="1"/>
  <c r="A808" i="1"/>
  <c r="A746" i="1"/>
  <c r="A333" i="1"/>
  <c r="A362" i="1"/>
  <c r="A423" i="1"/>
  <c r="A709" i="1"/>
  <c r="A482" i="1"/>
  <c r="A862" i="1"/>
  <c r="A97" i="1"/>
  <c r="A281" i="1"/>
  <c r="A788" i="1"/>
  <c r="A148" i="1"/>
  <c r="A54" i="1"/>
  <c r="J10" i="1"/>
  <c r="A149" i="1" l="1"/>
  <c r="A863" i="1"/>
  <c r="A363" i="1"/>
  <c r="A24" i="1"/>
  <c r="A55" i="1"/>
  <c r="A282" i="1"/>
  <c r="A710" i="1"/>
  <c r="A747" i="1"/>
  <c r="A789" i="1"/>
  <c r="A98" i="1"/>
  <c r="A483" i="1"/>
  <c r="A424" i="1"/>
  <c r="A334" i="1"/>
  <c r="N10" i="1"/>
  <c r="A25" i="1" l="1"/>
  <c r="A99" i="1"/>
  <c r="A283" i="1"/>
  <c r="A425" i="1"/>
  <c r="A748" i="1"/>
  <c r="A864" i="1"/>
  <c r="A335" i="1"/>
  <c r="A484" i="1"/>
  <c r="A790" i="1"/>
  <c r="A711" i="1"/>
  <c r="A56" i="1"/>
  <c r="A364" i="1"/>
  <c r="A150" i="1"/>
  <c r="A365" i="1" l="1"/>
  <c r="A712" i="1"/>
  <c r="A485" i="1"/>
  <c r="A865" i="1"/>
  <c r="A426" i="1"/>
  <c r="A100" i="1"/>
  <c r="A151" i="1"/>
  <c r="A57" i="1"/>
  <c r="A791" i="1"/>
  <c r="A336" i="1"/>
  <c r="A284" i="1"/>
  <c r="A26" i="1"/>
  <c r="A27" i="1" l="1"/>
  <c r="A337" i="1"/>
  <c r="A58" i="1"/>
  <c r="A101" i="1"/>
  <c r="A866" i="1"/>
  <c r="A713" i="1"/>
  <c r="A285" i="1"/>
  <c r="A792" i="1"/>
  <c r="A152" i="1"/>
  <c r="A427" i="1"/>
  <c r="A486" i="1"/>
  <c r="A366" i="1"/>
  <c r="A367" i="1" l="1"/>
  <c r="A428" i="1"/>
  <c r="A793" i="1"/>
  <c r="A714" i="1"/>
  <c r="A487" i="1"/>
  <c r="A153" i="1"/>
  <c r="A286" i="1"/>
  <c r="A868" i="1"/>
  <c r="A59" i="1"/>
  <c r="A869" i="1" l="1"/>
  <c r="A154" i="1"/>
  <c r="A715" i="1"/>
  <c r="A429" i="1"/>
  <c r="A60" i="1"/>
  <c r="A287" i="1"/>
  <c r="A488" i="1"/>
  <c r="A794" i="1"/>
  <c r="A368" i="1"/>
  <c r="A795" i="1" l="1"/>
  <c r="A288" i="1"/>
  <c r="A430" i="1"/>
  <c r="A155" i="1"/>
  <c r="A369" i="1"/>
  <c r="A489" i="1"/>
  <c r="A61" i="1"/>
  <c r="A716" i="1"/>
  <c r="A870" i="1"/>
  <c r="A717" i="1" l="1"/>
  <c r="A490" i="1"/>
  <c r="A156" i="1"/>
  <c r="A289" i="1"/>
  <c r="A871" i="1"/>
  <c r="A62" i="1"/>
  <c r="A370" i="1"/>
  <c r="A431" i="1"/>
  <c r="A63" i="1" l="1"/>
  <c r="A290" i="1"/>
  <c r="A491" i="1"/>
  <c r="A432" i="1"/>
  <c r="A371" i="1"/>
  <c r="A872" i="1"/>
  <c r="A157" i="1"/>
  <c r="A718" i="1"/>
  <c r="A873" i="1" l="1"/>
  <c r="A719" i="1"/>
  <c r="A158" i="1"/>
  <c r="A372" i="1"/>
  <c r="A492" i="1"/>
  <c r="A64" i="1"/>
  <c r="A65" i="1" l="1"/>
  <c r="A373" i="1"/>
  <c r="A720" i="1"/>
  <c r="A493" i="1"/>
  <c r="A159" i="1"/>
  <c r="A874" i="1"/>
  <c r="A875" i="1" l="1"/>
  <c r="A494" i="1"/>
  <c r="A374" i="1"/>
  <c r="A160" i="1"/>
  <c r="A721" i="1"/>
  <c r="A66" i="1"/>
  <c r="A67" i="1" l="1"/>
  <c r="A161" i="1"/>
  <c r="A495" i="1"/>
  <c r="A722" i="1"/>
  <c r="A375" i="1"/>
  <c r="A876" i="1"/>
  <c r="A877" i="1" l="1"/>
  <c r="A723" i="1"/>
  <c r="A162" i="1"/>
  <c r="A376" i="1"/>
  <c r="A496" i="1"/>
  <c r="A68" i="1"/>
  <c r="A377" i="1" l="1"/>
  <c r="A69" i="1"/>
  <c r="A497" i="1"/>
  <c r="A164" i="1"/>
  <c r="A878" i="1"/>
  <c r="A165" i="1" l="1"/>
  <c r="A70" i="1"/>
  <c r="A879" i="1"/>
  <c r="A498" i="1"/>
  <c r="A378" i="1"/>
  <c r="A71" i="1" l="1"/>
  <c r="A499" i="1"/>
  <c r="A379" i="1"/>
  <c r="A880" i="1"/>
  <c r="A166" i="1"/>
  <c r="A500" i="1" l="1"/>
  <c r="A881" i="1"/>
  <c r="A167" i="1"/>
  <c r="A380" i="1"/>
  <c r="A72" i="1"/>
  <c r="A381" i="1" l="1"/>
  <c r="A882" i="1"/>
  <c r="A73" i="1"/>
  <c r="A168" i="1"/>
  <c r="A501" i="1"/>
  <c r="A883" i="1" l="1"/>
  <c r="A169" i="1"/>
  <c r="A502" i="1"/>
  <c r="A74" i="1"/>
  <c r="A382" i="1"/>
  <c r="A75" i="1" l="1"/>
  <c r="A170" i="1"/>
  <c r="A383" i="1"/>
  <c r="A503" i="1"/>
  <c r="A884" i="1"/>
  <c r="A504" i="1" l="1"/>
  <c r="A171" i="1"/>
  <c r="A885" i="1"/>
  <c r="A384" i="1"/>
  <c r="A76" i="1"/>
  <c r="A385" i="1" l="1"/>
  <c r="A172" i="1"/>
  <c r="A77" i="1"/>
  <c r="A505" i="1"/>
  <c r="A506" i="1" l="1"/>
  <c r="A173" i="1"/>
  <c r="A78" i="1"/>
  <c r="A386" i="1"/>
  <c r="A174" i="1" l="1"/>
  <c r="A387" i="1"/>
  <c r="A79" i="1"/>
  <c r="A507" i="1"/>
  <c r="A508" i="1" l="1"/>
  <c r="A388" i="1"/>
  <c r="A80" i="1"/>
  <c r="A175" i="1"/>
  <c r="A176" i="1" l="1"/>
  <c r="A389" i="1"/>
  <c r="A81" i="1"/>
  <c r="A509" i="1"/>
  <c r="A511" i="1" l="1"/>
  <c r="A390" i="1"/>
  <c r="A82" i="1"/>
  <c r="A177" i="1"/>
  <c r="A178" i="1" l="1"/>
  <c r="A391" i="1"/>
  <c r="A83" i="1"/>
  <c r="A512" i="1"/>
  <c r="A513" i="1" l="1"/>
  <c r="A392" i="1"/>
  <c r="A84" i="1"/>
  <c r="A179" i="1"/>
  <c r="A180" i="1" l="1"/>
  <c r="A393" i="1"/>
  <c r="A514" i="1"/>
  <c r="A394" i="1" l="1"/>
  <c r="A515" i="1"/>
  <c r="A181" i="1"/>
  <c r="A516" i="1" l="1"/>
  <c r="A182" i="1"/>
  <c r="A395" i="1"/>
  <c r="A183" i="1" l="1"/>
  <c r="A396" i="1"/>
  <c r="A517" i="1"/>
  <c r="A397" i="1" l="1"/>
  <c r="A518" i="1"/>
  <c r="A184" i="1"/>
  <c r="A519" i="1" l="1"/>
  <c r="A185" i="1"/>
  <c r="A398" i="1"/>
  <c r="A186" i="1" l="1"/>
  <c r="A399" i="1"/>
  <c r="A520" i="1"/>
  <c r="A400" i="1" l="1"/>
  <c r="A521" i="1"/>
  <c r="A187" i="1"/>
  <c r="A522" i="1" l="1"/>
  <c r="A188" i="1"/>
  <c r="A401" i="1"/>
  <c r="A189" i="1" l="1"/>
  <c r="A402" i="1"/>
  <c r="A523" i="1"/>
  <c r="A403" i="1" l="1"/>
  <c r="A524" i="1"/>
  <c r="A190" i="1"/>
  <c r="A404" i="1" l="1"/>
  <c r="A525" i="1"/>
  <c r="A191" i="1"/>
  <c r="A526" i="1" l="1"/>
  <c r="A192" i="1"/>
  <c r="A405" i="1"/>
  <c r="A193" i="1" l="1"/>
  <c r="A406" i="1"/>
  <c r="A527" i="1"/>
  <c r="A407" i="1" l="1"/>
  <c r="A528" i="1"/>
  <c r="A194" i="1"/>
  <c r="A529" i="1" l="1"/>
  <c r="A195" i="1"/>
  <c r="A408" i="1"/>
  <c r="A196" i="1" l="1"/>
  <c r="A409" i="1"/>
  <c r="A530" i="1"/>
  <c r="A410" i="1" l="1"/>
  <c r="A531" i="1"/>
  <c r="A198" i="1"/>
  <c r="A199" i="1" l="1"/>
  <c r="A532" i="1"/>
  <c r="A533" i="1" l="1"/>
  <c r="A200" i="1"/>
  <c r="A201" i="1" l="1"/>
  <c r="A534" i="1"/>
  <c r="A535" i="1" l="1"/>
  <c r="A202" i="1"/>
  <c r="A203" i="1" l="1"/>
  <c r="A536" i="1"/>
  <c r="A537" i="1" l="1"/>
  <c r="A204" i="1"/>
  <c r="A205" i="1" l="1"/>
  <c r="A538" i="1"/>
  <c r="A539" i="1" l="1"/>
  <c r="A206" i="1"/>
  <c r="A207" i="1" l="1"/>
  <c r="A540" i="1"/>
  <c r="A541" i="1" l="1"/>
  <c r="A208" i="1"/>
  <c r="A209" i="1" l="1"/>
  <c r="A542" i="1"/>
  <c r="A543" i="1" l="1"/>
  <c r="A210" i="1"/>
  <c r="A211" i="1" l="1"/>
  <c r="A544" i="1"/>
  <c r="A545" i="1" l="1"/>
  <c r="A212" i="1"/>
  <c r="A213" i="1" l="1"/>
  <c r="A546" i="1"/>
  <c r="A547" i="1" l="1"/>
  <c r="A214" i="1"/>
  <c r="A215" i="1" l="1"/>
  <c r="A548" i="1"/>
  <c r="A549" i="1" l="1"/>
  <c r="A216" i="1"/>
  <c r="A217" i="1" l="1"/>
  <c r="A550" i="1"/>
  <c r="A551" i="1" l="1"/>
  <c r="A218" i="1"/>
  <c r="A219" i="1" l="1"/>
  <c r="A552" i="1"/>
  <c r="A553" i="1" l="1"/>
  <c r="A220" i="1"/>
  <c r="A221" i="1" l="1"/>
  <c r="A554" i="1"/>
  <c r="A555" i="1" l="1"/>
  <c r="A222" i="1"/>
  <c r="A223" i="1" l="1"/>
  <c r="A556" i="1"/>
  <c r="A557" i="1" l="1"/>
  <c r="A224" i="1"/>
  <c r="A225" i="1" l="1"/>
  <c r="A559" i="1"/>
  <c r="A560" i="1" l="1"/>
  <c r="A226" i="1"/>
  <c r="A227" i="1" l="1"/>
  <c r="A561" i="1"/>
  <c r="A562" i="1" l="1"/>
  <c r="A228" i="1"/>
  <c r="A230" i="1" l="1"/>
  <c r="A563" i="1"/>
  <c r="A564" i="1" l="1"/>
  <c r="A231" i="1"/>
  <c r="A232" i="1" l="1"/>
  <c r="A565" i="1"/>
  <c r="A566" i="1" l="1"/>
  <c r="A233" i="1"/>
  <c r="A234" i="1" l="1"/>
  <c r="A567" i="1"/>
  <c r="A568" i="1" l="1"/>
  <c r="A235" i="1"/>
  <c r="A236" i="1" l="1"/>
  <c r="A569" i="1"/>
  <c r="A570" i="1" l="1"/>
  <c r="A237" i="1"/>
  <c r="A238" i="1" l="1"/>
  <c r="A571" i="1"/>
  <c r="A572" i="1" l="1"/>
  <c r="A239" i="1"/>
  <c r="A240" i="1" l="1"/>
  <c r="A573" i="1"/>
  <c r="A574" i="1" l="1"/>
  <c r="A241" i="1"/>
  <c r="A242" i="1" l="1"/>
  <c r="A575" i="1"/>
  <c r="A576" i="1" l="1"/>
  <c r="A243" i="1"/>
  <c r="A244" i="1" l="1"/>
  <c r="A577" i="1"/>
  <c r="A578" i="1" l="1"/>
  <c r="A245" i="1"/>
  <c r="A246" i="1" l="1"/>
  <c r="A579" i="1"/>
  <c r="A580" i="1" l="1"/>
  <c r="A247" i="1"/>
  <c r="A248" i="1" l="1"/>
  <c r="A581" i="1"/>
  <c r="A582" i="1" l="1"/>
  <c r="A249" i="1"/>
  <c r="A250" i="1" l="1"/>
  <c r="A583" i="1"/>
  <c r="A584" i="1" l="1"/>
  <c r="A251" i="1"/>
  <c r="A252" i="1" l="1"/>
  <c r="A585" i="1"/>
  <c r="A586" i="1" l="1"/>
  <c r="A253" i="1"/>
  <c r="A254" i="1" l="1"/>
  <c r="A587" i="1"/>
  <c r="A588" i="1" l="1"/>
  <c r="A255" i="1"/>
  <c r="A256" i="1" l="1"/>
  <c r="A589" i="1"/>
  <c r="A590" i="1" l="1"/>
  <c r="A257" i="1"/>
  <c r="A258" i="1" l="1"/>
  <c r="A591" i="1"/>
  <c r="A592" i="1" l="1"/>
  <c r="A259" i="1"/>
  <c r="A260" i="1" l="1"/>
  <c r="A593" i="1"/>
  <c r="A594" i="1" l="1"/>
  <c r="A261" i="1"/>
  <c r="A262" i="1" l="1"/>
  <c r="A595" i="1"/>
  <c r="A596" i="1" l="1"/>
  <c r="A597" i="1" l="1"/>
  <c r="A598" i="1" l="1"/>
  <c r="A599" i="1" l="1"/>
  <c r="A600" i="1" l="1"/>
  <c r="A601" i="1" l="1"/>
  <c r="A602" i="1" l="1"/>
  <c r="A603" i="1" l="1"/>
  <c r="A604" i="1" l="1"/>
  <c r="A605" i="1" l="1"/>
  <c r="A606" i="1" l="1"/>
  <c r="A607" i="1" l="1"/>
  <c r="A608" i="1" l="1"/>
  <c r="A609" i="1" l="1"/>
  <c r="A610" i="1" l="1"/>
  <c r="A611" i="1" l="1"/>
  <c r="A612" i="1" l="1"/>
  <c r="A613" i="1" l="1"/>
  <c r="A614" i="1" l="1"/>
  <c r="A615" i="1" l="1"/>
  <c r="A616" i="1" l="1"/>
  <c r="A617" i="1" l="1"/>
  <c r="A618" i="1" l="1"/>
  <c r="A619" i="1" l="1"/>
  <c r="A620" i="1" l="1"/>
  <c r="A621" i="1" l="1"/>
  <c r="A622" i="1" l="1"/>
  <c r="A623" i="1" l="1"/>
  <c r="A624" i="1" l="1"/>
  <c r="A625" i="1" l="1"/>
  <c r="A626" i="1" l="1"/>
  <c r="A627" i="1" l="1"/>
  <c r="A628" i="1" l="1"/>
  <c r="A629" i="1" l="1"/>
  <c r="A630" i="1" l="1"/>
  <c r="A631" i="1" l="1"/>
  <c r="A632" i="1" l="1"/>
  <c r="A633" i="1" l="1"/>
  <c r="A634" i="1" l="1"/>
  <c r="A635" i="1" l="1"/>
  <c r="A636" i="1" l="1"/>
  <c r="A637" i="1" l="1"/>
  <c r="A638" i="1" l="1"/>
  <c r="A639" i="1" l="1"/>
  <c r="A640" i="1" l="1"/>
  <c r="A641" i="1" l="1"/>
  <c r="A642" i="1" l="1"/>
  <c r="A643" i="1" l="1"/>
  <c r="A645" i="1" l="1"/>
  <c r="A646" i="1" l="1"/>
  <c r="A647" i="1" l="1"/>
  <c r="A648" i="1" l="1"/>
  <c r="A649" i="1" l="1"/>
  <c r="A650" i="1" l="1"/>
  <c r="A651" i="1" l="1"/>
  <c r="A652" i="1" l="1"/>
  <c r="A653" i="1" l="1"/>
  <c r="A654" i="1" l="1"/>
  <c r="A655" i="1" l="1"/>
  <c r="A656" i="1" l="1"/>
  <c r="A657" i="1" l="1"/>
  <c r="A658" i="1" l="1"/>
  <c r="A659" i="1" l="1"/>
  <c r="A660" i="1" l="1"/>
  <c r="A661" i="1" l="1"/>
  <c r="A662" i="1" l="1"/>
  <c r="A663" i="1" l="1"/>
  <c r="A664" i="1" l="1"/>
  <c r="A665" i="1" l="1"/>
  <c r="A666" i="1" l="1"/>
  <c r="A667" i="1" l="1"/>
  <c r="A668" i="1" l="1"/>
  <c r="A669" i="1" l="1"/>
  <c r="A670" i="1" l="1"/>
  <c r="A671" i="1" l="1"/>
  <c r="A672" i="1" l="1"/>
  <c r="A673" i="1" l="1"/>
  <c r="A674" i="1" l="1"/>
  <c r="A675" i="1" l="1"/>
  <c r="A676" i="1" l="1"/>
  <c r="A677" i="1" l="1"/>
  <c r="A678" i="1" l="1"/>
  <c r="A679" i="1" l="1"/>
  <c r="A680" i="1" l="1"/>
  <c r="A681" i="1" l="1"/>
  <c r="A682" i="1" l="1"/>
  <c r="A683" i="1" l="1"/>
  <c r="A684" i="1" l="1"/>
  <c r="A685" i="1" l="1"/>
  <c r="A686" i="1" l="1"/>
  <c r="A687" i="1" l="1"/>
  <c r="A688" i="1" l="1"/>
  <c r="A689" i="1" l="1"/>
  <c r="A690" i="1" l="1"/>
</calcChain>
</file>

<file path=xl/sharedStrings.xml><?xml version="1.0" encoding="utf-8"?>
<sst xmlns="http://schemas.openxmlformats.org/spreadsheetml/2006/main" count="9898" uniqueCount="815">
  <si>
    <t>№ п/п</t>
  </si>
  <si>
    <t>Адрес МКД</t>
  </si>
  <si>
    <t>Количество этажей</t>
  </si>
  <si>
    <t>Общая площадь МКД, всего</t>
  </si>
  <si>
    <t>Стоимость капитального ремонта</t>
  </si>
  <si>
    <t>Плановая дата завершения работ</t>
  </si>
  <si>
    <t>за счет средств Фонда</t>
  </si>
  <si>
    <t>за счет средств бюджета субъекта Российской Федерации</t>
  </si>
  <si>
    <t>за счет средств местного бюджета</t>
  </si>
  <si>
    <t>кв. м</t>
  </si>
  <si>
    <t>чел.</t>
  </si>
  <si>
    <t>руб.</t>
  </si>
  <si>
    <t>руб./кв. м</t>
  </si>
  <si>
    <t>Х</t>
  </si>
  <si>
    <t>всего</t>
  </si>
  <si>
    <t>в том числе</t>
  </si>
  <si>
    <t>Итого по Александровскому району</t>
  </si>
  <si>
    <t>Примечание:</t>
  </si>
  <si>
    <t>Количество жителей, зарегистрированных в МКД на дату утверждения краткосрочного плана</t>
  </si>
  <si>
    <t>Площадь помещений МКД, кв. м</t>
  </si>
  <si>
    <t>Вид элемента строительных конструкций, оборудования, инженерных систем</t>
  </si>
  <si>
    <t xml:space="preserve">Вид работы (услуги) по капитальному ремонту </t>
  </si>
  <si>
    <t>Стоимость работы (услуги), руб.</t>
  </si>
  <si>
    <t>Удельная стоимость работы (услуги), руб./кв. м</t>
  </si>
  <si>
    <t>Предельная стоимость работы (услуги), руб./кв. м</t>
  </si>
  <si>
    <t>№
п/п</t>
  </si>
  <si>
    <t>за счет средств собственников 
помещений в МКД</t>
  </si>
  <si>
    <t>за счет других не запрещенных законом источников</t>
  </si>
  <si>
    <t>2017 год</t>
  </si>
  <si>
    <t>2018 год</t>
  </si>
  <si>
    <t>2019 год</t>
  </si>
  <si>
    <t>1. Перечень многоквартирных домов, включенных в краткосрочный план реализации в 2017 - 2019 гг. региональной программы капитального ремонта общего имущества в многоквартирных домах</t>
  </si>
  <si>
    <t>Код МКД</t>
  </si>
  <si>
    <t>Итого по Асиновскому району</t>
  </si>
  <si>
    <t>Итого по Бакчарскому району</t>
  </si>
  <si>
    <t>Итого по Верхнекетскому району</t>
  </si>
  <si>
    <t>Итого по Зырянскому району</t>
  </si>
  <si>
    <t>Итого по Каргасокскому району</t>
  </si>
  <si>
    <t>Итого по городу Кедровому</t>
  </si>
  <si>
    <t>Итого по Кожевниковскому району</t>
  </si>
  <si>
    <t>Итого по Колпашевскому району</t>
  </si>
  <si>
    <t>Итого по Кривошеинскому району</t>
  </si>
  <si>
    <t xml:space="preserve">Итого по Молчановскому району </t>
  </si>
  <si>
    <t>Итого по Парабельскому району</t>
  </si>
  <si>
    <t xml:space="preserve">Итого по Первомайскому району </t>
  </si>
  <si>
    <t xml:space="preserve">Итого по городской округ ЗАТО Северск </t>
  </si>
  <si>
    <t>Итого по городскому округу Стрежевой</t>
  </si>
  <si>
    <t>Итого по Городу Томску</t>
  </si>
  <si>
    <t xml:space="preserve">Итого по Томскому району </t>
  </si>
  <si>
    <t>Итого по Чаинскому району</t>
  </si>
  <si>
    <t xml:space="preserve">Итого по Шегарскому району </t>
  </si>
  <si>
    <t>Всего по Томской области</t>
  </si>
  <si>
    <t>Итого по городскому округу ЗАТО Северск</t>
  </si>
  <si>
    <t>Итого по Молчановскому району</t>
  </si>
  <si>
    <t>Итого по Томскому району</t>
  </si>
  <si>
    <t>Итого по Шегарскому району</t>
  </si>
  <si>
    <t>Итого по Первомайскому району</t>
  </si>
  <si>
    <t xml:space="preserve">Итого по Чаинскому району </t>
  </si>
  <si>
    <t>Год ввода в эксплуатацию</t>
  </si>
  <si>
    <t>Площадь помещений в МКД</t>
  </si>
  <si>
    <t>Способ формирования фонда капитального ремонта многоквартирного дома &lt;3&gt;</t>
  </si>
  <si>
    <t>Материал стен &lt;4&gt;</t>
  </si>
  <si>
    <t>2. Перечень работ и услуг по капитальному ремонту общего имущества в многоквартирных домах, включенных в краткосрочный план реализации в 2017 - 2019 гг. региональной программы капитального ремонта общего имущества в многоквартирных домах</t>
  </si>
  <si>
    <t xml:space="preserve">&lt;1&gt; </t>
  </si>
  <si>
    <t>&lt;2&gt;</t>
  </si>
  <si>
    <t>выбирается из списка: ПСД, СМР – разработка проектно-сметной документации, включая проведение проверки достоверности определения сметной стоимости и выполнение работ по капитальному ремонту и осуществлению строительного контроля; ПСД, СМР (н) – разработка проектно-сметной документации, включая проведение проверки достоверности определения сметной стоимости и начало работ по капитальному ремонту; СМР (з) – завершение работ по капитальному ремонту и осуществление строительного контроля; ПСД – разработка проектно-сметной документации, включая проведение проверки достоверности определения сметной стоимости; СМР – выполнение работ по капитальному ремонту и осуществление строительного контроля;</t>
  </si>
  <si>
    <t>&lt;3&gt;</t>
  </si>
  <si>
    <t xml:space="preserve">&lt;4&gt; </t>
  </si>
  <si>
    <t>выбирается из списка: К - кирпичные, П - панельные, Д - деревянные, Пр - прочие.</t>
  </si>
  <si>
    <t>Фонд - государственная корпорация - Фонд содействия реформированию жилищно-коммунального хозяйства</t>
  </si>
  <si>
    <t>выбирается из списка: 1 - счет регионального оператора; 2 - специальный счет, владельцем которого является региональный оператор; 3 - специальный счет, владельцем которого является управляющая компания; 4 - специальный счет, владельцем которого является товарищество собственников жилья; 5 - специальный счет, владельцем которого является жилищный кооператив; 6 - специальный счет, владельцем которого является лицо, не указанное в кодах 2 – 5;</t>
  </si>
  <si>
    <t>П</t>
  </si>
  <si>
    <t>крыша</t>
  </si>
  <si>
    <t>Итого</t>
  </si>
  <si>
    <t>ремонт</t>
  </si>
  <si>
    <t>К</t>
  </si>
  <si>
    <t>строительный контроль</t>
  </si>
  <si>
    <t>внутридомовая инженерная система теплоснабжения</t>
  </si>
  <si>
    <t>внутридомовая инженерная система холодного водоснабжения</t>
  </si>
  <si>
    <t>внутридомовая инженерная система горячего водоснабжения</t>
  </si>
  <si>
    <t>Пр</t>
  </si>
  <si>
    <t>г. Томск, ул. Дзержинского, д. 26</t>
  </si>
  <si>
    <t>фундамент</t>
  </si>
  <si>
    <t>подвальные помещения, относящиеся к общему имуществу МКД</t>
  </si>
  <si>
    <t>внутридомовая инженерная система газоснабжения</t>
  </si>
  <si>
    <t>фасад</t>
  </si>
  <si>
    <t>переустройство невентилируемой крыши на вентилируемую крышу</t>
  </si>
  <si>
    <t>внутридомовая инженерная система электроснабжения</t>
  </si>
  <si>
    <t>г. Томск, ул. Войкова, д. 84а</t>
  </si>
  <si>
    <t>г. Томск, ул. Говорова, д. 34</t>
  </si>
  <si>
    <t>внутридомовая инженерная система водоотведения</t>
  </si>
  <si>
    <t>г. Томск, пр-кт Кирова, д. 53/1</t>
  </si>
  <si>
    <t>г. Томск, пр-кт Кирова, д. 55</t>
  </si>
  <si>
    <t>г. Томск, пр-кт Кирова, д. 56</t>
  </si>
  <si>
    <t>г. Томск, ул. Дзержинского, д. 24</t>
  </si>
  <si>
    <t>г. Томск, ул. Дзержинского, д. 34в</t>
  </si>
  <si>
    <t>г. Томск, ул. Дзержинского, д. 34г</t>
  </si>
  <si>
    <t>г. Томск, ул. Елизаровых, д. 39</t>
  </si>
  <si>
    <t>г. Томск, ул. Енисейская, д. 15</t>
  </si>
  <si>
    <t>г. Томск, ул. Карташова, д. 54</t>
  </si>
  <si>
    <t>г. Томск, ул. Киевская, д. 66</t>
  </si>
  <si>
    <t>г. Томск, ул. Советская, д. 110</t>
  </si>
  <si>
    <t>г. Томск, ул. Тимакова, д. 3</t>
  </si>
  <si>
    <t>г. Томск, ул. Усова, д. 10а</t>
  </si>
  <si>
    <t>г. Томск, ул. Усова, д. 23а</t>
  </si>
  <si>
    <t>г. Томск, ул. Усова, д. 58</t>
  </si>
  <si>
    <t>г. Томск, ул. Усова, д. 60</t>
  </si>
  <si>
    <t>г. Томск, ул. Учебная, д. 20</t>
  </si>
  <si>
    <t>г. Томск, пер. Шпальный, д. 5</t>
  </si>
  <si>
    <t>несущие и ограждающие ненесущие конструкции, не отнесенные в соответствии с законодательством о градостроительной деятельности к реконструкции объектов капитального строительства</t>
  </si>
  <si>
    <t>г. Томск, пр-кт Ленина, д. 212а</t>
  </si>
  <si>
    <t>г. Томск, проезд Кольцевой, д. 12</t>
  </si>
  <si>
    <t>г. Томск, проезд Кольцевой, д. 14</t>
  </si>
  <si>
    <t>г. Томск, ул. Войкова, д. 84б</t>
  </si>
  <si>
    <t>г. Томск, ул. Мельничная, д. 79</t>
  </si>
  <si>
    <t>г. Томск, ул. Розы Люксембург, д. 42</t>
  </si>
  <si>
    <t>г. Томск, ул. Стрелочная, д. 1б</t>
  </si>
  <si>
    <t>г. Томск, Иркутский тракт, д. 124</t>
  </si>
  <si>
    <t>г. Томск, Иркутский тракт, д. 126</t>
  </si>
  <si>
    <t>г. Томск, пер. Карский, д. 31</t>
  </si>
  <si>
    <t>г. Томск, пер. Новый, д. 1</t>
  </si>
  <si>
    <t>г. Томск, пер. Сергея Лазо, д. 6</t>
  </si>
  <si>
    <t>г. Томск, ул. Бела Куна, д. 14</t>
  </si>
  <si>
    <t>г. Томск, ул. Беринга, д. 1/1</t>
  </si>
  <si>
    <t>г. Томск, ул. Беринга, д. 1/2</t>
  </si>
  <si>
    <t>г. Томск, ул. Беринга, д. 1/3</t>
  </si>
  <si>
    <t>г. Томск, ул. Железнодорожная, д. 5</t>
  </si>
  <si>
    <t>г. Томск, ул. Ивана Черных, д. 115</t>
  </si>
  <si>
    <t>г. Томск, ул. Лазарева, д. 4а</t>
  </si>
  <si>
    <t>г. Томск, ул. Лазарева, д. 6а</t>
  </si>
  <si>
    <t>г. Томск, ул. Лазарева, д. 8</t>
  </si>
  <si>
    <t>г. Томск, ул. Мичурина, д. 63</t>
  </si>
  <si>
    <t>г. Томск, ул. Мичурина, д. 69</t>
  </si>
  <si>
    <t>г. Томск, ул. Мичурина, д. 81</t>
  </si>
  <si>
    <t>г. Томск, ул. Партизанская, д. 4</t>
  </si>
  <si>
    <t>г. Томск, ул. Пушкина, д. 52в</t>
  </si>
  <si>
    <t>г. Томск, ул. Пушкина, д. 52д</t>
  </si>
  <si>
    <t>г. Томск, ул. Северный городок, д. 58</t>
  </si>
  <si>
    <t>г. Томск, ул. Северный городок, д. 59</t>
  </si>
  <si>
    <t>г. Томск, пр-кт Кирова, д. 62</t>
  </si>
  <si>
    <t>г. Томск, ул. Алексея Беленца, д. 2а</t>
  </si>
  <si>
    <t>г. Томск, ул. Алексея Беленца, д. 17</t>
  </si>
  <si>
    <t>г. Томск, ул. Белинского, д. 28/1</t>
  </si>
  <si>
    <t>г. Томск, ул. Гагарина, д. 5/1</t>
  </si>
  <si>
    <t>г. Томск, ул. Гагарина, д. 52</t>
  </si>
  <si>
    <t>г. Томск, ул. Герцена, д. 74</t>
  </si>
  <si>
    <t>г. Томск, ул. Елизаровых, д. 42</t>
  </si>
  <si>
    <t>г. Томск, ул. Крылова, д. 10а</t>
  </si>
  <si>
    <t>г. Томск, ул. Кулагина, д. 15</t>
  </si>
  <si>
    <t>г. Томск, ул. Некрасова, д. 61</t>
  </si>
  <si>
    <t>г. Томск, ул. Новгородская, д. 44</t>
  </si>
  <si>
    <t>г. Томск, ул. Новгородская, д. 48</t>
  </si>
  <si>
    <t>г. Томск, ул. Сибирская, д. 101</t>
  </si>
  <si>
    <t>г. Томск, ул. Шевченко, д. 48</t>
  </si>
  <si>
    <t>с. Александровское, ул. Таежная, д. 19а</t>
  </si>
  <si>
    <t>ПСД</t>
  </si>
  <si>
    <t>12.2017</t>
  </si>
  <si>
    <t>с. Александровское, ул. Таежная, д. 28</t>
  </si>
  <si>
    <t>СМР</t>
  </si>
  <si>
    <t>г. Асино, ул. АВПУ, д. 27</t>
  </si>
  <si>
    <t>г. Асино, ул. АВПУ, д. 33</t>
  </si>
  <si>
    <t xml:space="preserve">г. Асино, ул. им. В.В.Липатова, д. 27  </t>
  </si>
  <si>
    <t>г. Асино, ул. им. В.В.Липатова, д. 34</t>
  </si>
  <si>
    <t>ПСД, СМР (н)</t>
  </si>
  <si>
    <t>12.2018</t>
  </si>
  <si>
    <t>г. Асино, ул. им. Ивана Черных, д. 18</t>
  </si>
  <si>
    <t>г. Асино, ул. им. Ленина, д. 31а</t>
  </si>
  <si>
    <t xml:space="preserve">г. Асино, ул. им. Чернышевского, д. 6а  </t>
  </si>
  <si>
    <t>г. Асино, ул. Лесозаводская, д. 31</t>
  </si>
  <si>
    <t>г. Асино, ул. Тимирязева, д. 17/2</t>
  </si>
  <si>
    <t>г. Асино, ул. Транспортная, д. 1</t>
  </si>
  <si>
    <t>г. Асино, ул. Транспортная, д. 12</t>
  </si>
  <si>
    <t>п. Светлый, ул. Сидоренко, д. 17</t>
  </si>
  <si>
    <t>с. Ново-Кусково, ул. Библиотечная, д. 9</t>
  </si>
  <si>
    <t>рп. Белый Яр, ул. Гагарина, д. 56</t>
  </si>
  <si>
    <t>рп. Белый Яр, ул. Космонавтов, д. 10</t>
  </si>
  <si>
    <t>рп. Белый Яр, ул. Российская, д. 1</t>
  </si>
  <si>
    <t>г. Кедровый, мкр. 1-й, д. 9</t>
  </si>
  <si>
    <t>г. Кедровый, мкр. 1-й, д. 10</t>
  </si>
  <si>
    <t>г. Северск, пр-кт Коммунистический, д. 20</t>
  </si>
  <si>
    <t>г. Северск, пр-кт Коммунистический, д. 33</t>
  </si>
  <si>
    <t>ХВС, ГВС, ТС</t>
  </si>
  <si>
    <t>г. Северск, пр-кт Коммунистический, д. 55</t>
  </si>
  <si>
    <t>г. Северск, пр-кт Коммунистический, д. 90</t>
  </si>
  <si>
    <t>г. Северск, пр-кт Коммунистический, д. 117</t>
  </si>
  <si>
    <t>ЛО</t>
  </si>
  <si>
    <t>ПСД, СМР</t>
  </si>
  <si>
    <t>г. Северск, ул. 40 лет Октября, д. 3</t>
  </si>
  <si>
    <t>г. Северск, ул. Горького, д. 4</t>
  </si>
  <si>
    <t>г. Северск, ул. Ершова, д. 6</t>
  </si>
  <si>
    <t>г. Северск, ул. Калинина, д. 14</t>
  </si>
  <si>
    <t>г. Северск, ул. Калинина, д. 16</t>
  </si>
  <si>
    <t>ГВС</t>
  </si>
  <si>
    <t>г. Северск, ул. Калинина, д. 27</t>
  </si>
  <si>
    <t>г. Северск, ул. Калинина, д. 41</t>
  </si>
  <si>
    <t>г. Северск, ул. Калинина, д. 46</t>
  </si>
  <si>
    <t>г. Северск, ул. Калинина, д. 83</t>
  </si>
  <si>
    <t>г. Северск, ул. Кирова, д. 3</t>
  </si>
  <si>
    <t>г. Северск, ул. Кирова, д. 9</t>
  </si>
  <si>
    <t>г. Северск, ул. Комсомольская, д. 20</t>
  </si>
  <si>
    <t>ХВС, ГВС</t>
  </si>
  <si>
    <t>г. Северск, ул. Комсомольская, д. 22</t>
  </si>
  <si>
    <t>г. Северск, ул. Комсомольская, д. 24</t>
  </si>
  <si>
    <t>г. Северск, ул. Комсомольская, д. 26</t>
  </si>
  <si>
    <t>г. Северск, ул. Крупской, д. 14а</t>
  </si>
  <si>
    <t>ХВС, ГВС, ВО</t>
  </si>
  <si>
    <t>г. Северск, ул. Ленина, д. 6</t>
  </si>
  <si>
    <t>г. Северск, ул. Ленина, д. 10</t>
  </si>
  <si>
    <t>г. Северск, ул. Ленина, д. 22</t>
  </si>
  <si>
    <t>г. Северск, ул. Ленина, д. 34</t>
  </si>
  <si>
    <t>г. Северск, ул. Ленина, д. 96</t>
  </si>
  <si>
    <t>г. Северск, ул. Ленина, д. 104</t>
  </si>
  <si>
    <t>г. Северск, ул. Ленинградская, д. 6</t>
  </si>
  <si>
    <t>г. Северск, ул. Леонтичука, д. 8</t>
  </si>
  <si>
    <t>г. Северск, ул. Леонтичука, д. 9</t>
  </si>
  <si>
    <t>г. Северск, ул. Маяковского, д. 14</t>
  </si>
  <si>
    <t>г. Северск, ул. Мира, д. 10</t>
  </si>
  <si>
    <t>г. Северск, ул. Первомайская, д. 31</t>
  </si>
  <si>
    <t>г. Северск, ул. Победы, д. 2</t>
  </si>
  <si>
    <t>г. Северск, ул. Победы, д. 4</t>
  </si>
  <si>
    <t>г. Северск, ул. Победы, д. 6а</t>
  </si>
  <si>
    <t>г. Северск, ул. Победы, д. 14</t>
  </si>
  <si>
    <t>1988, 1989</t>
  </si>
  <si>
    <t>г. Северск, ул. Пушкина, д. 3</t>
  </si>
  <si>
    <t>г. Северск, ул. Пушкина, д. 9</t>
  </si>
  <si>
    <t>г. Северск, ул. Пушкина, д. 10а</t>
  </si>
  <si>
    <t>г. Северск, ул. Свердлова, д. 3</t>
  </si>
  <si>
    <t>г. Северск, ул. Свердлова, д. 5</t>
  </si>
  <si>
    <t>г. Северск, ул. Солнечная, д. 3</t>
  </si>
  <si>
    <t>г. Северск, ул. Строителей, д. 3</t>
  </si>
  <si>
    <t>г. Северск, ул. Транспортная, д. 100</t>
  </si>
  <si>
    <t>г. Северск, ул. Тупиковая, д. 10</t>
  </si>
  <si>
    <t>пос. Самусь, ул. Карла Маркса, д. 1</t>
  </si>
  <si>
    <t>Ф</t>
  </si>
  <si>
    <t>пос. Самусь, ул. Карла Маркса, д. 3</t>
  </si>
  <si>
    <t>пос. Самусь, ул. Ленина, д. 7</t>
  </si>
  <si>
    <t>пос. Самусь, ул. Ленина, д. 9</t>
  </si>
  <si>
    <t>пос. Самусь, ул. Ленина, д. 11</t>
  </si>
  <si>
    <t>пос. Самусь, ул. Ленина, д. 20а</t>
  </si>
  <si>
    <t>ТС</t>
  </si>
  <si>
    <t>г. Стрежевой, мкр. 1-й, д. 146</t>
  </si>
  <si>
    <t>г. Стрежевой, мкр. 1-й, д. 148</t>
  </si>
  <si>
    <t>г. Стрежевой, мкр. 2-й, д. 223</t>
  </si>
  <si>
    <t>ЭС</t>
  </si>
  <si>
    <t>г. Стрежевой, мкр. 3-й, д. 302</t>
  </si>
  <si>
    <t>г. Стрежевой, мкр. 3-й, д. 303</t>
  </si>
  <si>
    <t>г. Стрежевой, мкр. 3-й, д. 305</t>
  </si>
  <si>
    <t>г. Стрежевой, мкр. 4-й, д. 410</t>
  </si>
  <si>
    <t>г. Стрежевой, мкр. 4-й, д. 413</t>
  </si>
  <si>
    <t>г. Стрежевой, мкр. 4-й, д. 414</t>
  </si>
  <si>
    <t>г. Стрежевой, мкр. 4-й, д. 426</t>
  </si>
  <si>
    <t>г. Стрежевой, мкр. 5-й, д. 516</t>
  </si>
  <si>
    <t>г. Стрежевой, мкр. 5-й, д. 518</t>
  </si>
  <si>
    <t>г. Стрежевой, ул. Викулова, д. 10</t>
  </si>
  <si>
    <t>ТС, ХВС, ВО</t>
  </si>
  <si>
    <t>г. Стрежевой, ул. Новая, д. 7а</t>
  </si>
  <si>
    <t>г. Стрежевой, ул. Новая, д. 8</t>
  </si>
  <si>
    <t>г. Стрежевой, ул. Новая, д. 91</t>
  </si>
  <si>
    <t>Кировский район</t>
  </si>
  <si>
    <t>г. Томск, д. Лоскутово, ул. Гагарина, д. 47</t>
  </si>
  <si>
    <t>г. Томск, д. Лоскутово, ул. Ленина, д. 16</t>
  </si>
  <si>
    <t xml:space="preserve">ПСД </t>
  </si>
  <si>
    <t>г. Томск, д. Лоскутово, ул. Октябрьская, д. 1</t>
  </si>
  <si>
    <t>г. Томск, д. Лоскутово, ул. Октябрьская, д. 2</t>
  </si>
  <si>
    <t>г. Томск, Московский тракт, д. 70/1</t>
  </si>
  <si>
    <t>г. Томск, пер. Нахимова, д. 14/1</t>
  </si>
  <si>
    <t>г. Томск, пер. Промышленный, д. 9</t>
  </si>
  <si>
    <t>ТС, ХВС, ГВС</t>
  </si>
  <si>
    <t>г. Томск, пр-кт Кирова, д. 34</t>
  </si>
  <si>
    <t>г. Томск, пр-кт Кирова, д. 34а</t>
  </si>
  <si>
    <t>г. Томск, пр-кт Кирова, д. 37</t>
  </si>
  <si>
    <t>г. Томск, с. Дзержинское, ул. Заводская, д. 4</t>
  </si>
  <si>
    <t>г. Томск, с. Тимирязевское, ул. Водозаборная, д. 1</t>
  </si>
  <si>
    <t>г. Томск, с. Тимирязевское, ул. Водозаборная, д. 3</t>
  </si>
  <si>
    <t>г. Томск, с. Тимирязевское, ул. Октябрьская, д. 91а</t>
  </si>
  <si>
    <t>г. Томск, с. Тимирязевское, ул. Путевая, д. 1а</t>
  </si>
  <si>
    <t>г. Томск, с. Тимирязевское, ул. Путевая, д. 1д</t>
  </si>
  <si>
    <t>г. Томск, ул. Артема, д. 3</t>
  </si>
  <si>
    <t>г. Томск, ул. Артема, д. 6</t>
  </si>
  <si>
    <t>г. Томск, ул. Белинского, д. 84</t>
  </si>
  <si>
    <t>г. Томск, ул. Белинского, д. 86</t>
  </si>
  <si>
    <t>г. Томск, ул. Герцена, д. 15</t>
  </si>
  <si>
    <t>Ф, ПП</t>
  </si>
  <si>
    <t>г. Томск, ул. Дзержинского, д. 60а</t>
  </si>
  <si>
    <t>г. Томск, ул. Елизаровых, д. 12</t>
  </si>
  <si>
    <t>г. Томск, ул. Елизаровых, д. 17/1</t>
  </si>
  <si>
    <t>г. Томск, ул. Елизаровых, д. 24</t>
  </si>
  <si>
    <t>г. Томск, ул. Елизаровых, д. 25</t>
  </si>
  <si>
    <t>г. Томск, ул. Елизаровых, д. 27</t>
  </si>
  <si>
    <t>г. Томск, ул. Елизаровых, д. 41</t>
  </si>
  <si>
    <t>г. Томск, ул. Елизаровых, д. 45</t>
  </si>
  <si>
    <t>г. Томск, ул. Елизаровых, д. 51</t>
  </si>
  <si>
    <t>г. Томск, ул. Енисейская, д. 23</t>
  </si>
  <si>
    <t>ГС</t>
  </si>
  <si>
    <t>г. Томск, ул. Карпова, д. 23</t>
  </si>
  <si>
    <t>г. Томск, ул. Карташова, д. 42в</t>
  </si>
  <si>
    <t>г. Томск, ул. Карташова, д. 68</t>
  </si>
  <si>
    <t>г. Томск, ул. Киевская, д. 86</t>
  </si>
  <si>
    <t>г. Томск, ул. Киевская, д. 88</t>
  </si>
  <si>
    <t>г. Томск, ул. Киевская, д. 109/1</t>
  </si>
  <si>
    <t>г. Томск, ул. Короленко, д. 11</t>
  </si>
  <si>
    <t>г. Томск, ул. Короленко, д. 19</t>
  </si>
  <si>
    <t>г. Томск, ул. Косарева, д. 19</t>
  </si>
  <si>
    <t>г. Томск, ул. Котовского, д. 6</t>
  </si>
  <si>
    <t>г. Томск, ул. Котовского, д. 10</t>
  </si>
  <si>
    <t>г. Томск, ул. Котовского, д. 12</t>
  </si>
  <si>
    <t>г. Томск, ул. Красноармейская, д. 134</t>
  </si>
  <si>
    <t>г. Томск, ул. Кулева, д. 32</t>
  </si>
  <si>
    <t>г. Томск, ул. Мокрушина, д. 12а</t>
  </si>
  <si>
    <t>г. Томск, ул. Пирогова, д. 19</t>
  </si>
  <si>
    <t>г. Томск, ул. Савиных, д. 13</t>
  </si>
  <si>
    <t>г. Томск, ул. Советская, д. 46</t>
  </si>
  <si>
    <t>К, РУФ</t>
  </si>
  <si>
    <t>г. Томск, ул. Советская, д. 48</t>
  </si>
  <si>
    <t>г. Томск, ул. Советская, д. 105</t>
  </si>
  <si>
    <t>1982, 1983, 1985</t>
  </si>
  <si>
    <t>г. Томск, ул. Студенческая, д. 5а</t>
  </si>
  <si>
    <t>г. Томск, ул. Студенческая, д. 7</t>
  </si>
  <si>
    <t>г. Томск, ул. Тверская, д. 105</t>
  </si>
  <si>
    <t>г. Томск, ул. Усова, д. 15/1</t>
  </si>
  <si>
    <t>г. Томск, ул. Усова, д. 37</t>
  </si>
  <si>
    <t>1967, 1968</t>
  </si>
  <si>
    <t>г. Томск, ул. Усова, д. 37а</t>
  </si>
  <si>
    <t>г. Томск, ул. Учебная, д. 19</t>
  </si>
  <si>
    <t>г. Томск, ул. Учебная, д. 40</t>
  </si>
  <si>
    <t>г. Томск, ул. Учебная, д. 45</t>
  </si>
  <si>
    <t>г. Томск, ул. Щорса, д. 13</t>
  </si>
  <si>
    <t>Ленинский район</t>
  </si>
  <si>
    <t>г. Томск, пер. Красный, д. 5</t>
  </si>
  <si>
    <t>г. Томск, пер. Совпартшкольный, д. 2а</t>
  </si>
  <si>
    <t>г. Томск, пр-кт Ленина, д. 96</t>
  </si>
  <si>
    <t>г. Томск, пр-кт Ленина, д. 108</t>
  </si>
  <si>
    <t>г. Томск, пр-кт Ленина, д. 149</t>
  </si>
  <si>
    <t>г. Томск, пр-кт Ленина, д. 235</t>
  </si>
  <si>
    <t>г. Томск, пр-кт Мира, д. 3</t>
  </si>
  <si>
    <t>г. Томск, пр-кт Мира, д. 41</t>
  </si>
  <si>
    <t>г. Томск, ул. 79 Гвардейской Дивизии, д. 8</t>
  </si>
  <si>
    <t>г. Томск, ул. 79 Гвардейской Дивизии, д. 9/1</t>
  </si>
  <si>
    <t>г. Томск, ул. 79 Гвардейской Дивизии, д. 10/1</t>
  </si>
  <si>
    <t>г. Томск, ул. 79 Гвардейской Дивизии, д. 10/2</t>
  </si>
  <si>
    <t>г. Томск, ул. 79 Гвардейской Дивизии, д. 14</t>
  </si>
  <si>
    <t>г. Томск, ул. 79 Гвардейской Дивизии, д. 18</t>
  </si>
  <si>
    <t>г. Томск, ул. 79 Гвардейской Дивизии, д. 20</t>
  </si>
  <si>
    <t>г. Томск, ул. 79 Гвардейской Дивизии, д. 22</t>
  </si>
  <si>
    <t>г. Томск, ул. 79 Гвардейской Дивизии, д. 26</t>
  </si>
  <si>
    <t>г. Томск, ул. Войкова, д. 43а</t>
  </si>
  <si>
    <t>г. Томск, ул. Героев Чубаровцев, д. 22</t>
  </si>
  <si>
    <t>г. Томск, ул. Героев Чубаровцев, д. 30а</t>
  </si>
  <si>
    <t>Ф, ПП, К</t>
  </si>
  <si>
    <t>г. Томск, ул. Говорова, д. 58</t>
  </si>
  <si>
    <t>г. Томск, ул. Интернационалистов, д. 36</t>
  </si>
  <si>
    <t>г. Томск, ул. Карла Ильмера, д. 7/1</t>
  </si>
  <si>
    <t>г. Томск, ул. Карла Ильмера, д. 10</t>
  </si>
  <si>
    <t>г. Томск, ул. Карла Ильмера, д. 12</t>
  </si>
  <si>
    <t>г. Томск, ул. Карла Ильмера, д. 19</t>
  </si>
  <si>
    <t>г. Томск, ул. Карла Маркса, д. 24</t>
  </si>
  <si>
    <t>г. Томск, ул. Крымская, д. 43</t>
  </si>
  <si>
    <t>г. Томск, ул. Мельничная, д. 71</t>
  </si>
  <si>
    <t>г. Томск, ул. Профсоюзная, д. 20а</t>
  </si>
  <si>
    <t>г. Томск, ул. Профсоюзная, д. 33</t>
  </si>
  <si>
    <t>г. Томск, ул. Смирнова, д. 23</t>
  </si>
  <si>
    <t xml:space="preserve">Октябрьский район </t>
  </si>
  <si>
    <t>г. Томск, Иркутский тракт, д. 37/1</t>
  </si>
  <si>
    <t>г. Томск, Иркутский тракт, д. 81/1</t>
  </si>
  <si>
    <t>г. Томск, Иркутский тракт, д. 89</t>
  </si>
  <si>
    <t>г. Томск, Иркутский тракт, д. 118/1</t>
  </si>
  <si>
    <t>г. Томск, Иркутский тракт, д. 152</t>
  </si>
  <si>
    <t>г. Томск, Иркутский тракт, д. 154</t>
  </si>
  <si>
    <t>г. Томск, пер. Сергея Лазо, д. 4</t>
  </si>
  <si>
    <t>г. Томск, пос. Светлый, д. 19</t>
  </si>
  <si>
    <t>г. Томск, ул. Бела Куна, д. 22/2</t>
  </si>
  <si>
    <t>ТС, ХВС, ГВС, ВО</t>
  </si>
  <si>
    <t>г. Томск, ул. Бела Куна, д. 24/2</t>
  </si>
  <si>
    <t>г. Томск, ул. Бела Куна, д. 26/2</t>
  </si>
  <si>
    <t>г. Томск, ул. Беринга, д. 1/4</t>
  </si>
  <si>
    <t>г. Томск, ул. Беринга, д. 24</t>
  </si>
  <si>
    <t>г. Томск, ул. Бирюкова, д. 2</t>
  </si>
  <si>
    <t>г. Томск, ул. Бирюкова, д. 6</t>
  </si>
  <si>
    <t>г. Томск, ул. Вокзальная, д. 23</t>
  </si>
  <si>
    <t>г. Томск, ул. Железнодорожная, д. 11</t>
  </si>
  <si>
    <t>г. Томск, ул. Ивана Черных, д. 111</t>
  </si>
  <si>
    <t>г. Томск, ул. Ивана Черных, д. 113</t>
  </si>
  <si>
    <t>г. Томск, ул. Лазарева, д. 5</t>
  </si>
  <si>
    <t>г. Томск, ул. Любы Шевцовой, д. 7</t>
  </si>
  <si>
    <t>г. Томск, ул. Мичурина, д. 59</t>
  </si>
  <si>
    <t>г. Томск, ул. Мичурина, д. 59а</t>
  </si>
  <si>
    <t>г. Томск, ул. Мичурина, д. 61б</t>
  </si>
  <si>
    <t>г. Томск, ул. Мичурина, д. 67</t>
  </si>
  <si>
    <t>г. Томск, ул. Мичурина, д. 89</t>
  </si>
  <si>
    <t>г. Томск, ул. Мичурина, д. 91</t>
  </si>
  <si>
    <t>г. Томск, ул. Мичурина, д. 93</t>
  </si>
  <si>
    <t>г. Томск, ул. Мичурина, д. 95</t>
  </si>
  <si>
    <t>г. Томск, ул. Партизанская, д. 21</t>
  </si>
  <si>
    <t>г. Томск, ул. Пушкина, д. 25а</t>
  </si>
  <si>
    <t>г. Томск, ул. Северный городок, д. 50</t>
  </si>
  <si>
    <t>г. Томск, ул. Северный городок, д. 53</t>
  </si>
  <si>
    <t>г. Томск, ул. Северный городок, д. 54</t>
  </si>
  <si>
    <t>г. Томск, ул. Сергея Лазо, д. 17</t>
  </si>
  <si>
    <t>Советский район</t>
  </si>
  <si>
    <t>г. Томск, пр-кт Комсомольский, д. 39/3</t>
  </si>
  <si>
    <t>г. Томск, пр-кт Фрунзе, д. 63</t>
  </si>
  <si>
    <t>г. Томск, пр-кт Фрунзе, д. 116</t>
  </si>
  <si>
    <t>г. Томск, пр-кт Фрунзе, д. 121</t>
  </si>
  <si>
    <t>г. Томск, пр-кт Фрунзе, д. 125</t>
  </si>
  <si>
    <t>г. Томск, пр-кт Фрунзе, д. 127</t>
  </si>
  <si>
    <t>г. Томск, пр-кт Фрунзе, д. 131</t>
  </si>
  <si>
    <t>г. Томск, пр-кт Фрунзе, д. 220</t>
  </si>
  <si>
    <t>ГВС, ХВС</t>
  </si>
  <si>
    <t>г. Томск, ул. Алтайская, д. 34</t>
  </si>
  <si>
    <t>г. Томск, ул. Алтайская, д. 72</t>
  </si>
  <si>
    <t>г. Томск, ул. Алтайская, д. 103</t>
  </si>
  <si>
    <t>г. Томск, ул. Алтайская, д. 120</t>
  </si>
  <si>
    <t>г. Томск, ул. Алтайская, д. 124</t>
  </si>
  <si>
    <t>г. Томск, ул. Гагарина, д. 2а</t>
  </si>
  <si>
    <t>г. Томск, ул. Герцена, д. 52</t>
  </si>
  <si>
    <t>г. Томск, ул. Елизаровых, д. 46/1</t>
  </si>
  <si>
    <t>г. Томск, ул. Елизаровых, д. 70</t>
  </si>
  <si>
    <t>г. Томск, ул. Енисейская, д. 4</t>
  </si>
  <si>
    <t>г. Томск, ул. Источная, д. 15в</t>
  </si>
  <si>
    <t>ТС, ХВС, ГВС, ПУ, УУ</t>
  </si>
  <si>
    <t>г. Томск, ул. Киевская, д. 58</t>
  </si>
  <si>
    <t>1990, 1992</t>
  </si>
  <si>
    <t>г. Томск, ул. Крылова, д. 23/1</t>
  </si>
  <si>
    <t>г. Томск, ул. Кулагина, д. 7</t>
  </si>
  <si>
    <t>г. Томск, ул. Кулагина, д. 9</t>
  </si>
  <si>
    <t>г. Томск, ул. Кулагина, д. 31</t>
  </si>
  <si>
    <t>г. Томск, ул. Лебедева, д. 8</t>
  </si>
  <si>
    <t>г. Томск, ул. Никитина, д. 31</t>
  </si>
  <si>
    <t>г. Томск, ул. Сибирская, д. 27/1</t>
  </si>
  <si>
    <t>г. Томск, ул. Сибирская, д. 102</t>
  </si>
  <si>
    <t>г. Томск, ул. Татарская, д. 2а</t>
  </si>
  <si>
    <t>г. Томск, ул. Татарская, д. 43</t>
  </si>
  <si>
    <t>г. Томск, ул. Тверская, д. 75</t>
  </si>
  <si>
    <t>г. Томск, ул. Трамвайная, д. 1</t>
  </si>
  <si>
    <t>г. Томск, ул. Трамвайная, д. 5</t>
  </si>
  <si>
    <t>г. Томск, ул. Шевченко, д. 21</t>
  </si>
  <si>
    <t>с .Зырянское, ул. 60 лет СССР,  д. 7</t>
  </si>
  <si>
    <t>п. Геологический, ул. Энтузиастов, д.19</t>
  </si>
  <si>
    <t>с. Каргасок, ул. Красноармейская, д. 48</t>
  </si>
  <si>
    <t>РУФ</t>
  </si>
  <si>
    <t>с. Каргасок, ул. Красноармейская, д. 91</t>
  </si>
  <si>
    <t>с. Кожевниково, ул. Гагарина, д. 6</t>
  </si>
  <si>
    <t>с. Кожевниково, ул. Калинина, д. 57</t>
  </si>
  <si>
    <t>г. Колпашево, ул. Кирова, д. 6</t>
  </si>
  <si>
    <t>г. Колпашево, ул. Кирова, д. 42/1</t>
  </si>
  <si>
    <t>г. Колпашево, ул. Кирова, д. 46/2</t>
  </si>
  <si>
    <t xml:space="preserve">г. Колпашево, ул. Коммунистическая, д. 14 </t>
  </si>
  <si>
    <t xml:space="preserve">г. Колпашево, ул. Ленина, д. 44 </t>
  </si>
  <si>
    <t xml:space="preserve">г. Колпашево, ул. Матросова, д. 18 </t>
  </si>
  <si>
    <t>г. Колпашево, ул. Мира, д. 24</t>
  </si>
  <si>
    <t>г. Колпашево, ул. Мира, д. 32</t>
  </si>
  <si>
    <t>г. Колпашево, ул. Обская, д. 23</t>
  </si>
  <si>
    <t xml:space="preserve">г. Колпашево, ул. Победы, д. 87 </t>
  </si>
  <si>
    <t xml:space="preserve">г. Колпашево, ул. Советский Север, д. 11 </t>
  </si>
  <si>
    <t>г. Колпашево, ул. Советский Север, д. 61</t>
  </si>
  <si>
    <t>г. Колпашево, ул. Энгельса, д. 30</t>
  </si>
  <si>
    <t xml:space="preserve">с. Тогур, ул. Болотная, д. 7 </t>
  </si>
  <si>
    <t xml:space="preserve">с. Тогур, ул. Титова, д. 3 </t>
  </si>
  <si>
    <t>с. Тогур, ул. Чапаева, д. 1</t>
  </si>
  <si>
    <t xml:space="preserve">с. Тогур, ул. Чапаева, д. 3 </t>
  </si>
  <si>
    <t>с. Тогур, ул. Чапаева, д. 6</t>
  </si>
  <si>
    <t>с. Володино, ул. Молодежная, д. 4</t>
  </si>
  <si>
    <t>с. Кривошеино, ул. Чкалова, д. 10</t>
  </si>
  <si>
    <t>с. Нарга, ул. Олега Кошевого, д. 5</t>
  </si>
  <si>
    <t>с. Нарга, ул. Олега Кошевого, д. 6</t>
  </si>
  <si>
    <t>с. Парабель, ул. Советская, д. 64</t>
  </si>
  <si>
    <t xml:space="preserve">с. Парабель, ул. Советская, д. 92а </t>
  </si>
  <si>
    <t>п. Улу-Юл, ул. Советская, д. 15</t>
  </si>
  <si>
    <t>с. Первомайское, ул. Советская, д.11</t>
  </si>
  <si>
    <t>п. Копылово, ул. Зои Космодемьянской, д. 4</t>
  </si>
  <si>
    <t>п. Копылово, ул. Новая, д. 7</t>
  </si>
  <si>
    <t>п. Молодежный, д. 9</t>
  </si>
  <si>
    <t>п. Молодежный, д. 10</t>
  </si>
  <si>
    <t>п. Рассвет, д. 3</t>
  </si>
  <si>
    <t xml:space="preserve">п. Рассвет, д. 18 </t>
  </si>
  <si>
    <t>с. Богашево, ул. Новостройка, д. 35</t>
  </si>
  <si>
    <t>с. Богашево, ул. Новостройка, д. 45</t>
  </si>
  <si>
    <t>с. Межениновка, ул. Тихая, д. 1</t>
  </si>
  <si>
    <t>с. Томское, ул. Маяковского, д. 20</t>
  </si>
  <si>
    <t>с. Подгорное, ул. 60 лет ВЛКСМ, д. 7а</t>
  </si>
  <si>
    <t>с. Мельниково, пер. Западный, д. 2</t>
  </si>
  <si>
    <t>с. Александровское, ул. Ленина, д. 14</t>
  </si>
  <si>
    <t>с. Александровское, ул. Пушкина, д. 56</t>
  </si>
  <si>
    <t>г. Асино, пер. Электрический, д. 2</t>
  </si>
  <si>
    <t>г. Асино, ул. им. Крупской, д.17</t>
  </si>
  <si>
    <t>г. Асино, ул. им. Куйбышева, д. 8</t>
  </si>
  <si>
    <t>СМР (з)</t>
  </si>
  <si>
    <t>г. Асино, ул. им. В.В.Липатова, д. 36</t>
  </si>
  <si>
    <t>НОК</t>
  </si>
  <si>
    <t>г. Асино, ул. Партизанская, д. 40</t>
  </si>
  <si>
    <t>г. Асино, ул. Рабочая, д. 103</t>
  </si>
  <si>
    <t>г. Асино, ул. Транспортная, д. 2</t>
  </si>
  <si>
    <t>СМР (з), ПСД, СМР</t>
  </si>
  <si>
    <t>г. Кедровый, мкр. 1-й, д. 39</t>
  </si>
  <si>
    <t>г. Северск, пр-кт Коммунистический, д. 74</t>
  </si>
  <si>
    <t>г. Северск, пр-кт Коммунистический, д. 116</t>
  </si>
  <si>
    <t>г. Северск, ул. 40 лет Октября, д. 5</t>
  </si>
  <si>
    <t>г. Северск, ул. Ершова, д. 4</t>
  </si>
  <si>
    <t>12.2019</t>
  </si>
  <si>
    <t>г. Северск, ул. Калинина, д. 6</t>
  </si>
  <si>
    <t>г. Северск, ул. Калинина, д. 8</t>
  </si>
  <si>
    <t>г. Северск, ул. Калинина, д. 13</t>
  </si>
  <si>
    <t>г. Северск, ул. Калинина, д. 23</t>
  </si>
  <si>
    <t>г. Северск, ул. Калинина, д. 60</t>
  </si>
  <si>
    <t>г. Северск, ул. Кирова, д. 2</t>
  </si>
  <si>
    <t>г. Северск, ул. Кирова, д. 10</t>
  </si>
  <si>
    <t>г. Северск, ул. Ленина, д. 80</t>
  </si>
  <si>
    <t>г. Северск, ул. Ленина, д. 98</t>
  </si>
  <si>
    <t>г. Северск, ул. Мира, д. 2</t>
  </si>
  <si>
    <t>К, НОК</t>
  </si>
  <si>
    <t>г. Северск, ул. Мира, д. 13</t>
  </si>
  <si>
    <t>г. Северск, ул. Мира, д. 15</t>
  </si>
  <si>
    <t>г. Северск, ул. Парковая, д. 18</t>
  </si>
  <si>
    <t>г. Северск, ул. Первомайская, д. 15</t>
  </si>
  <si>
    <t>г. Северск, ул. Пушкина, д. 1</t>
  </si>
  <si>
    <t>г. Северск, ул. Пушкина, д. 5</t>
  </si>
  <si>
    <t>г. Северск, ул. Северная, д. 14</t>
  </si>
  <si>
    <t>г. Северск, ул. Советская, д. 13</t>
  </si>
  <si>
    <t>г. Северск, ул. Советская, д. 18</t>
  </si>
  <si>
    <t>г. Северск, ул. Советская, д. 22</t>
  </si>
  <si>
    <t>г. Северск, ул. Советская, д. 28</t>
  </si>
  <si>
    <t>г. Северск, ул. Солнечная, д. 7</t>
  </si>
  <si>
    <t>г. Северск, ул. Строителей, д. 4</t>
  </si>
  <si>
    <t>г. Северск, ул. Транспортная, д. 2</t>
  </si>
  <si>
    <t>г. Северск, ул. Транспортная, д. 14</t>
  </si>
  <si>
    <t>г. Северск, ул. Транспортная, д. 18</t>
  </si>
  <si>
    <t>г. Северск, ул. Транспортная, д. 58</t>
  </si>
  <si>
    <t>г. Северск, ул. Тупиковая, д. 6</t>
  </si>
  <si>
    <t>г. Северск, ул. Царевского, д. 18</t>
  </si>
  <si>
    <t>г. Стрежевой, мкр. 1-й, д. 102а</t>
  </si>
  <si>
    <t>г. Стрежевой, мкр. 2-й, д. 208</t>
  </si>
  <si>
    <t>г. Стрежевой, мкр. 2-й, д. 209</t>
  </si>
  <si>
    <t>г. Стрежевой, мкр. 2-й, д. 210</t>
  </si>
  <si>
    <t>г. Стрежевой, мкр. 2-й, д. 212</t>
  </si>
  <si>
    <t xml:space="preserve">ТС, ХВС, ГВС, ВО </t>
  </si>
  <si>
    <t>г. Стрежевой, мкр. 2-й, д. 217</t>
  </si>
  <si>
    <t>г. Стрежевой, мкр. 2-й, д. 218</t>
  </si>
  <si>
    <t>г. Стрежевой, мкр. 2-й, д. 220</t>
  </si>
  <si>
    <t>г. Стрежевой, мкр. 2-й, д. 224</t>
  </si>
  <si>
    <t>г. Стрежевой, мкр. 2-й, д. 238</t>
  </si>
  <si>
    <t>г. Стрежевой, мкр. 2-й, д. 240</t>
  </si>
  <si>
    <t>г. Стрежевой, мкр. 3-й, д. 312</t>
  </si>
  <si>
    <t>г. Стрежевой, мкр. 4-й, д. 411</t>
  </si>
  <si>
    <t>г. Стрежевой, мкр. 4-й, д. 435</t>
  </si>
  <si>
    <t>г. Томск, д. Лоскутово, ул. Гагарина, д. 45</t>
  </si>
  <si>
    <t>г. Томск,  д. Лоскутово, ул. Ленина, д. 19</t>
  </si>
  <si>
    <t>РУФ, К</t>
  </si>
  <si>
    <t>г. Томск, ул. Дзержинского, д. 31а</t>
  </si>
  <si>
    <t>РУФ, Ф, К</t>
  </si>
  <si>
    <t>г. Томск, ул. Дзержинского, д. 34б</t>
  </si>
  <si>
    <t>г. Томск, ул. Дзержинского, д. 36</t>
  </si>
  <si>
    <t>г. Томск, ул. Дзержинского, д. 51а</t>
  </si>
  <si>
    <t>г. Томск, ул. Елизаровых, д. 17</t>
  </si>
  <si>
    <t>г. Томск, ул. Карпова, д. 17</t>
  </si>
  <si>
    <t>г. Томск, ул. Карташова, д. 31а</t>
  </si>
  <si>
    <t>г. Томск, ул. Карташова, д. 31б</t>
  </si>
  <si>
    <t>г. Томск, ул. Киевская, д. 86б</t>
  </si>
  <si>
    <t>ТС, ХВС, ГВС, К</t>
  </si>
  <si>
    <t>г. Томск, ул. Киевская, д. 86г</t>
  </si>
  <si>
    <t>г. Томск, ул. Косарева, д. 23</t>
  </si>
  <si>
    <t>г. Томск, ул. Косарева, д. 25</t>
  </si>
  <si>
    <t>г. Томск, ул. Красноармейская, д. 89а</t>
  </si>
  <si>
    <t>г. Томск, ул. Кузнецова, д. 1</t>
  </si>
  <si>
    <t>г. Томск, ул. Мокрушина, д. 14</t>
  </si>
  <si>
    <t>РУФ, К, ТС</t>
  </si>
  <si>
    <t>ГС, К</t>
  </si>
  <si>
    <t>г. Томск, ул. Усова, д. 52</t>
  </si>
  <si>
    <t>г. Томск, пер. Светлый, д. 36</t>
  </si>
  <si>
    <t>г. Томск, пер. Светлый, д. 40б</t>
  </si>
  <si>
    <t>г. Томск, ул. Войкова, д. 59а</t>
  </si>
  <si>
    <t>ЭС, НОК</t>
  </si>
  <si>
    <t>г. Томск, ул. Интернационалистов, д. 3</t>
  </si>
  <si>
    <t>г. Томск, ул. Нижне-Луговая, д. 1</t>
  </si>
  <si>
    <t>г. Томск, ул. Первомайская, д. 65</t>
  </si>
  <si>
    <t>г. Томск, ул. Первомайская, д. 65а</t>
  </si>
  <si>
    <t>г. Томск, ул. Профсоюзная, д. 35</t>
  </si>
  <si>
    <t>ХВС, ВО</t>
  </si>
  <si>
    <t>г. Томск, ул. Смирнова, д.  40/3</t>
  </si>
  <si>
    <t>г. Томск, Иркутский тракт, д. 33</t>
  </si>
  <si>
    <t>г. Томск, Иркутский тракт, д. 37</t>
  </si>
  <si>
    <t>г. Томск, Иркутский тракт, д. 72а</t>
  </si>
  <si>
    <t>г. Томск, Иркутский тракт, д. 92</t>
  </si>
  <si>
    <t>г. Томск, Иркутский тракт, д. 102</t>
  </si>
  <si>
    <t>г. Томск, Иркутский тракт, д. 120</t>
  </si>
  <si>
    <t>г. Томск, Иркутский тракт, д. 122</t>
  </si>
  <si>
    <t>г. Томск, Иркутский тракт, д. 128а</t>
  </si>
  <si>
    <t>г. Томск, пер. Сергея Лазо, д. 2</t>
  </si>
  <si>
    <t>г. Томск, пер. Сергея Лазо, 10/3</t>
  </si>
  <si>
    <t>г. Томск, ул. 79 Гвардейской Дивизии, д. 3</t>
  </si>
  <si>
    <t>ТС, ХВС, ГВС, ВО, К</t>
  </si>
  <si>
    <t>СМР (з), ПСД</t>
  </si>
  <si>
    <t>г. Томск, ул. Беринга, д. 5</t>
  </si>
  <si>
    <t>г. Томск, ул. Беринга, д. 5/2</t>
  </si>
  <si>
    <t>г. Томск, ул. Ивана Черных, д. 107/1</t>
  </si>
  <si>
    <t>г. Томск, ул. Ивана Черных, д. 109/3</t>
  </si>
  <si>
    <t>г. Томск, ул. Ивана Черных, д. 113а</t>
  </si>
  <si>
    <t>г. Томск, ул. Ивана Черных, д. 127</t>
  </si>
  <si>
    <t>г. Томск, ул. Клюева, д. 18</t>
  </si>
  <si>
    <t>1989, 1990</t>
  </si>
  <si>
    <t>г. Томск, ул. Лазарева, д. 2</t>
  </si>
  <si>
    <t>г. Томск, ул. Лазарева, д. 5/1</t>
  </si>
  <si>
    <t>г. Томск, ул. Лазарева, д. 7</t>
  </si>
  <si>
    <t>г. Томск, ул. Лазарева, д. 9</t>
  </si>
  <si>
    <t>г. Томск, ул. Мичурина, д. 51/2</t>
  </si>
  <si>
    <t>г. Томск, ул. Партизанская, д. 6</t>
  </si>
  <si>
    <t>г. Томск, ул. Пушкина, д. 7а</t>
  </si>
  <si>
    <t>г. Томск, ул. Пушкина, д. 27з</t>
  </si>
  <si>
    <t>К, РУФ, НОК</t>
  </si>
  <si>
    <t>РУФ, Ф</t>
  </si>
  <si>
    <t>г. Томск, ул. Яковлева, д. 6</t>
  </si>
  <si>
    <t>г. Томск, пр-кт Ленина, д. 46</t>
  </si>
  <si>
    <t>г. Томск, пр-кт Фрунзе, д. 130</t>
  </si>
  <si>
    <t>1990, 1992, 1995</t>
  </si>
  <si>
    <t>г. Томск, ул. Алтайская, д. 114</t>
  </si>
  <si>
    <t>1883, 1960</t>
  </si>
  <si>
    <t>г. Томск, ул. Олега Кошевого, д. 70</t>
  </si>
  <si>
    <t>г. Томск, ул. Олега Кошевого, д. 73</t>
  </si>
  <si>
    <t>г. Томск, ул. Олега Кошевого, д. 77</t>
  </si>
  <si>
    <t>г. Томск, ул. Салтыкова-Щедрина, д. 48</t>
  </si>
  <si>
    <t>с. Зырянское, ул. Советская, д. 40</t>
  </si>
  <si>
    <t>с. Каргасок, ул. Октябрьская, д. 14</t>
  </si>
  <si>
    <t>с. Каргасок, ул. Красноармейская, д. 35</t>
  </si>
  <si>
    <t>с. Кожевниково, ул. Гагарина, д. 8</t>
  </si>
  <si>
    <t>ТС, ХВС</t>
  </si>
  <si>
    <t>г. Колпашево, пер. Кооперативный тупик, д. 7</t>
  </si>
  <si>
    <t>г. Колпашево, ул. Кирова, д. 2</t>
  </si>
  <si>
    <t>г. Колпашево, ул. Кирова, д. 4</t>
  </si>
  <si>
    <t>г. Колпашево, ул. Кирова, д. 8</t>
  </si>
  <si>
    <t>г. Колпашево, ул. Кирова, д. 48/1</t>
  </si>
  <si>
    <t>г. Колпашево, ул. Ленина, д. 26</t>
  </si>
  <si>
    <t>г. Колпашево, ул. Ленина, д. 41/1</t>
  </si>
  <si>
    <t>г. Колпашево, ул. Обская, д. 75</t>
  </si>
  <si>
    <t>г. Колпашево, ул. Победы, д. 87</t>
  </si>
  <si>
    <t>г. Колпашево, ул. Победы, д. 117/1</t>
  </si>
  <si>
    <t>с. Озерное, ул. Трактовая, д. 3</t>
  </si>
  <si>
    <t>с. Озерное, ул. Трактовая, д. 5</t>
  </si>
  <si>
    <t>с. Тогур, мкр. Новостройка, д. 4</t>
  </si>
  <si>
    <t>с. Нарга, ул. Олега Кошевого, д. 2</t>
  </si>
  <si>
    <t>с. Нарга, ул. Олега Кошевого, д. 7</t>
  </si>
  <si>
    <t>с. Парабель, ул. Техническая, д. 3</t>
  </si>
  <si>
    <t>д. Кисловка, ул. Мира, д. 1</t>
  </si>
  <si>
    <t>п. Рассвет, д. 2</t>
  </si>
  <si>
    <t>п. Рассвет, д. 4</t>
  </si>
  <si>
    <t>п. Рассвет, д. 14</t>
  </si>
  <si>
    <t>с. Богашево, ул. Народная, д. 5</t>
  </si>
  <si>
    <t>с. Богашево, ул. Народная, д. 7</t>
  </si>
  <si>
    <t>с. Моряковский Затон, ул. Советская, д. 25а</t>
  </si>
  <si>
    <t>с. Подгорное, ул. 60 лет ВЛКСМ, д. 27</t>
  </si>
  <si>
    <t>с. Мельниково, пер. Базарный, д. 7</t>
  </si>
  <si>
    <t>с. Мельниково, ул. Ленина, д. 13</t>
  </si>
  <si>
    <t>с. Мельниково, пер. Почтовый, д. 4</t>
  </si>
  <si>
    <t>с. Бакчар, пер. Трактовый, д. 19</t>
  </si>
  <si>
    <t>г. Северск, ул. Калинина, д. 96</t>
  </si>
  <si>
    <t>1992, 1993</t>
  </si>
  <si>
    <t>г. Северск, ул. Ленина, д. 14</t>
  </si>
  <si>
    <t>г. Северск, ул. Парковая, д. 22</t>
  </si>
  <si>
    <t>г. Северск, ул. Царевского, д. 8</t>
  </si>
  <si>
    <t>г. Стрежевой, мкр. 1-й, д. 182а</t>
  </si>
  <si>
    <t>г. Стрежевой, мкр. 1-й, д. 185</t>
  </si>
  <si>
    <t>г. Стрежевой, мкр. 3-й, д. 306</t>
  </si>
  <si>
    <t>г. Стрежевой, мкр. 4-й, д. 419</t>
  </si>
  <si>
    <t xml:space="preserve">СМР  </t>
  </si>
  <si>
    <t>г. Томск, ул.  Усова, д. 58</t>
  </si>
  <si>
    <t xml:space="preserve">ЭС </t>
  </si>
  <si>
    <t>с. Зырянское, ул. Советская, д. 15</t>
  </si>
  <si>
    <t>Д</t>
  </si>
  <si>
    <t>разработка проектной документации, включая проведение проверки достоверности определения сметной стоимости</t>
  </si>
  <si>
    <t xml:space="preserve">ремонт </t>
  </si>
  <si>
    <t xml:space="preserve">г. Асино, ул. АВПУ, д. 33  </t>
  </si>
  <si>
    <t xml:space="preserve">г. Асино, ул. Лесозаводская, д. 31  </t>
  </si>
  <si>
    <t xml:space="preserve">г. Асино, ул. Тимирязева, д. 17/2  </t>
  </si>
  <si>
    <t xml:space="preserve">п. Светлый, ул. Сидоренко, д. 17  </t>
  </si>
  <si>
    <t xml:space="preserve">г. Северск, пр-кт Коммунистический, д. 20 </t>
  </si>
  <si>
    <t>лифтовое оборудование (подъезд № 1)</t>
  </si>
  <si>
    <t>замена</t>
  </si>
  <si>
    <t>коллективный (общедомовой) прибор учета потребления горячего водоснабжения, необходимый для предоставления горячего водоснабжения, узел управления и регулирования потребления горячего водоснабжения</t>
  </si>
  <si>
    <t xml:space="preserve">г. Северск, ул. Калинина, д. 41 </t>
  </si>
  <si>
    <t xml:space="preserve">П </t>
  </si>
  <si>
    <t>лифтовое оборудование (подъезд № 5)</t>
  </si>
  <si>
    <t>лифтовое оборудование (подъезд № 2)</t>
  </si>
  <si>
    <t>лифтовое оборудование (подъезд № 3)</t>
  </si>
  <si>
    <t>лифтовое оборудование (подъезд № 4)</t>
  </si>
  <si>
    <t>лифтовое оборудование (подъезд № 6)</t>
  </si>
  <si>
    <t>лифтовое оборудование (подъезд № 7)</t>
  </si>
  <si>
    <t>лифтовое оборудование (подъезд № 8)</t>
  </si>
  <si>
    <t>лифтовое оборудование (подъезд № 9)</t>
  </si>
  <si>
    <t xml:space="preserve">г. Северск, ул. Тупиковая, д. 10 </t>
  </si>
  <si>
    <t>коллективный (общедомовой) прибор учета потребления тепловой энергии, необходимый для предоставления теплоснабжения, узел управления и регулирования потребления тепловой энергии</t>
  </si>
  <si>
    <t>установка</t>
  </si>
  <si>
    <t xml:space="preserve">г. Стрежевой, мкр. 1-й, д. 148 </t>
  </si>
  <si>
    <t xml:space="preserve">г. Стрежевой, мкр. 2-й, д. 223 </t>
  </si>
  <si>
    <t xml:space="preserve">г. Стрежевой, ул. Новая, д. 7а </t>
  </si>
  <si>
    <t xml:space="preserve">г. Стрежевой, ул. Новая, д. 8 </t>
  </si>
  <si>
    <t xml:space="preserve">г. Стрежевой, ул. Новая, д. 91 </t>
  </si>
  <si>
    <t xml:space="preserve">г. Томск, ул. Советская, д. 46 </t>
  </si>
  <si>
    <t>коллективный (общедомовой) прибор учета потребления тепловой энергии, необходимый для предоставления теплоснабжения, коллективный (общедомовой) прибор учета потребления горячей воды, необходимый для предоставления горячего водоснабжения, коллективный (общедомовой) прибор учета потребления холодной воды, необходимый для предоставления холодного водоснабжения</t>
  </si>
  <si>
    <t>узел управления и регулирования потребления тепловой энергии</t>
  </si>
  <si>
    <t xml:space="preserve">г. Томск, ул. Профсоюзная, д. 20а </t>
  </si>
  <si>
    <t>проведение государственной историко-культурной экспертизы</t>
  </si>
  <si>
    <t xml:space="preserve">г. Томск, пр-кт Фрунзе, д. 220 </t>
  </si>
  <si>
    <t>узел управления и регулирования потребления тепловой энергии, коллективные (общедомовые) приборы учета потребления горячего, холодного водоснабжения и теплоснабжения, необходимые для предоставления  горячей, холодной воды и тепловой энергии</t>
  </si>
  <si>
    <t xml:space="preserve">г. Томск, ул. Кулагина, д. 31 </t>
  </si>
  <si>
    <t>с. Зырянское, ул. 60 лет СССР, д. 7</t>
  </si>
  <si>
    <t>с. Каргасок, ул. Красноармейская, д.48</t>
  </si>
  <si>
    <t>итого</t>
  </si>
  <si>
    <t>разработка проектной документации, включая проведение проверки достоверности определения сметной стоимости (ремонт)</t>
  </si>
  <si>
    <t>разработка проектной документации, включая проведение проверки достоверности определения сметной стоимости (утепление)</t>
  </si>
  <si>
    <t>с. Каргасок, ул. Красноармейская, д.91</t>
  </si>
  <si>
    <t>утепление</t>
  </si>
  <si>
    <t xml:space="preserve">с. Кожевниково, ул. Калинина, д. 57 </t>
  </si>
  <si>
    <t xml:space="preserve">с. Кривошеино, ул. Чкалова, д. 10 </t>
  </si>
  <si>
    <t xml:space="preserve">с. Нарга, ул. Олега Кошевого, д. 5 </t>
  </si>
  <si>
    <t xml:space="preserve">с. Нарга, ул. Олега Кошевого, д. 6 </t>
  </si>
  <si>
    <t xml:space="preserve">п. Улу-Юл, ул. Советская, д.15 </t>
  </si>
  <si>
    <t>коллективные (общедомовые) приборы учета потребления  тепловой энергии, холодной воды, необходимые для предоставления   теплоснабжения, холодного водоснабжения, узлы управления и регулирования потребления тепловой энергии,  холодной воды</t>
  </si>
  <si>
    <t xml:space="preserve">с. Подгорное, ул. 60 лет ВЛКСМ, д. 7а </t>
  </si>
  <si>
    <t>г. Асино, ул. им. Крупской, д. 17</t>
  </si>
  <si>
    <t>г. Асино, ул. им. В.В. Липатова, д. 36</t>
  </si>
  <si>
    <t xml:space="preserve">г. Асино, ул. им. Ленина, д. 31а  </t>
  </si>
  <si>
    <t>коллективный (общедомовой) прибор учета потребления тепловой энергии, необходимый для предоставления теплоснабжения</t>
  </si>
  <si>
    <t xml:space="preserve">г. Северск, пр-кт Коммунистический, д. 74 </t>
  </si>
  <si>
    <t xml:space="preserve">Пр </t>
  </si>
  <si>
    <t xml:space="preserve">К </t>
  </si>
  <si>
    <t xml:space="preserve">внутридомовая инженерная система холодного водоснабжения </t>
  </si>
  <si>
    <t>коллективный (общедомовой) прибор учета потребления тепловой энергии необходимый для предоставления теплоснабжения, прибор учета потребления холодной воды необходимый для предоставления холодного водоснабжения, узел управления и регулирования потребления тепловой энергии, узел управления и регулирования потребления холодной воды</t>
  </si>
  <si>
    <t>с. Каргасок, ул. Октябрьская, д.14</t>
  </si>
  <si>
    <t>с. Каргасок, ул. Красноармейская, д.35</t>
  </si>
  <si>
    <t xml:space="preserve">фасад </t>
  </si>
  <si>
    <t xml:space="preserve">г. Колпашево, ул. Ленина, д. 26 </t>
  </si>
  <si>
    <t xml:space="preserve">г. Колпашево, ул. Ленина, д. 41/1 </t>
  </si>
  <si>
    <t xml:space="preserve">г. Асино, ул. Рабочая, д. 103  </t>
  </si>
  <si>
    <t xml:space="preserve">г. Северск, ул. Калинина, д. 14 </t>
  </si>
  <si>
    <t xml:space="preserve">СМР </t>
  </si>
  <si>
    <t>СМР, ПСД</t>
  </si>
  <si>
    <t>г. Асино, ул. им. Ленина, д. 90</t>
  </si>
  <si>
    <t>г. Асино, ул. им. Ю. Гагарина, д. 6</t>
  </si>
  <si>
    <t>ХВС, ТС, ВО</t>
  </si>
  <si>
    <t>с. Тогур, мкр Новостройка,  д. 4</t>
  </si>
  <si>
    <t>ЭС, ТС, ХВС, ГВС, ВО, ПУ, УУ</t>
  </si>
  <si>
    <t>г. Северск, ул. Солнечная, д. 7а</t>
  </si>
  <si>
    <t>г. Северск, ул. Солнечная, д. 13</t>
  </si>
  <si>
    <t>ПУ, УУ</t>
  </si>
  <si>
    <t>г. Томск, д. Лоскутово, ул. Ленина, д. 20</t>
  </si>
  <si>
    <t>г. Томск, пер. Ботанический, д. 7</t>
  </si>
  <si>
    <t>г. Томск, пер. Ботанический, д. 10</t>
  </si>
  <si>
    <t>г. Томск, пер. Ботанический, д. 12</t>
  </si>
  <si>
    <t>г. Томск, ул. Белинского, д. 21/1</t>
  </si>
  <si>
    <t>г. Томск, ул. Косарева, д. 8</t>
  </si>
  <si>
    <t>г. Томск, ул. Матросова, д. 6</t>
  </si>
  <si>
    <t>г. Томск, ул. Советская, д. 70</t>
  </si>
  <si>
    <t>г. Томск, ул. Советская, д. 99</t>
  </si>
  <si>
    <t>г. Томск, ул. Студенческая, д. 15/1</t>
  </si>
  <si>
    <t>г. Томск, пер. Карповский, д. 3</t>
  </si>
  <si>
    <t>г. Томск, пр-кт Ленина, д. 128/1</t>
  </si>
  <si>
    <t>г. Томск, пер. Баранчуковский, д. 35</t>
  </si>
  <si>
    <t>г. Томск, ул. Карла Ильмера, д. 21</t>
  </si>
  <si>
    <t>г. Томск, ул. Смирнова, д. 30</t>
  </si>
  <si>
    <t>г. Томск, ул. Смирнова, д. 35</t>
  </si>
  <si>
    <t>г. Томск, тракт Иркутский, д. 39/1</t>
  </si>
  <si>
    <t>г. Томск, тракт Иркутский, д. 116</t>
  </si>
  <si>
    <t>г. Томск, Иркутский тракт, д. 118/2</t>
  </si>
  <si>
    <t>г. Томск, пер. Карский, д. 13</t>
  </si>
  <si>
    <t>г. Томск, п. Светлый, д. 17</t>
  </si>
  <si>
    <t>г. Томск, ул. Беринга, д. 22</t>
  </si>
  <si>
    <t>г. Томск, ул. Водопроводная, д. 11</t>
  </si>
  <si>
    <t>г. Томск, ул. Вокзальная, д. 27</t>
  </si>
  <si>
    <t>г. Томск, ул. Вокзальная, д. 43</t>
  </si>
  <si>
    <t>г. Томск, ул. Ивана Черных, д. 30</t>
  </si>
  <si>
    <t>г. Томск, ул. Ивана Черных, д. 91</t>
  </si>
  <si>
    <t>г. Томск, ул. Ивановского, д. 16</t>
  </si>
  <si>
    <t>г. Томск, ул. Клюева, д. 26</t>
  </si>
  <si>
    <t>г. Томск, ул. Лазарева, д. 5/2</t>
  </si>
  <si>
    <t>г. Томск, ул. Мичурина, д. 2</t>
  </si>
  <si>
    <t>г. Томск, ул. Новосибирская, д. 31</t>
  </si>
  <si>
    <t>г. Томск, ул. Пушкина, д. 9</t>
  </si>
  <si>
    <t>г. Томск, ул. Пушкина, д. 22</t>
  </si>
  <si>
    <t>г. Томск, ул. Сергея Лазо, д. 6</t>
  </si>
  <si>
    <t>г. Томск, ул. Сергея Лазо, д. 19</t>
  </si>
  <si>
    <t>г. Томск, ул. Сергея Лазо, д. 26</t>
  </si>
  <si>
    <t>г. Томск, ул. Елизаровых, д. 48/1</t>
  </si>
  <si>
    <t>г. Томск, ул. Елизаровых, д. 68</t>
  </si>
  <si>
    <t>г. Томск, ул. Елизаровых, д. 76</t>
  </si>
  <si>
    <t>г. Томск, ул. Лебедева, д. 11</t>
  </si>
  <si>
    <t>г. Томск, ул. Лебедева, д. 87</t>
  </si>
  <si>
    <t>г. Томск, ул. Льва Толстого, д. 81</t>
  </si>
  <si>
    <t>г. Томск,  д. Лоскутово, ул. Ленина, д. 20</t>
  </si>
  <si>
    <t>Ф, ГС, ХВС, ГВС, ТС, ПУ, УУ</t>
  </si>
  <si>
    <t>ВО, ХВС, ГВС</t>
  </si>
  <si>
    <t>1989, 1991</t>
  </si>
  <si>
    <t>ТС, ЛО</t>
  </si>
  <si>
    <t>1993, 1997</t>
  </si>
  <si>
    <t>1983, 1984</t>
  </si>
  <si>
    <t>1992, 1995</t>
  </si>
  <si>
    <t>СМР (н)</t>
  </si>
  <si>
    <t>выбирается из списка: ЭС - ремонт внутридомовых инженерных систем электроснабжения; ГС - ремонт внутридомовых инженерных систем газоснабжения; ТС - ремонт внутридомовых инженерных систем теплоснабжения; ВО - ремонт внутридомовых инженерных систем водоотведения; ЛО - ремонт или замена лифтового оборудования, признанного непригодным для эксплуатации, ремонт лифтовых шахт; К - ремонт крыш/переустройство невентилируемой крыши на вентилируемую крышу/устройство выходов на кровлю; ПП - ремонт подвальных помещений, относящихся к общему имуществу в многоквартирных домах; РУФ - утепление и (или) ремонт фасадов; Ф - ремонт фундаментов; ГВС - ремонт внутридомовых инженерных систем горячего водоснабжения; ХВС - ремонт внутридомовых инженерных систем холодного водоснабжения; ПУ, УУ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 НОК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 НОКр – замена и (или) восстановление несущих строительных конструкций многоквартирного дома и (или) инженерных сетей многоквартирного дома, отнесенные в соответствии с законодательством о градостроительной деятельности к реконструкции объектов капитального строительства; П – устройство, ремонт пандусов и иные работы по приспособлению общего имущества в многоквартирном доме в целях обеспечения его доступности для инвалидов и других маломобильных групп населения;</t>
  </si>
  <si>
    <t xml:space="preserve">разработка проектной документации, включая проведение проверки достоверности определения сметной стоимости (ремонт) </t>
  </si>
  <si>
    <t>разработка проектной документации, включая проведение проверки достоверности определения сметной стоимости (переустройство)</t>
  </si>
  <si>
    <t>г. Стрежевой, ул. Новая, д. 88а</t>
  </si>
  <si>
    <t>г. Стрежевой, ул. Новая, д. 90</t>
  </si>
  <si>
    <t>г. Стрежевой, ул. Новая, д. 94</t>
  </si>
  <si>
    <t>п. Зональная Станция, ул. 40 Лет Победы, д. 5</t>
  </si>
  <si>
    <t xml:space="preserve">г. Асино, ул. АВПУ, д. 27  </t>
  </si>
  <si>
    <t>Вид элемента строительных конструкций, оборудования, инженерных систем &lt;1&gt;</t>
  </si>
  <si>
    <t>Вид работы (услуги) по капитальному ремонту &lt;2&gt;</t>
  </si>
  <si>
    <t>ЭС, ТС, ХВС, ГВС</t>
  </si>
  <si>
    <t>ТС, ХВС, ВО, ПУ, УУ</t>
  </si>
  <si>
    <t>ХВС, ГВС, ТС, ВО, ПУ, УУ</t>
  </si>
  <si>
    <t>К, ТС, ПУ, УУ</t>
  </si>
  <si>
    <t>ХВС, ГВС, ТС, ПУ, УУ</t>
  </si>
  <si>
    <t>ТС, ХВС, ГВС, ВО, ПУ, УУ</t>
  </si>
  <si>
    <t>Удельная стоимость капитального ремонта 1 кв. м общей площади помещений МКД</t>
  </si>
  <si>
    <t>Предельная стоимость капитального ремонта 1 кв. м общей площади помещений МКД</t>
  </si>
  <si>
    <t>МКД - многоквартирный дом;</t>
  </si>
  <si>
    <t>Краткосрочный план реализации в 2017 - 2019 гг. региональной программы капитального ремонта общего имущества в многоквартирных домах</t>
  </si>
  <si>
    <t>Приложение
к приказу Департамента ЖКХ и государственного 
жилищного надзора Томской области
от 12.12.2017 № 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</si>
</sst>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 _₽"/>
  </numFmts>
  <fonts count="12" x14ac:knownFonts="1">
    <font>
      <sz val="11"/>
      <color theme="1"/>
      <name val="Calibri"/>
      <family val="2"/>
      <charset val="204"/>
      <scheme val="minor"/>
    </font>
    <font>
      <sz val="12"/>
      <name val="Times New Roman"/>
      <family val="1"/>
      <charset val="204"/>
    </font>
    <font>
      <sz val="12"/>
      <color indexed="8"/>
      <name val="Times New Roman"/>
      <family val="1"/>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sz val="12"/>
      <color rgb="FF000000"/>
      <name val="Times New Roman"/>
      <family val="1"/>
      <charset val="204"/>
    </font>
    <font>
      <sz val="11"/>
      <name val="Times New Roman"/>
      <family val="1"/>
      <charset val="204"/>
    </font>
    <font>
      <sz val="11"/>
      <name val="Calibri"/>
      <family val="2"/>
      <charset val="204"/>
      <scheme val="minor"/>
    </font>
    <font>
      <sz val="13"/>
      <color theme="1"/>
      <name val="Times New Roman"/>
      <family val="1"/>
      <charset val="204"/>
    </font>
    <font>
      <sz val="13"/>
      <name val="Times New Roman"/>
      <family val="1"/>
      <charset val="204"/>
    </font>
    <font>
      <sz val="13"/>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xf numFmtId="164" fontId="3" fillId="0" borderId="0" applyFont="0" applyFill="0" applyBorder="0" applyAlignment="0" applyProtection="0"/>
    <xf numFmtId="164" fontId="3" fillId="0" borderId="0" applyFont="0" applyFill="0" applyBorder="0" applyAlignment="0" applyProtection="0"/>
  </cellStyleXfs>
  <cellXfs count="357">
    <xf numFmtId="0" fontId="0" fillId="0" borderId="0" xfId="0"/>
    <xf numFmtId="0" fontId="4" fillId="2" borderId="0" xfId="0" applyFont="1" applyFill="1"/>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center" vertical="top"/>
    </xf>
    <xf numFmtId="0" fontId="5" fillId="2" borderId="0" xfId="0" applyFont="1" applyFill="1" applyAlignment="1">
      <alignment horizontal="center" vertical="top"/>
    </xf>
    <xf numFmtId="0" fontId="5" fillId="2" borderId="0" xfId="0" applyFont="1" applyFill="1" applyBorder="1" applyAlignment="1">
      <alignment horizontal="center" vertical="top"/>
    </xf>
    <xf numFmtId="0" fontId="5" fillId="2" borderId="0" xfId="0" applyFont="1" applyFill="1"/>
    <xf numFmtId="0" fontId="4" fillId="0" borderId="0" xfId="0" applyFont="1" applyFill="1"/>
    <xf numFmtId="0" fontId="5" fillId="0" borderId="0" xfId="0" applyFont="1" applyFill="1"/>
    <xf numFmtId="0" fontId="5" fillId="2" borderId="1" xfId="0" applyFont="1" applyFill="1" applyBorder="1"/>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wrapText="1"/>
    </xf>
    <xf numFmtId="0" fontId="1" fillId="2" borderId="1" xfId="0" applyFont="1" applyFill="1" applyBorder="1" applyAlignment="1">
      <alignment vertical="center" wrapText="1"/>
    </xf>
    <xf numFmtId="0" fontId="1" fillId="2" borderId="3" xfId="0" applyFont="1" applyFill="1" applyBorder="1" applyAlignment="1">
      <alignment horizontal="left" wrapText="1"/>
    </xf>
    <xf numFmtId="0" fontId="1" fillId="2" borderId="3" xfId="0" applyFont="1" applyFill="1" applyBorder="1" applyAlignment="1">
      <alignment vertical="center" wrapText="1"/>
    </xf>
    <xf numFmtId="0" fontId="5" fillId="3" borderId="0" xfId="0" applyFont="1" applyFill="1"/>
    <xf numFmtId="0" fontId="5" fillId="2" borderId="0" xfId="0" applyFont="1" applyFill="1" applyAlignment="1">
      <alignment horizontal="left" wrapText="1"/>
    </xf>
    <xf numFmtId="1"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4" fontId="1" fillId="0" borderId="0" xfId="0" applyNumberFormat="1" applyFont="1" applyFill="1"/>
    <xf numFmtId="4" fontId="1"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4" fontId="1" fillId="2" borderId="0" xfId="0" applyNumberFormat="1" applyFont="1" applyFill="1"/>
    <xf numFmtId="4" fontId="1" fillId="2" borderId="1" xfId="0" applyNumberFormat="1" applyFont="1" applyFill="1" applyBorder="1" applyAlignment="1" applyProtection="1">
      <alignment horizontal="center" vertical="top"/>
      <protection locked="0"/>
    </xf>
    <xf numFmtId="3" fontId="1" fillId="2" borderId="1" xfId="0" applyNumberFormat="1" applyFont="1" applyFill="1" applyBorder="1" applyAlignment="1">
      <alignment horizontal="center" vertical="top"/>
    </xf>
    <xf numFmtId="4" fontId="1" fillId="2" borderId="1" xfId="0" applyNumberFormat="1" applyFont="1" applyFill="1" applyBorder="1" applyAlignment="1">
      <alignment horizontal="center"/>
    </xf>
    <xf numFmtId="4" fontId="5" fillId="2" borderId="1" xfId="0" applyNumberFormat="1" applyFont="1" applyFill="1" applyBorder="1" applyAlignment="1">
      <alignment horizontal="center"/>
    </xf>
    <xf numFmtId="0" fontId="4" fillId="3" borderId="0" xfId="0" applyFont="1" applyFill="1"/>
    <xf numFmtId="1" fontId="2" fillId="2" borderId="0" xfId="0" applyNumberFormat="1" applyFont="1" applyFill="1" applyAlignment="1">
      <alignment horizontal="center"/>
    </xf>
    <xf numFmtId="1" fontId="2" fillId="2" borderId="1" xfId="0" applyNumberFormat="1" applyFont="1" applyFill="1" applyBorder="1" applyAlignment="1">
      <alignment horizontal="center" wrapText="1"/>
    </xf>
    <xf numFmtId="1" fontId="5" fillId="2" borderId="0" xfId="0" applyNumberFormat="1" applyFont="1" applyFill="1" applyAlignment="1">
      <alignment horizontal="left" wrapText="1"/>
    </xf>
    <xf numFmtId="0" fontId="1" fillId="2" borderId="0" xfId="0" applyFont="1" applyFill="1"/>
    <xf numFmtId="4" fontId="1" fillId="2" borderId="1" xfId="0" quotePrefix="1" applyNumberFormat="1" applyFont="1" applyFill="1" applyBorder="1" applyAlignment="1">
      <alignment horizontal="center" vertical="top"/>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center" vertical="top"/>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protection locked="0"/>
    </xf>
    <xf numFmtId="4" fontId="2" fillId="2" borderId="2"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0" xfId="0" applyFont="1" applyFill="1"/>
    <xf numFmtId="0" fontId="1" fillId="2" borderId="1" xfId="0" applyFont="1" applyFill="1" applyBorder="1" applyAlignment="1">
      <alignment horizontal="left" vertical="center" wrapText="1"/>
    </xf>
    <xf numFmtId="4" fontId="1" fillId="2" borderId="1" xfId="0" quotePrefix="1" applyNumberFormat="1" applyFont="1" applyFill="1" applyBorder="1" applyAlignment="1">
      <alignment horizontal="center" vertical="center"/>
    </xf>
    <xf numFmtId="4" fontId="1" fillId="2" borderId="1" xfId="3" applyNumberFormat="1" applyFont="1" applyFill="1" applyBorder="1" applyAlignment="1">
      <alignment horizontal="center" vertical="top"/>
    </xf>
    <xf numFmtId="49" fontId="1" fillId="2" borderId="1" xfId="0" quotePrefix="1" applyNumberFormat="1" applyFont="1" applyFill="1" applyBorder="1" applyAlignment="1">
      <alignment horizontal="center" vertical="top"/>
    </xf>
    <xf numFmtId="0" fontId="1" fillId="2" borderId="1" xfId="1" applyFont="1" applyFill="1" applyBorder="1" applyAlignment="1" applyProtection="1">
      <alignment vertical="top" wrapText="1"/>
      <protection locked="0"/>
    </xf>
    <xf numFmtId="3" fontId="2" fillId="2" borderId="1" xfId="0" applyNumberFormat="1" applyFont="1" applyFill="1" applyBorder="1" applyAlignment="1">
      <alignment horizontal="center" wrapText="1"/>
    </xf>
    <xf numFmtId="0" fontId="5" fillId="2" borderId="1" xfId="0"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center" vertical="top"/>
      <protection locked="0"/>
    </xf>
    <xf numFmtId="4" fontId="1" fillId="2" borderId="2" xfId="0" applyNumberFormat="1" applyFont="1" applyFill="1" applyBorder="1" applyAlignment="1">
      <alignment horizontal="center" vertical="top"/>
    </xf>
    <xf numFmtId="0" fontId="1" fillId="2" borderId="2" xfId="0" applyFont="1" applyFill="1" applyBorder="1" applyAlignment="1" applyProtection="1">
      <alignment horizontal="left" vertical="top" wrapText="1"/>
      <protection locked="0"/>
    </xf>
    <xf numFmtId="0" fontId="1" fillId="2" borderId="6" xfId="0"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protection locked="0"/>
    </xf>
    <xf numFmtId="0" fontId="1" fillId="2" borderId="2" xfId="0" applyFont="1" applyFill="1" applyBorder="1" applyAlignment="1" applyProtection="1">
      <alignment horizontal="center" vertical="center"/>
      <protection locked="0"/>
    </xf>
    <xf numFmtId="0" fontId="1" fillId="2" borderId="6" xfId="1" applyFont="1" applyFill="1" applyBorder="1" applyAlignment="1" applyProtection="1">
      <alignment horizontal="center" vertical="top"/>
      <protection locked="0"/>
    </xf>
    <xf numFmtId="0" fontId="5" fillId="2" borderId="1" xfId="0" applyFont="1" applyFill="1" applyBorder="1" applyAlignment="1">
      <alignment horizontal="center"/>
    </xf>
    <xf numFmtId="49" fontId="1" fillId="2" borderId="1" xfId="0" applyNumberFormat="1" applyFont="1" applyFill="1" applyBorder="1" applyAlignment="1" applyProtection="1">
      <alignment horizontal="center" vertical="top"/>
      <protection locked="0"/>
    </xf>
    <xf numFmtId="0" fontId="5" fillId="2" borderId="6" xfId="0" applyFont="1" applyFill="1" applyBorder="1" applyAlignment="1">
      <alignment horizontal="center" vertical="center" wrapText="1"/>
    </xf>
    <xf numFmtId="49" fontId="1" fillId="2" borderId="1"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xf>
    <xf numFmtId="0" fontId="2" fillId="2" borderId="5" xfId="0" applyFont="1" applyFill="1" applyBorder="1" applyAlignment="1">
      <alignment horizontal="left"/>
    </xf>
    <xf numFmtId="3" fontId="2" fillId="2" borderId="1" xfId="0" applyNumberFormat="1" applyFont="1" applyFill="1" applyBorder="1" applyAlignment="1">
      <alignment vertical="top" wrapText="1"/>
    </xf>
    <xf numFmtId="0" fontId="1"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xf>
    <xf numFmtId="0" fontId="1" fillId="2" borderId="0" xfId="0" applyFont="1" applyFill="1" applyAlignment="1">
      <alignment vertical="top"/>
    </xf>
    <xf numFmtId="0"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0" fontId="1" fillId="2" borderId="4" xfId="0" applyFont="1" applyFill="1" applyBorder="1" applyAlignment="1">
      <alignment horizontal="center" vertical="center" wrapText="1"/>
    </xf>
    <xf numFmtId="4" fontId="1" fillId="2" borderId="4" xfId="0" applyNumberFormat="1" applyFont="1" applyFill="1" applyBorder="1" applyAlignment="1">
      <alignment horizontal="center" vertical="top" wrapText="1"/>
    </xf>
    <xf numFmtId="0" fontId="1" fillId="2" borderId="6"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4" fontId="1" fillId="2" borderId="4" xfId="0" applyNumberFormat="1" applyFont="1" applyFill="1" applyBorder="1" applyAlignment="1">
      <alignment horizontal="center" vertical="top"/>
    </xf>
    <xf numFmtId="0" fontId="1" fillId="2" borderId="4" xfId="0" applyFont="1" applyFill="1" applyBorder="1" applyAlignment="1">
      <alignment horizontal="left" vertical="center" wrapText="1"/>
    </xf>
    <xf numFmtId="0" fontId="5" fillId="2" borderId="0" xfId="0" applyFont="1" applyFill="1" applyAlignment="1">
      <alignment horizontal="center" wrapText="1"/>
    </xf>
    <xf numFmtId="3" fontId="5" fillId="2" borderId="1" xfId="0" applyNumberFormat="1" applyFont="1" applyFill="1" applyBorder="1" applyAlignment="1">
      <alignment horizontal="center" vertical="top"/>
    </xf>
    <xf numFmtId="4" fontId="5"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4" fontId="1" fillId="2" borderId="0" xfId="0" applyNumberFormat="1" applyFont="1" applyFill="1" applyAlignment="1">
      <alignment horizontal="center"/>
    </xf>
    <xf numFmtId="3" fontId="1" fillId="2" borderId="0" xfId="0" applyNumberFormat="1" applyFont="1" applyFill="1" applyAlignment="1">
      <alignment horizontal="center"/>
    </xf>
    <xf numFmtId="1" fontId="1" fillId="2" borderId="0" xfId="0" applyNumberFormat="1" applyFont="1" applyFill="1" applyAlignment="1">
      <alignment horizontal="center" vertical="center"/>
    </xf>
    <xf numFmtId="1" fontId="1" fillId="2" borderId="0" xfId="0" applyNumberFormat="1" applyFont="1" applyFill="1" applyAlignment="1">
      <alignment horizontal="center"/>
    </xf>
    <xf numFmtId="0" fontId="5" fillId="2" borderId="6" xfId="0" applyFont="1" applyFill="1" applyBorder="1" applyAlignment="1"/>
    <xf numFmtId="0" fontId="7" fillId="2" borderId="0" xfId="0" applyFont="1" applyFill="1"/>
    <xf numFmtId="0" fontId="7" fillId="3" borderId="0" xfId="0" applyFont="1" applyFill="1"/>
    <xf numFmtId="0" fontId="5" fillId="2" borderId="0" xfId="0" applyFont="1" applyFill="1" applyAlignment="1">
      <alignment horizontal="center"/>
    </xf>
    <xf numFmtId="1" fontId="5" fillId="2" borderId="0" xfId="0" applyNumberFormat="1" applyFont="1" applyFill="1"/>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3" fontId="1" fillId="2" borderId="4" xfId="0" applyNumberFormat="1" applyFont="1" applyFill="1" applyBorder="1" applyAlignment="1">
      <alignment horizontal="center" vertical="top" wrapText="1"/>
    </xf>
    <xf numFmtId="3" fontId="1" fillId="2" borderId="1" xfId="0" applyNumberFormat="1" applyFont="1" applyFill="1" applyBorder="1" applyAlignment="1">
      <alignment horizontal="center" vertical="top" wrapText="1"/>
    </xf>
    <xf numFmtId="3" fontId="1" fillId="2" borderId="1" xfId="3" applyNumberFormat="1" applyFont="1" applyFill="1" applyBorder="1" applyAlignment="1">
      <alignment horizontal="center" vertical="top"/>
    </xf>
    <xf numFmtId="3" fontId="1" fillId="2" borderId="1" xfId="0" applyNumberFormat="1" applyFont="1" applyFill="1" applyBorder="1" applyAlignment="1" applyProtection="1">
      <alignment horizontal="center" vertical="top"/>
      <protection locked="0"/>
    </xf>
    <xf numFmtId="3" fontId="5" fillId="2" borderId="1" xfId="0" applyNumberFormat="1" applyFont="1" applyFill="1" applyBorder="1" applyAlignment="1">
      <alignment horizontal="center" vertical="center"/>
    </xf>
    <xf numFmtId="3" fontId="1" fillId="2" borderId="1" xfId="0" applyNumberFormat="1" applyFont="1" applyFill="1" applyBorder="1" applyAlignment="1" applyProtection="1">
      <alignment horizontal="center" vertical="top" wrapText="1"/>
      <protection locked="0"/>
    </xf>
    <xf numFmtId="3" fontId="1" fillId="2" borderId="1" xfId="0" applyNumberFormat="1" applyFont="1" applyFill="1" applyBorder="1" applyAlignment="1">
      <alignment horizontal="center"/>
    </xf>
    <xf numFmtId="3" fontId="1" fillId="2" borderId="14" xfId="0" applyNumberFormat="1" applyFont="1" applyFill="1" applyBorder="1" applyAlignment="1" applyProtection="1">
      <alignment horizontal="center" vertical="top" wrapText="1"/>
      <protection locked="0"/>
    </xf>
    <xf numFmtId="3" fontId="1" fillId="2" borderId="14" xfId="0" applyNumberFormat="1" applyFont="1" applyFill="1" applyBorder="1" applyAlignment="1" applyProtection="1">
      <alignment horizontal="center" vertical="top"/>
      <protection locked="0"/>
    </xf>
    <xf numFmtId="0" fontId="8" fillId="2" borderId="0" xfId="0" applyFont="1" applyFill="1"/>
    <xf numFmtId="1" fontId="5" fillId="2" borderId="1" xfId="0" applyNumberFormat="1" applyFont="1" applyFill="1" applyBorder="1" applyAlignment="1">
      <alignment horizontal="center" wrapText="1"/>
    </xf>
    <xf numFmtId="0" fontId="1"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4" fontId="5" fillId="2" borderId="1" xfId="0" applyNumberFormat="1" applyFont="1" applyFill="1" applyBorder="1" applyAlignment="1">
      <alignment horizontal="center" vertical="center" textRotation="90" wrapText="1"/>
    </xf>
    <xf numFmtId="4" fontId="5"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left" vertical="center"/>
    </xf>
    <xf numFmtId="0" fontId="1" fillId="2" borderId="1" xfId="0" applyFont="1" applyFill="1" applyBorder="1" applyAlignment="1">
      <alignment vertical="top" wrapText="1"/>
    </xf>
    <xf numFmtId="0" fontId="1" fillId="2" borderId="1" xfId="0" applyFont="1" applyFill="1" applyBorder="1" applyAlignment="1" applyProtection="1">
      <alignment horizontal="left" vertical="center" wrapText="1"/>
      <protection locked="0"/>
    </xf>
    <xf numFmtId="4"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3" fontId="2" fillId="2" borderId="1"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2" fillId="2" borderId="2" xfId="0" applyFont="1" applyFill="1" applyBorder="1" applyAlignment="1">
      <alignment horizontal="left" vertical="center"/>
    </xf>
    <xf numFmtId="1"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4" fontId="2" fillId="2" borderId="1" xfId="0" applyNumberFormat="1" applyFont="1" applyFill="1" applyBorder="1" applyAlignment="1">
      <alignment horizontal="center" wrapText="1"/>
    </xf>
    <xf numFmtId="0" fontId="2" fillId="2" borderId="6" xfId="0" applyFont="1" applyFill="1" applyBorder="1" applyAlignment="1">
      <alignment horizontal="left" vertical="center"/>
    </xf>
    <xf numFmtId="0" fontId="2" fillId="2" borderId="3" xfId="0" applyFont="1" applyFill="1" applyBorder="1" applyAlignment="1">
      <alignment vertical="center" wrapText="1"/>
    </xf>
    <xf numFmtId="0" fontId="1" fillId="2" borderId="1" xfId="0" applyFont="1" applyFill="1" applyBorder="1" applyAlignment="1">
      <alignment horizontal="center"/>
    </xf>
    <xf numFmtId="0" fontId="1"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1" xfId="0" applyFont="1" applyFill="1" applyBorder="1" applyAlignment="1">
      <alignment vertical="center" wrapText="1"/>
    </xf>
    <xf numFmtId="3"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1" fillId="2" borderId="6"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1" xfId="0"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0" fontId="1" fillId="2" borderId="3" xfId="0" applyFont="1" applyFill="1" applyBorder="1" applyAlignment="1">
      <alignment vertical="top" wrapText="1"/>
    </xf>
    <xf numFmtId="0" fontId="1" fillId="2" borderId="3" xfId="0" applyFont="1" applyFill="1" applyBorder="1" applyAlignment="1">
      <alignment horizontal="left" vertical="top" wrapText="1"/>
    </xf>
    <xf numFmtId="4" fontId="2" fillId="2" borderId="1" xfId="0" applyNumberFormat="1" applyFont="1" applyFill="1" applyBorder="1" applyAlignment="1">
      <alignment vertical="top" wrapText="1"/>
    </xf>
    <xf numFmtId="0" fontId="2" fillId="2" borderId="2" xfId="0" applyFont="1" applyFill="1" applyBorder="1" applyAlignment="1">
      <alignment vertical="top" wrapText="1"/>
    </xf>
    <xf numFmtId="0" fontId="2" fillId="2" borderId="1" xfId="0" applyFont="1" applyFill="1" applyBorder="1" applyAlignment="1">
      <alignment horizontal="left" vertical="top" wrapText="1"/>
    </xf>
    <xf numFmtId="4" fontId="1" fillId="2" borderId="1" xfId="0" applyNumberFormat="1" applyFont="1" applyFill="1" applyBorder="1" applyAlignment="1">
      <alignment horizontal="left" vertical="top" wrapText="1"/>
    </xf>
    <xf numFmtId="4" fontId="2" fillId="2" borderId="2" xfId="0" applyNumberFormat="1" applyFont="1" applyFill="1" applyBorder="1" applyAlignment="1">
      <alignment vertical="top" wrapText="1"/>
    </xf>
    <xf numFmtId="4" fontId="2" fillId="2" borderId="1" xfId="0" applyNumberFormat="1" applyFont="1" applyFill="1" applyBorder="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xf numFmtId="0" fontId="5" fillId="2" borderId="0" xfId="0" applyFont="1" applyFill="1" applyAlignment="1">
      <alignment horizontal="left"/>
    </xf>
    <xf numFmtId="3" fontId="1" fillId="2" borderId="1" xfId="0" quotePrefix="1" applyNumberFormat="1" applyFont="1" applyFill="1" applyBorder="1" applyAlignment="1">
      <alignment horizontal="center" vertical="top"/>
    </xf>
    <xf numFmtId="3" fontId="5" fillId="2" borderId="1" xfId="0" applyNumberFormat="1" applyFont="1" applyFill="1" applyBorder="1" applyAlignment="1">
      <alignment horizontal="center"/>
    </xf>
    <xf numFmtId="3" fontId="1" fillId="2" borderId="1" xfId="0" quotePrefix="1" applyNumberFormat="1" applyFont="1" applyFill="1" applyBorder="1" applyAlignment="1">
      <alignment horizontal="center" vertical="center"/>
    </xf>
    <xf numFmtId="0" fontId="1" fillId="2" borderId="6" xfId="0" applyFont="1" applyFill="1" applyBorder="1" applyAlignment="1">
      <alignment horizontal="left" vertical="top" wrapText="1"/>
    </xf>
    <xf numFmtId="1" fontId="5"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2" fillId="2" borderId="6" xfId="0" applyFont="1" applyFill="1" applyBorder="1" applyAlignment="1">
      <alignmen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center" vertical="top" wrapText="1"/>
    </xf>
    <xf numFmtId="1" fontId="2"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top" wrapText="1"/>
    </xf>
    <xf numFmtId="3" fontId="1" fillId="2" borderId="1" xfId="0" quotePrefix="1" applyNumberFormat="1" applyFont="1" applyFill="1" applyBorder="1" applyAlignment="1">
      <alignment horizontal="center" vertical="top" wrapText="1"/>
    </xf>
    <xf numFmtId="0" fontId="1" fillId="2" borderId="0" xfId="0" applyFont="1" applyFill="1" applyAlignment="1">
      <alignment wrapText="1"/>
    </xf>
    <xf numFmtId="0" fontId="5" fillId="2" borderId="1" xfId="0" applyFont="1" applyFill="1" applyBorder="1" applyAlignment="1">
      <alignment wrapText="1"/>
    </xf>
    <xf numFmtId="4" fontId="1" fillId="2" borderId="1" xfId="0" applyNumberFormat="1" applyFont="1" applyFill="1" applyBorder="1" applyAlignment="1" applyProtection="1">
      <alignment horizontal="center" vertical="top" wrapText="1"/>
      <protection locked="0"/>
    </xf>
    <xf numFmtId="4" fontId="1" fillId="2" borderId="1" xfId="3" applyNumberFormat="1" applyFont="1" applyFill="1" applyBorder="1" applyAlignment="1">
      <alignment horizontal="center" vertical="top" wrapText="1"/>
    </xf>
    <xf numFmtId="49" fontId="1" fillId="2" borderId="1" xfId="0" applyNumberFormat="1" applyFont="1" applyFill="1" applyBorder="1" applyAlignment="1">
      <alignment horizontal="center" wrapText="1"/>
    </xf>
    <xf numFmtId="4" fontId="1" fillId="2" borderId="1" xfId="0" quotePrefix="1" applyNumberFormat="1" applyFont="1" applyFill="1" applyBorder="1" applyAlignment="1">
      <alignment horizontal="center" vertical="top" wrapText="1"/>
    </xf>
    <xf numFmtId="4" fontId="1" fillId="2" borderId="0" xfId="0" applyNumberFormat="1" applyFont="1" applyFill="1" applyAlignment="1">
      <alignment wrapText="1"/>
    </xf>
    <xf numFmtId="0" fontId="1" fillId="2" borderId="0" xfId="0" applyFont="1" applyFill="1" applyAlignment="1">
      <alignment vertical="top" wrapText="1"/>
    </xf>
    <xf numFmtId="3" fontId="1" fillId="2" borderId="1" xfId="3" applyNumberFormat="1" applyFont="1" applyFill="1" applyBorder="1" applyAlignment="1">
      <alignment horizontal="center" vertical="top" wrapText="1"/>
    </xf>
    <xf numFmtId="49" fontId="1" fillId="2" borderId="1" xfId="0" quotePrefix="1" applyNumberFormat="1" applyFont="1" applyFill="1" applyBorder="1" applyAlignment="1">
      <alignment horizontal="center" vertical="top" wrapText="1"/>
    </xf>
    <xf numFmtId="4" fontId="1" fillId="0" borderId="0" xfId="0" applyNumberFormat="1" applyFont="1" applyFill="1" applyAlignment="1">
      <alignment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5" fillId="0" borderId="0" xfId="0" applyFont="1" applyFill="1" applyAlignment="1">
      <alignment vertical="center"/>
    </xf>
    <xf numFmtId="0" fontId="5" fillId="2" borderId="0" xfId="0" applyFont="1" applyFill="1" applyAlignment="1">
      <alignment vertical="center"/>
    </xf>
    <xf numFmtId="4" fontId="2"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xf numFmtId="165" fontId="8" fillId="2" borderId="0" xfId="0" applyNumberFormat="1" applyFont="1" applyFill="1"/>
    <xf numFmtId="0" fontId="10" fillId="2" borderId="0" xfId="0" applyFont="1" applyFill="1" applyBorder="1" applyAlignment="1">
      <alignment vertical="top" wrapText="1"/>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5" xfId="0" applyFont="1" applyFill="1" applyBorder="1" applyAlignment="1">
      <alignment vertical="center" wrapText="1"/>
    </xf>
    <xf numFmtId="0" fontId="1" fillId="2" borderId="4" xfId="0" applyFont="1" applyFill="1" applyBorder="1" applyAlignment="1" applyProtection="1">
      <alignment horizontal="left" vertical="center"/>
      <protection locked="0"/>
    </xf>
    <xf numFmtId="0" fontId="5" fillId="2" borderId="6" xfId="0" applyFont="1" applyFill="1" applyBorder="1" applyAlignment="1">
      <alignment horizontal="left"/>
    </xf>
    <xf numFmtId="0" fontId="2" fillId="2" borderId="2" xfId="0" applyFont="1" applyFill="1" applyBorder="1" applyAlignment="1">
      <alignment horizontal="left" vertical="top"/>
    </xf>
    <xf numFmtId="4" fontId="1" fillId="2" borderId="3" xfId="0" applyNumberFormat="1"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2" fillId="2" borderId="3" xfId="0" applyFont="1" applyFill="1" applyBorder="1" applyAlignment="1">
      <alignment vertical="top" wrapText="1"/>
    </xf>
    <xf numFmtId="4" fontId="2" fillId="2" borderId="3" xfId="0" applyNumberFormat="1" applyFont="1" applyFill="1" applyBorder="1" applyAlignment="1">
      <alignment horizontal="center" vertical="top" wrapText="1"/>
    </xf>
    <xf numFmtId="0" fontId="4" fillId="2" borderId="0" xfId="0" applyFont="1" applyFill="1" applyBorder="1"/>
    <xf numFmtId="0" fontId="1" fillId="2" borderId="1" xfId="0" applyFont="1" applyFill="1" applyBorder="1" applyAlignment="1" applyProtection="1">
      <alignment horizontal="left" vertical="center" wrapText="1"/>
      <protection locked="0"/>
    </xf>
    <xf numFmtId="4" fontId="1" fillId="2" borderId="1" xfId="0" applyNumberFormat="1" applyFont="1" applyFill="1" applyBorder="1" applyAlignment="1">
      <alignment vertical="center" wrapText="1"/>
    </xf>
    <xf numFmtId="0" fontId="9" fillId="2" borderId="0" xfId="0" applyFont="1" applyFill="1" applyAlignment="1">
      <alignment horizontal="left" vertical="top" wrapText="1"/>
    </xf>
    <xf numFmtId="0" fontId="10" fillId="2" borderId="0" xfId="0" applyFont="1" applyFill="1" applyBorder="1" applyAlignment="1">
      <alignment horizontal="center" vertical="top" wrapText="1"/>
    </xf>
    <xf numFmtId="0" fontId="1" fillId="2" borderId="1" xfId="0" applyFont="1" applyFill="1" applyBorder="1" applyAlignment="1">
      <alignment vertical="top" wrapText="1"/>
    </xf>
    <xf numFmtId="4" fontId="1" fillId="2" borderId="1" xfId="0" applyNumberFormat="1" applyFont="1" applyFill="1" applyBorder="1" applyAlignment="1">
      <alignment horizontal="left" vertical="center"/>
    </xf>
    <xf numFmtId="1" fontId="1" fillId="2" borderId="1" xfId="0" applyNumberFormat="1" applyFont="1" applyFill="1" applyBorder="1" applyAlignment="1">
      <alignment horizontal="left" vertical="center"/>
    </xf>
    <xf numFmtId="1" fontId="5" fillId="2" borderId="1" xfId="0" applyNumberFormat="1" applyFont="1" applyFill="1" applyBorder="1" applyAlignment="1">
      <alignment horizontal="center" vertical="center" wrapText="1"/>
    </xf>
    <xf numFmtId="4" fontId="1" fillId="2" borderId="1" xfId="0" applyNumberFormat="1" applyFont="1" applyFill="1" applyBorder="1" applyAlignment="1">
      <alignment vertical="top" wrapText="1"/>
    </xf>
    <xf numFmtId="0" fontId="1" fillId="2" borderId="4"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4" fontId="10" fillId="2" borderId="0" xfId="0" applyNumberFormat="1" applyFont="1" applyFill="1" applyBorder="1" applyAlignment="1">
      <alignment horizontal="center" vertical="top" wrapText="1"/>
    </xf>
    <xf numFmtId="4" fontId="10" fillId="2" borderId="0" xfId="0" applyNumberFormat="1" applyFont="1" applyFill="1" applyBorder="1" applyAlignment="1">
      <alignment horizontal="center" vertical="top"/>
    </xf>
    <xf numFmtId="4" fontId="5" fillId="2" borderId="1" xfId="0" applyNumberFormat="1" applyFont="1" applyFill="1" applyBorder="1" applyAlignment="1">
      <alignment horizontal="center" vertical="center" textRotation="90" wrapText="1"/>
    </xf>
    <xf numFmtId="1" fontId="5" fillId="2" borderId="1" xfId="0" applyNumberFormat="1" applyFont="1" applyFill="1" applyBorder="1" applyAlignment="1">
      <alignment horizontal="center" vertical="center" textRotation="90" wrapText="1"/>
    </xf>
    <xf numFmtId="1" fontId="6" fillId="2" borderId="1" xfId="0" applyNumberFormat="1" applyFont="1" applyFill="1" applyBorder="1" applyAlignment="1">
      <alignment horizontal="center" vertical="center" textRotation="90" wrapText="1"/>
    </xf>
    <xf numFmtId="4" fontId="5" fillId="2" borderId="3" xfId="0" applyNumberFormat="1" applyFont="1" applyFill="1" applyBorder="1" applyAlignment="1">
      <alignment horizontal="center" vertical="center" textRotation="90" wrapText="1"/>
    </xf>
    <xf numFmtId="4" fontId="5" fillId="2" borderId="7" xfId="0" applyNumberFormat="1" applyFont="1" applyFill="1" applyBorder="1" applyAlignment="1">
      <alignment horizontal="center" vertical="center" textRotation="90" wrapText="1"/>
    </xf>
    <xf numFmtId="4" fontId="5" fillId="2" borderId="2" xfId="0" applyNumberFormat="1" applyFont="1" applyFill="1" applyBorder="1" applyAlignment="1">
      <alignment horizontal="center" vertical="center" textRotation="90" wrapText="1"/>
    </xf>
    <xf numFmtId="4"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textRotation="90" wrapText="1"/>
    </xf>
    <xf numFmtId="4" fontId="1" fillId="2" borderId="1" xfId="0" applyNumberFormat="1" applyFont="1" applyFill="1" applyBorder="1" applyAlignment="1" applyProtection="1">
      <alignment horizontal="left" vertical="top" wrapText="1"/>
      <protection locked="0"/>
    </xf>
    <xf numFmtId="4" fontId="1" fillId="2" borderId="1" xfId="0" applyNumberFormat="1" applyFont="1" applyFill="1" applyBorder="1" applyAlignment="1" applyProtection="1">
      <alignment vertical="top" wrapText="1"/>
      <protection locked="0"/>
    </xf>
    <xf numFmtId="3" fontId="1" fillId="2" borderId="1" xfId="0" applyNumberFormat="1" applyFont="1" applyFill="1" applyBorder="1" applyAlignment="1" applyProtection="1">
      <alignment horizontal="left" vertical="top" wrapText="1"/>
      <protection locked="0"/>
    </xf>
    <xf numFmtId="4" fontId="1" fillId="2" borderId="4" xfId="0" applyNumberFormat="1" applyFont="1" applyFill="1" applyBorder="1" applyAlignment="1">
      <alignment vertical="top" wrapText="1"/>
    </xf>
    <xf numFmtId="4" fontId="1" fillId="2" borderId="5" xfId="0" applyNumberFormat="1" applyFont="1" applyFill="1" applyBorder="1" applyAlignment="1">
      <alignment vertical="top" wrapText="1"/>
    </xf>
    <xf numFmtId="4" fontId="1" fillId="2" borderId="6" xfId="0" applyNumberFormat="1"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4" fontId="2" fillId="2" borderId="3"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7" xfId="0" applyFont="1" applyFill="1" applyBorder="1" applyAlignment="1">
      <alignment horizontal="center" wrapText="1"/>
    </xf>
    <xf numFmtId="0" fontId="2" fillId="2" borderId="2" xfId="0" applyFont="1" applyFill="1" applyBorder="1" applyAlignment="1">
      <alignment horizontal="center" wrapText="1"/>
    </xf>
    <xf numFmtId="1" fontId="2" fillId="2" borderId="2"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1" fillId="2" borderId="7"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3" fontId="1" fillId="2" borderId="3"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2" borderId="3"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2" fillId="2" borderId="3"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5" fillId="2" borderId="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2" borderId="3"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2" fillId="2" borderId="1" xfId="0" applyFont="1" applyFill="1" applyBorder="1" applyAlignment="1">
      <alignment vertical="center" wrapText="1"/>
    </xf>
    <xf numFmtId="0" fontId="2" fillId="2" borderId="2" xfId="0" applyFont="1" applyFill="1" applyBorder="1" applyAlignment="1">
      <alignment horizontal="right" vertical="center" wrapText="1"/>
    </xf>
    <xf numFmtId="0" fontId="6" fillId="2" borderId="0" xfId="0" applyFont="1" applyFill="1" applyBorder="1" applyAlignment="1">
      <alignment horizontal="justify" vertical="top" wrapText="1"/>
    </xf>
    <xf numFmtId="0" fontId="2" fillId="2" borderId="1" xfId="0" applyFont="1" applyFill="1" applyBorder="1" applyAlignment="1">
      <alignment horizontal="righ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1" fillId="2" borderId="0" xfId="0" applyFont="1" applyFill="1" applyAlignment="1">
      <alignment horizontal="center" wrapText="1"/>
    </xf>
    <xf numFmtId="0" fontId="1" fillId="2" borderId="12" xfId="0" applyFont="1" applyFill="1" applyBorder="1" applyAlignment="1" applyProtection="1">
      <alignment horizontal="left" vertical="center" wrapText="1"/>
      <protection locked="0"/>
    </xf>
    <xf numFmtId="0" fontId="1" fillId="2" borderId="1"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8" xfId="0" applyNumberFormat="1"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left" vertical="center" wrapText="1"/>
    </xf>
    <xf numFmtId="0" fontId="1" fillId="2" borderId="7"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4" fontId="2" fillId="2" borderId="10"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4" fontId="2" fillId="2" borderId="3" xfId="0" applyNumberFormat="1" applyFont="1" applyFill="1" applyBorder="1" applyAlignment="1">
      <alignment horizontal="left" vertical="center" wrapText="1"/>
    </xf>
    <xf numFmtId="4" fontId="2" fillId="2" borderId="7" xfId="0" applyNumberFormat="1" applyFont="1" applyFill="1" applyBorder="1" applyAlignment="1">
      <alignment horizontal="left" vertical="center" wrapText="1"/>
    </xf>
    <xf numFmtId="4" fontId="2" fillId="2" borderId="2" xfId="0" applyNumberFormat="1" applyFont="1" applyFill="1" applyBorder="1" applyAlignment="1">
      <alignment horizontal="left" vertical="center" wrapText="1"/>
    </xf>
    <xf numFmtId="0" fontId="6" fillId="2" borderId="0" xfId="0" applyFont="1" applyFill="1" applyBorder="1" applyAlignment="1">
      <alignment horizontal="justify" vertical="center" wrapText="1"/>
    </xf>
  </cellXfs>
  <cellStyles count="4">
    <cellStyle name="Обычный" xfId="0" builtinId="0"/>
    <cellStyle name="Обычный 2" xfId="1"/>
    <cellStyle name="Финансовый" xfId="3" builtin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4"/>
  <sheetViews>
    <sheetView tabSelected="1" view="pageBreakPreview" zoomScale="80" zoomScaleNormal="75" zoomScaleSheetLayoutView="80" workbookViewId="0">
      <pane xSplit="4" ySplit="8" topLeftCell="E9" activePane="bottomRight" state="frozen"/>
      <selection pane="topRight" activeCell="E1" sqref="E1"/>
      <selection pane="bottomLeft" activeCell="A9" sqref="A9"/>
      <selection pane="bottomRight" activeCell="A9" sqref="A9"/>
    </sheetView>
  </sheetViews>
  <sheetFormatPr defaultColWidth="9.1796875" defaultRowHeight="15.5" x14ac:dyDescent="0.35"/>
  <cols>
    <col min="1" max="1" width="9.453125" style="89" customWidth="1"/>
    <col min="2" max="2" width="9.54296875" style="89" customWidth="1"/>
    <col min="3" max="3" width="48" style="24" customWidth="1"/>
    <col min="4" max="4" width="7.81640625" style="90" customWidth="1"/>
    <col min="5" max="5" width="16.7265625" style="87" customWidth="1"/>
    <col min="6" max="6" width="16.1796875" style="87" customWidth="1"/>
    <col min="7" max="7" width="12.81640625" style="87" customWidth="1"/>
    <col min="8" max="8" width="13.453125" style="87" customWidth="1"/>
    <col min="9" max="9" width="9.54296875" style="90" customWidth="1"/>
    <col min="10" max="10" width="17.54296875" style="87" customWidth="1"/>
    <col min="11" max="13" width="12.81640625" style="87" customWidth="1"/>
    <col min="14" max="14" width="17.54296875" style="87" customWidth="1"/>
    <col min="15" max="15" width="18.54296875" style="87" customWidth="1"/>
    <col min="16" max="16" width="13.7265625" style="87" customWidth="1"/>
    <col min="17" max="17" width="10.81640625" style="87" customWidth="1"/>
    <col min="18" max="18" width="11.1796875" style="87" customWidth="1"/>
    <col min="19" max="19" width="9.81640625" style="88" customWidth="1"/>
    <col min="20" max="67" width="12.81640625" style="24" bestFit="1" customWidth="1"/>
    <col min="68" max="68" width="3.54296875" style="24" customWidth="1"/>
    <col min="69" max="69" width="14.26953125" style="24" customWidth="1"/>
    <col min="70" max="86" width="9.26953125" style="24" customWidth="1"/>
    <col min="87" max="181" width="12.81640625" style="24" bestFit="1" customWidth="1"/>
    <col min="182" max="182" width="13.453125" style="24" bestFit="1" customWidth="1"/>
    <col min="183" max="16384" width="9.1796875" style="24"/>
  </cols>
  <sheetData>
    <row r="1" spans="1:26" s="107" customFormat="1" ht="103.5" customHeight="1" x14ac:dyDescent="0.35">
      <c r="A1" s="203"/>
      <c r="B1" s="171"/>
      <c r="C1" s="204"/>
      <c r="D1" s="204"/>
      <c r="E1" s="204"/>
      <c r="F1" s="204"/>
      <c r="G1" s="204"/>
      <c r="H1" s="204"/>
      <c r="I1" s="204"/>
      <c r="J1" s="204"/>
      <c r="K1" s="204"/>
      <c r="L1" s="204"/>
      <c r="M1" s="204"/>
      <c r="N1" s="204"/>
      <c r="O1" s="225" t="s">
        <v>814</v>
      </c>
      <c r="P1" s="225"/>
      <c r="Q1" s="225"/>
      <c r="R1" s="225"/>
      <c r="S1" s="225"/>
      <c r="T1" s="205"/>
      <c r="U1" s="205"/>
    </row>
    <row r="2" spans="1:26" s="107" customFormat="1" ht="18" customHeight="1" x14ac:dyDescent="0.35">
      <c r="A2" s="226" t="s">
        <v>813</v>
      </c>
      <c r="B2" s="226"/>
      <c r="C2" s="226"/>
      <c r="D2" s="226"/>
      <c r="E2" s="226"/>
      <c r="F2" s="226"/>
      <c r="G2" s="226"/>
      <c r="H2" s="226"/>
      <c r="I2" s="226"/>
      <c r="J2" s="226"/>
      <c r="K2" s="226"/>
      <c r="L2" s="226"/>
      <c r="M2" s="226"/>
      <c r="N2" s="226"/>
      <c r="O2" s="226"/>
      <c r="P2" s="226"/>
      <c r="Q2" s="226"/>
      <c r="R2" s="226"/>
      <c r="S2" s="226"/>
      <c r="T2" s="206"/>
      <c r="U2" s="206"/>
      <c r="V2" s="206"/>
      <c r="W2" s="206"/>
      <c r="Y2" s="205"/>
      <c r="Z2" s="205"/>
    </row>
    <row r="3" spans="1:26" ht="35.25" customHeight="1" x14ac:dyDescent="0.35">
      <c r="A3" s="235" t="s">
        <v>31</v>
      </c>
      <c r="B3" s="235"/>
      <c r="C3" s="235"/>
      <c r="D3" s="235"/>
      <c r="E3" s="236"/>
      <c r="F3" s="236"/>
      <c r="G3" s="235"/>
      <c r="H3" s="235"/>
      <c r="I3" s="235"/>
      <c r="J3" s="235"/>
      <c r="K3" s="235"/>
      <c r="L3" s="235"/>
      <c r="M3" s="235"/>
      <c r="N3" s="235"/>
      <c r="O3" s="235"/>
      <c r="P3" s="235"/>
      <c r="Q3" s="235"/>
      <c r="R3" s="235"/>
    </row>
    <row r="4" spans="1:26" x14ac:dyDescent="0.35">
      <c r="A4" s="230" t="s">
        <v>0</v>
      </c>
      <c r="B4" s="239" t="s">
        <v>32</v>
      </c>
      <c r="C4" s="243" t="s">
        <v>1</v>
      </c>
      <c r="D4" s="237" t="s">
        <v>58</v>
      </c>
      <c r="E4" s="240" t="s">
        <v>802</v>
      </c>
      <c r="F4" s="237" t="s">
        <v>803</v>
      </c>
      <c r="G4" s="237" t="s">
        <v>3</v>
      </c>
      <c r="H4" s="237" t="s">
        <v>59</v>
      </c>
      <c r="I4" s="238" t="s">
        <v>18</v>
      </c>
      <c r="J4" s="243" t="s">
        <v>4</v>
      </c>
      <c r="K4" s="243"/>
      <c r="L4" s="243"/>
      <c r="M4" s="243"/>
      <c r="N4" s="243"/>
      <c r="O4" s="243"/>
      <c r="P4" s="237" t="s">
        <v>810</v>
      </c>
      <c r="Q4" s="237" t="s">
        <v>811</v>
      </c>
      <c r="R4" s="237" t="s">
        <v>5</v>
      </c>
      <c r="S4" s="244" t="s">
        <v>60</v>
      </c>
    </row>
    <row r="5" spans="1:26" ht="15.75" customHeight="1" x14ac:dyDescent="0.35">
      <c r="A5" s="230"/>
      <c r="B5" s="239"/>
      <c r="C5" s="243"/>
      <c r="D5" s="237"/>
      <c r="E5" s="241"/>
      <c r="F5" s="237"/>
      <c r="G5" s="237"/>
      <c r="H5" s="237"/>
      <c r="I5" s="238"/>
      <c r="J5" s="237" t="s">
        <v>14</v>
      </c>
      <c r="K5" s="243" t="s">
        <v>15</v>
      </c>
      <c r="L5" s="243"/>
      <c r="M5" s="243"/>
      <c r="N5" s="243"/>
      <c r="O5" s="243"/>
      <c r="P5" s="237"/>
      <c r="Q5" s="237"/>
      <c r="R5" s="237"/>
      <c r="S5" s="244"/>
    </row>
    <row r="6" spans="1:26" ht="183.75" customHeight="1" x14ac:dyDescent="0.35">
      <c r="A6" s="230"/>
      <c r="B6" s="239"/>
      <c r="C6" s="243"/>
      <c r="D6" s="237"/>
      <c r="E6" s="241"/>
      <c r="F6" s="237"/>
      <c r="G6" s="237"/>
      <c r="H6" s="237"/>
      <c r="I6" s="238"/>
      <c r="J6" s="237"/>
      <c r="K6" s="112" t="s">
        <v>6</v>
      </c>
      <c r="L6" s="112" t="s">
        <v>7</v>
      </c>
      <c r="M6" s="112" t="s">
        <v>8</v>
      </c>
      <c r="N6" s="112" t="s">
        <v>26</v>
      </c>
      <c r="O6" s="112" t="s">
        <v>27</v>
      </c>
      <c r="P6" s="237"/>
      <c r="Q6" s="237"/>
      <c r="R6" s="237"/>
      <c r="S6" s="244"/>
    </row>
    <row r="7" spans="1:26" x14ac:dyDescent="0.35">
      <c r="A7" s="230"/>
      <c r="B7" s="239"/>
      <c r="C7" s="243"/>
      <c r="D7" s="237"/>
      <c r="E7" s="242"/>
      <c r="F7" s="237"/>
      <c r="G7" s="113" t="s">
        <v>9</v>
      </c>
      <c r="H7" s="113" t="s">
        <v>9</v>
      </c>
      <c r="I7" s="114" t="s">
        <v>10</v>
      </c>
      <c r="J7" s="113" t="s">
        <v>11</v>
      </c>
      <c r="K7" s="113" t="s">
        <v>11</v>
      </c>
      <c r="L7" s="113" t="s">
        <v>11</v>
      </c>
      <c r="M7" s="113" t="s">
        <v>11</v>
      </c>
      <c r="N7" s="113" t="s">
        <v>11</v>
      </c>
      <c r="O7" s="113" t="s">
        <v>11</v>
      </c>
      <c r="P7" s="113" t="s">
        <v>12</v>
      </c>
      <c r="Q7" s="113" t="s">
        <v>12</v>
      </c>
      <c r="R7" s="237"/>
      <c r="S7" s="244"/>
    </row>
    <row r="8" spans="1:26" x14ac:dyDescent="0.35">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row>
    <row r="9" spans="1:26" ht="15.75" customHeight="1" x14ac:dyDescent="0.35">
      <c r="A9" s="18" t="s">
        <v>28</v>
      </c>
      <c r="B9" s="18"/>
      <c r="C9" s="19"/>
      <c r="D9" s="18"/>
      <c r="E9" s="19"/>
      <c r="F9" s="19"/>
      <c r="G9" s="19"/>
      <c r="H9" s="19"/>
      <c r="I9" s="18"/>
      <c r="J9" s="19"/>
      <c r="K9" s="19"/>
      <c r="L9" s="19"/>
      <c r="M9" s="19"/>
      <c r="N9" s="19"/>
      <c r="O9" s="19"/>
      <c r="P9" s="19"/>
      <c r="Q9" s="19"/>
      <c r="R9" s="19"/>
      <c r="S9" s="20"/>
    </row>
    <row r="10" spans="1:26" ht="15.75" customHeight="1" x14ac:dyDescent="0.35">
      <c r="A10" s="231" t="s">
        <v>51</v>
      </c>
      <c r="B10" s="231"/>
      <c r="C10" s="231"/>
      <c r="D10" s="23" t="s">
        <v>13</v>
      </c>
      <c r="E10" s="22" t="s">
        <v>13</v>
      </c>
      <c r="F10" s="22" t="s">
        <v>13</v>
      </c>
      <c r="G10" s="22">
        <f t="shared" ref="G10:O10" si="0">G11+G14+G28+G32+G35+G85+G102+G263+G265+G269+G272+G291+G294+G297+G300+G303+G314+G316</f>
        <v>1021195.38</v>
      </c>
      <c r="H10" s="22">
        <f t="shared" si="0"/>
        <v>860470.56</v>
      </c>
      <c r="I10" s="26">
        <f t="shared" si="0"/>
        <v>37479</v>
      </c>
      <c r="J10" s="22">
        <f t="shared" si="0"/>
        <v>893868402.92999995</v>
      </c>
      <c r="K10" s="22">
        <f t="shared" si="0"/>
        <v>0</v>
      </c>
      <c r="L10" s="22">
        <f t="shared" si="0"/>
        <v>0</v>
      </c>
      <c r="M10" s="22">
        <f t="shared" si="0"/>
        <v>0</v>
      </c>
      <c r="N10" s="22">
        <f t="shared" si="0"/>
        <v>862777258.37</v>
      </c>
      <c r="O10" s="22">
        <f t="shared" si="0"/>
        <v>31091144.559999999</v>
      </c>
      <c r="P10" s="22" t="s">
        <v>13</v>
      </c>
      <c r="Q10" s="22" t="s">
        <v>13</v>
      </c>
      <c r="R10" s="22" t="s">
        <v>13</v>
      </c>
      <c r="S10" s="26" t="s">
        <v>13</v>
      </c>
    </row>
    <row r="11" spans="1:26" s="21" customFormat="1" ht="15.75" customHeight="1" x14ac:dyDescent="0.35">
      <c r="A11" s="231" t="s">
        <v>16</v>
      </c>
      <c r="B11" s="231"/>
      <c r="C11" s="231"/>
      <c r="D11" s="23" t="s">
        <v>13</v>
      </c>
      <c r="E11" s="22" t="s">
        <v>13</v>
      </c>
      <c r="F11" s="22" t="s">
        <v>13</v>
      </c>
      <c r="G11" s="22">
        <f>G12+G13</f>
        <v>1124.5</v>
      </c>
      <c r="H11" s="22">
        <f t="shared" ref="H11:O11" si="1">H12+H13</f>
        <v>1011.4</v>
      </c>
      <c r="I11" s="26">
        <f t="shared" si="1"/>
        <v>51</v>
      </c>
      <c r="J11" s="22">
        <f t="shared" si="1"/>
        <v>1910632</v>
      </c>
      <c r="K11" s="22">
        <f t="shared" si="1"/>
        <v>0</v>
      </c>
      <c r="L11" s="22">
        <f t="shared" si="1"/>
        <v>0</v>
      </c>
      <c r="M11" s="22">
        <f t="shared" si="1"/>
        <v>0</v>
      </c>
      <c r="N11" s="22">
        <f t="shared" si="1"/>
        <v>1831397.95</v>
      </c>
      <c r="O11" s="22">
        <f t="shared" si="1"/>
        <v>79234.05</v>
      </c>
      <c r="P11" s="22" t="s">
        <v>13</v>
      </c>
      <c r="Q11" s="22" t="s">
        <v>13</v>
      </c>
      <c r="R11" s="22" t="s">
        <v>13</v>
      </c>
      <c r="S11" s="26" t="s">
        <v>13</v>
      </c>
      <c r="T11" s="24"/>
    </row>
    <row r="12" spans="1:26" s="21" customFormat="1" ht="15.75" customHeight="1" x14ac:dyDescent="0.35">
      <c r="A12" s="11">
        <v>1</v>
      </c>
      <c r="B12" s="110">
        <v>4743</v>
      </c>
      <c r="C12" s="76" t="s">
        <v>154</v>
      </c>
      <c r="D12" s="145">
        <v>1973</v>
      </c>
      <c r="E12" s="44" t="s">
        <v>75</v>
      </c>
      <c r="F12" s="96" t="s">
        <v>155</v>
      </c>
      <c r="G12" s="22">
        <v>540.4</v>
      </c>
      <c r="H12" s="22">
        <v>498</v>
      </c>
      <c r="I12" s="26">
        <v>30</v>
      </c>
      <c r="J12" s="22">
        <f>'Форма 2'!I7</f>
        <v>88146</v>
      </c>
      <c r="K12" s="22">
        <v>0</v>
      </c>
      <c r="L12" s="22">
        <v>0</v>
      </c>
      <c r="M12" s="22">
        <v>0</v>
      </c>
      <c r="N12" s="22">
        <f>J12-K12-L12-M12-O12</f>
        <v>83500.63</v>
      </c>
      <c r="O12" s="22">
        <v>4645.37</v>
      </c>
      <c r="P12" s="22">
        <f>J12/H12</f>
        <v>177</v>
      </c>
      <c r="Q12" s="22">
        <f>'Форма 2'!K7</f>
        <v>177</v>
      </c>
      <c r="R12" s="34" t="s">
        <v>156</v>
      </c>
      <c r="S12" s="172">
        <v>1</v>
      </c>
      <c r="T12" s="24"/>
    </row>
    <row r="13" spans="1:26" s="21" customFormat="1" ht="15.75" customHeight="1" x14ac:dyDescent="0.35">
      <c r="A13" s="11">
        <f>A12+1</f>
        <v>2</v>
      </c>
      <c r="B13" s="110">
        <v>4745</v>
      </c>
      <c r="C13" s="76" t="s">
        <v>157</v>
      </c>
      <c r="D13" s="145">
        <v>1973</v>
      </c>
      <c r="E13" s="44" t="s">
        <v>75</v>
      </c>
      <c r="F13" s="96" t="s">
        <v>158</v>
      </c>
      <c r="G13" s="22">
        <v>584.1</v>
      </c>
      <c r="H13" s="22">
        <v>513.4</v>
      </c>
      <c r="I13" s="26">
        <v>21</v>
      </c>
      <c r="J13" s="22">
        <f>'Форма 2'!I9</f>
        <v>1822486</v>
      </c>
      <c r="K13" s="22">
        <v>0</v>
      </c>
      <c r="L13" s="22">
        <v>0</v>
      </c>
      <c r="M13" s="22">
        <v>0</v>
      </c>
      <c r="N13" s="22">
        <f>J13-K13-L13-M13-O13</f>
        <v>1747897.32</v>
      </c>
      <c r="O13" s="22">
        <v>74588.679999999993</v>
      </c>
      <c r="P13" s="22">
        <f>J13/H13</f>
        <v>3549.84</v>
      </c>
      <c r="Q13" s="22">
        <f>'Форма 2'!K9</f>
        <v>7539</v>
      </c>
      <c r="R13" s="34" t="s">
        <v>156</v>
      </c>
      <c r="S13" s="172">
        <v>1</v>
      </c>
      <c r="T13" s="24"/>
    </row>
    <row r="14" spans="1:26" s="21" customFormat="1" ht="15.75" customHeight="1" x14ac:dyDescent="0.35">
      <c r="A14" s="224" t="s">
        <v>33</v>
      </c>
      <c r="B14" s="224"/>
      <c r="C14" s="224"/>
      <c r="D14" s="23" t="s">
        <v>13</v>
      </c>
      <c r="E14" s="22" t="s">
        <v>13</v>
      </c>
      <c r="F14" s="22" t="s">
        <v>13</v>
      </c>
      <c r="G14" s="22">
        <f>SUM(G15:G27)</f>
        <v>23771.43</v>
      </c>
      <c r="H14" s="22">
        <f t="shared" ref="H14:O14" si="2">SUM(H15:H27)</f>
        <v>17526.62</v>
      </c>
      <c r="I14" s="26">
        <f t="shared" si="2"/>
        <v>732</v>
      </c>
      <c r="J14" s="22">
        <f t="shared" si="2"/>
        <v>25094106.350000001</v>
      </c>
      <c r="K14" s="22">
        <f t="shared" si="2"/>
        <v>0</v>
      </c>
      <c r="L14" s="22">
        <f t="shared" si="2"/>
        <v>0</v>
      </c>
      <c r="M14" s="22">
        <f t="shared" si="2"/>
        <v>0</v>
      </c>
      <c r="N14" s="22">
        <f t="shared" si="2"/>
        <v>24279313.399999999</v>
      </c>
      <c r="O14" s="22">
        <f t="shared" si="2"/>
        <v>814792.95</v>
      </c>
      <c r="P14" s="22" t="s">
        <v>13</v>
      </c>
      <c r="Q14" s="22" t="s">
        <v>13</v>
      </c>
      <c r="R14" s="22" t="s">
        <v>13</v>
      </c>
      <c r="S14" s="26" t="s">
        <v>13</v>
      </c>
      <c r="T14" s="24"/>
    </row>
    <row r="15" spans="1:26" s="45" customFormat="1" ht="15.75" customHeight="1" x14ac:dyDescent="0.35">
      <c r="A15" s="124">
        <v>1</v>
      </c>
      <c r="B15" s="120">
        <v>4395</v>
      </c>
      <c r="C15" s="82" t="s">
        <v>159</v>
      </c>
      <c r="D15" s="77">
        <v>1984</v>
      </c>
      <c r="E15" s="44" t="s">
        <v>75</v>
      </c>
      <c r="F15" s="44" t="s">
        <v>155</v>
      </c>
      <c r="G15" s="78">
        <v>1353.3</v>
      </c>
      <c r="H15" s="78">
        <v>846</v>
      </c>
      <c r="I15" s="98">
        <v>19</v>
      </c>
      <c r="J15" s="58">
        <f>'Форма 2'!I13</f>
        <v>85404.68</v>
      </c>
      <c r="K15" s="22">
        <v>0</v>
      </c>
      <c r="L15" s="22">
        <v>0</v>
      </c>
      <c r="M15" s="22">
        <v>0</v>
      </c>
      <c r="N15" s="22">
        <f>J15-K15-L15-M15-O15</f>
        <v>79190.23</v>
      </c>
      <c r="O15" s="22">
        <v>6214.45</v>
      </c>
      <c r="P15" s="58">
        <f t="shared" ref="P15:P27" si="3">J15/H15</f>
        <v>100.95</v>
      </c>
      <c r="Q15" s="22">
        <f>'Форма 2'!K14</f>
        <v>178</v>
      </c>
      <c r="R15" s="34" t="s">
        <v>156</v>
      </c>
      <c r="S15" s="172">
        <v>1</v>
      </c>
      <c r="T15" s="24"/>
    </row>
    <row r="16" spans="1:26" s="45" customFormat="1" ht="15.75" customHeight="1" x14ac:dyDescent="0.35">
      <c r="A16" s="124">
        <f>A15+1</f>
        <v>2</v>
      </c>
      <c r="B16" s="120">
        <v>4504</v>
      </c>
      <c r="C16" s="82" t="s">
        <v>160</v>
      </c>
      <c r="D16" s="77">
        <v>1962</v>
      </c>
      <c r="E16" s="44" t="s">
        <v>75</v>
      </c>
      <c r="F16" s="44" t="s">
        <v>158</v>
      </c>
      <c r="G16" s="78">
        <v>1413.1</v>
      </c>
      <c r="H16" s="78">
        <v>988.9</v>
      </c>
      <c r="I16" s="98">
        <v>33</v>
      </c>
      <c r="J16" s="58">
        <f>'Форма 2'!I15</f>
        <v>5224890.63</v>
      </c>
      <c r="K16" s="22">
        <v>0</v>
      </c>
      <c r="L16" s="22">
        <v>0</v>
      </c>
      <c r="M16" s="22">
        <v>0</v>
      </c>
      <c r="N16" s="22">
        <f t="shared" ref="N16:N27" si="4">J16-K16-L16-M16-O16</f>
        <v>5072239.8099999996</v>
      </c>
      <c r="O16" s="22">
        <v>152650.82</v>
      </c>
      <c r="P16" s="58">
        <f t="shared" si="3"/>
        <v>5283.54</v>
      </c>
      <c r="Q16" s="22">
        <f>'Форма 2'!K15</f>
        <v>7066</v>
      </c>
      <c r="R16" s="34" t="s">
        <v>156</v>
      </c>
      <c r="S16" s="172">
        <v>1</v>
      </c>
      <c r="T16" s="24"/>
    </row>
    <row r="17" spans="1:20" s="45" customFormat="1" ht="15.75" customHeight="1" x14ac:dyDescent="0.35">
      <c r="A17" s="124">
        <f t="shared" ref="A17:A27" si="5">A16+1</f>
        <v>3</v>
      </c>
      <c r="B17" s="120">
        <v>4559</v>
      </c>
      <c r="C17" s="82" t="s">
        <v>161</v>
      </c>
      <c r="D17" s="77">
        <v>1972</v>
      </c>
      <c r="E17" s="44" t="s">
        <v>75</v>
      </c>
      <c r="F17" s="44" t="s">
        <v>158</v>
      </c>
      <c r="G17" s="78">
        <v>973</v>
      </c>
      <c r="H17" s="78">
        <v>887.4</v>
      </c>
      <c r="I17" s="98">
        <v>36</v>
      </c>
      <c r="J17" s="58">
        <f>'Форма 2'!I18</f>
        <v>3994513.54</v>
      </c>
      <c r="K17" s="22">
        <v>0</v>
      </c>
      <c r="L17" s="22">
        <v>0</v>
      </c>
      <c r="M17" s="22">
        <v>0</v>
      </c>
      <c r="N17" s="22">
        <f t="shared" si="4"/>
        <v>3862092.68</v>
      </c>
      <c r="O17" s="22">
        <v>132420.85999999999</v>
      </c>
      <c r="P17" s="58">
        <f t="shared" si="3"/>
        <v>4501.37</v>
      </c>
      <c r="Q17" s="22">
        <f>'Форма 2'!K18</f>
        <v>7066</v>
      </c>
      <c r="R17" s="34" t="s">
        <v>156</v>
      </c>
      <c r="S17" s="172">
        <v>1</v>
      </c>
      <c r="T17" s="24"/>
    </row>
    <row r="18" spans="1:20" s="45" customFormat="1" ht="15.75" customHeight="1" x14ac:dyDescent="0.35">
      <c r="A18" s="124">
        <f t="shared" si="5"/>
        <v>4</v>
      </c>
      <c r="B18" s="120">
        <v>4560</v>
      </c>
      <c r="C18" s="82" t="s">
        <v>162</v>
      </c>
      <c r="D18" s="77">
        <v>1981</v>
      </c>
      <c r="E18" s="44" t="s">
        <v>75</v>
      </c>
      <c r="F18" s="44" t="s">
        <v>163</v>
      </c>
      <c r="G18" s="78">
        <v>2287.61</v>
      </c>
      <c r="H18" s="78">
        <v>1535.88</v>
      </c>
      <c r="I18" s="98">
        <v>32</v>
      </c>
      <c r="J18" s="58">
        <f>'Форма 2'!I21</f>
        <v>2306895.33</v>
      </c>
      <c r="K18" s="22">
        <v>0</v>
      </c>
      <c r="L18" s="22">
        <v>0</v>
      </c>
      <c r="M18" s="22">
        <v>0</v>
      </c>
      <c r="N18" s="22">
        <f t="shared" si="4"/>
        <v>2235702.94</v>
      </c>
      <c r="O18" s="22">
        <v>71192.39</v>
      </c>
      <c r="P18" s="58">
        <f t="shared" si="3"/>
        <v>1502</v>
      </c>
      <c r="Q18" s="22">
        <f>'Форма 2'!K21</f>
        <v>4793</v>
      </c>
      <c r="R18" s="34" t="s">
        <v>164</v>
      </c>
      <c r="S18" s="172">
        <v>1</v>
      </c>
      <c r="T18" s="24"/>
    </row>
    <row r="19" spans="1:20" s="45" customFormat="1" ht="15.75" customHeight="1" x14ac:dyDescent="0.35">
      <c r="A19" s="124">
        <f t="shared" si="5"/>
        <v>5</v>
      </c>
      <c r="B19" s="120">
        <v>4405</v>
      </c>
      <c r="C19" s="82" t="s">
        <v>165</v>
      </c>
      <c r="D19" s="77">
        <v>1988</v>
      </c>
      <c r="E19" s="44" t="s">
        <v>75</v>
      </c>
      <c r="F19" s="44" t="s">
        <v>155</v>
      </c>
      <c r="G19" s="78">
        <v>2594.37</v>
      </c>
      <c r="H19" s="78">
        <v>1765.93</v>
      </c>
      <c r="I19" s="98">
        <v>47</v>
      </c>
      <c r="J19" s="58">
        <f>'Форма 2'!I24</f>
        <v>155158.57</v>
      </c>
      <c r="K19" s="22">
        <v>0</v>
      </c>
      <c r="L19" s="22">
        <v>0</v>
      </c>
      <c r="M19" s="22">
        <v>0</v>
      </c>
      <c r="N19" s="22">
        <f t="shared" si="4"/>
        <v>144379.65</v>
      </c>
      <c r="O19" s="22">
        <v>10778.92</v>
      </c>
      <c r="P19" s="58">
        <f t="shared" si="3"/>
        <v>87.86</v>
      </c>
      <c r="Q19" s="22">
        <f>'Форма 2'!K24</f>
        <v>164</v>
      </c>
      <c r="R19" s="34" t="s">
        <v>156</v>
      </c>
      <c r="S19" s="172">
        <v>1</v>
      </c>
      <c r="T19" s="24"/>
    </row>
    <row r="20" spans="1:20" s="45" customFormat="1" ht="15.75" customHeight="1" x14ac:dyDescent="0.35">
      <c r="A20" s="124">
        <f t="shared" si="5"/>
        <v>6</v>
      </c>
      <c r="B20" s="120">
        <v>4569</v>
      </c>
      <c r="C20" s="82" t="s">
        <v>166</v>
      </c>
      <c r="D20" s="77">
        <v>1981</v>
      </c>
      <c r="E20" s="44" t="s">
        <v>75</v>
      </c>
      <c r="F20" s="44" t="s">
        <v>155</v>
      </c>
      <c r="G20" s="78">
        <v>5453.35</v>
      </c>
      <c r="H20" s="78">
        <v>4033.01</v>
      </c>
      <c r="I20" s="98">
        <v>169</v>
      </c>
      <c r="J20" s="58">
        <f>'Форма 2'!I26</f>
        <v>259929.11</v>
      </c>
      <c r="K20" s="22">
        <v>0</v>
      </c>
      <c r="L20" s="22">
        <v>0</v>
      </c>
      <c r="M20" s="22">
        <v>0</v>
      </c>
      <c r="N20" s="22">
        <f t="shared" si="4"/>
        <v>238118.41</v>
      </c>
      <c r="O20" s="22">
        <v>21810.7</v>
      </c>
      <c r="P20" s="58">
        <f t="shared" si="3"/>
        <v>64.45</v>
      </c>
      <c r="Q20" s="22">
        <f>'Форма 2'!K26</f>
        <v>164</v>
      </c>
      <c r="R20" s="34" t="s">
        <v>156</v>
      </c>
      <c r="S20" s="172">
        <v>1</v>
      </c>
      <c r="T20" s="24"/>
    </row>
    <row r="21" spans="1:20" s="45" customFormat="1" ht="15.75" customHeight="1" x14ac:dyDescent="0.35">
      <c r="A21" s="124">
        <f t="shared" si="5"/>
        <v>7</v>
      </c>
      <c r="B21" s="120">
        <v>4590</v>
      </c>
      <c r="C21" s="82" t="s">
        <v>167</v>
      </c>
      <c r="D21" s="77">
        <v>1983</v>
      </c>
      <c r="E21" s="44" t="s">
        <v>75</v>
      </c>
      <c r="F21" s="44" t="s">
        <v>158</v>
      </c>
      <c r="G21" s="78">
        <v>506.7</v>
      </c>
      <c r="H21" s="78">
        <v>429.9</v>
      </c>
      <c r="I21" s="98">
        <v>11</v>
      </c>
      <c r="J21" s="58">
        <f>'Форма 2'!I28</f>
        <v>2389740.4900000002</v>
      </c>
      <c r="K21" s="22">
        <v>0</v>
      </c>
      <c r="L21" s="22">
        <v>0</v>
      </c>
      <c r="M21" s="22">
        <v>0</v>
      </c>
      <c r="N21" s="22">
        <f t="shared" si="4"/>
        <v>2319921.64</v>
      </c>
      <c r="O21" s="22">
        <v>69818.850000000006</v>
      </c>
      <c r="P21" s="58">
        <f t="shared" si="3"/>
        <v>5558.83</v>
      </c>
      <c r="Q21" s="22">
        <f>'Форма 2'!K28</f>
        <v>7066</v>
      </c>
      <c r="R21" s="34" t="s">
        <v>156</v>
      </c>
      <c r="S21" s="172">
        <v>1</v>
      </c>
      <c r="T21" s="24"/>
    </row>
    <row r="22" spans="1:20" s="45" customFormat="1" ht="15.75" customHeight="1" x14ac:dyDescent="0.35">
      <c r="A22" s="124">
        <f t="shared" si="5"/>
        <v>8</v>
      </c>
      <c r="B22" s="120">
        <v>4433</v>
      </c>
      <c r="C22" s="82" t="s">
        <v>168</v>
      </c>
      <c r="D22" s="77">
        <v>1981</v>
      </c>
      <c r="E22" s="44" t="s">
        <v>75</v>
      </c>
      <c r="F22" s="44" t="s">
        <v>158</v>
      </c>
      <c r="G22" s="78">
        <v>544.70000000000005</v>
      </c>
      <c r="H22" s="78">
        <v>493.5</v>
      </c>
      <c r="I22" s="98">
        <v>12</v>
      </c>
      <c r="J22" s="58">
        <f>'Форма 2'!I31</f>
        <v>2209136.2000000002</v>
      </c>
      <c r="K22" s="22">
        <v>0</v>
      </c>
      <c r="L22" s="22">
        <v>0</v>
      </c>
      <c r="M22" s="22">
        <v>0</v>
      </c>
      <c r="N22" s="22">
        <f t="shared" si="4"/>
        <v>2135681.2999999998</v>
      </c>
      <c r="O22" s="22">
        <v>73454.899999999994</v>
      </c>
      <c r="P22" s="58">
        <f t="shared" si="3"/>
        <v>4476.47</v>
      </c>
      <c r="Q22" s="22">
        <f>'Форма 2'!K31</f>
        <v>7066</v>
      </c>
      <c r="R22" s="34" t="s">
        <v>156</v>
      </c>
      <c r="S22" s="172">
        <v>1</v>
      </c>
      <c r="T22" s="24"/>
    </row>
    <row r="23" spans="1:20" s="45" customFormat="1" ht="15.75" customHeight="1" x14ac:dyDescent="0.35">
      <c r="A23" s="124">
        <f t="shared" si="5"/>
        <v>9</v>
      </c>
      <c r="B23" s="120">
        <v>4588</v>
      </c>
      <c r="C23" s="46" t="s">
        <v>169</v>
      </c>
      <c r="D23" s="124">
        <v>1986</v>
      </c>
      <c r="E23" s="44" t="s">
        <v>75</v>
      </c>
      <c r="F23" s="44" t="s">
        <v>158</v>
      </c>
      <c r="G23" s="86">
        <v>596.83000000000004</v>
      </c>
      <c r="H23" s="86">
        <v>517.29999999999995</v>
      </c>
      <c r="I23" s="99">
        <v>18</v>
      </c>
      <c r="J23" s="22">
        <f>'Форма 2'!I34</f>
        <v>2453590.9300000002</v>
      </c>
      <c r="K23" s="22">
        <v>0</v>
      </c>
      <c r="L23" s="22">
        <v>0</v>
      </c>
      <c r="M23" s="22">
        <v>0</v>
      </c>
      <c r="N23" s="22">
        <f t="shared" si="4"/>
        <v>2372007.79</v>
      </c>
      <c r="O23" s="22">
        <v>81583.14</v>
      </c>
      <c r="P23" s="22">
        <f t="shared" si="3"/>
        <v>4743.07</v>
      </c>
      <c r="Q23" s="22">
        <f>'Форма 2'!K34</f>
        <v>7066</v>
      </c>
      <c r="R23" s="34" t="s">
        <v>156</v>
      </c>
      <c r="S23" s="172">
        <v>1</v>
      </c>
      <c r="T23" s="24"/>
    </row>
    <row r="24" spans="1:20" s="45" customFormat="1" ht="15.75" customHeight="1" x14ac:dyDescent="0.35">
      <c r="A24" s="124">
        <f t="shared" si="5"/>
        <v>10</v>
      </c>
      <c r="B24" s="120">
        <v>4589</v>
      </c>
      <c r="C24" s="46" t="s">
        <v>170</v>
      </c>
      <c r="D24" s="124">
        <v>1990</v>
      </c>
      <c r="E24" s="44" t="s">
        <v>75</v>
      </c>
      <c r="F24" s="44" t="s">
        <v>155</v>
      </c>
      <c r="G24" s="86">
        <v>5250.48</v>
      </c>
      <c r="H24" s="86">
        <v>4046.4</v>
      </c>
      <c r="I24" s="99">
        <v>115</v>
      </c>
      <c r="J24" s="22">
        <f>'Форма 2'!I37</f>
        <v>270106.13</v>
      </c>
      <c r="K24" s="22">
        <v>0</v>
      </c>
      <c r="L24" s="22">
        <v>0</v>
      </c>
      <c r="M24" s="22">
        <v>0</v>
      </c>
      <c r="N24" s="22">
        <f t="shared" si="4"/>
        <v>248223.01</v>
      </c>
      <c r="O24" s="22">
        <v>21883.119999999999</v>
      </c>
      <c r="P24" s="22">
        <f t="shared" si="3"/>
        <v>66.75</v>
      </c>
      <c r="Q24" s="22">
        <f>'Форма 2'!K37</f>
        <v>164</v>
      </c>
      <c r="R24" s="34" t="s">
        <v>156</v>
      </c>
      <c r="S24" s="172">
        <v>1</v>
      </c>
      <c r="T24" s="24"/>
    </row>
    <row r="25" spans="1:20" s="45" customFormat="1" ht="15.75" customHeight="1" x14ac:dyDescent="0.35">
      <c r="A25" s="124">
        <f t="shared" si="5"/>
        <v>11</v>
      </c>
      <c r="B25" s="120">
        <v>4540</v>
      </c>
      <c r="C25" s="82" t="s">
        <v>171</v>
      </c>
      <c r="D25" s="124">
        <v>1977</v>
      </c>
      <c r="E25" s="44" t="s">
        <v>75</v>
      </c>
      <c r="F25" s="44" t="s">
        <v>163</v>
      </c>
      <c r="G25" s="86">
        <v>976.94</v>
      </c>
      <c r="H25" s="86">
        <v>892.04</v>
      </c>
      <c r="I25" s="99">
        <v>193</v>
      </c>
      <c r="J25" s="58">
        <f>'Форма 2'!I39</f>
        <v>1942612.46</v>
      </c>
      <c r="K25" s="22">
        <v>0</v>
      </c>
      <c r="L25" s="22">
        <v>0</v>
      </c>
      <c r="M25" s="22">
        <v>0</v>
      </c>
      <c r="N25" s="22">
        <f t="shared" si="4"/>
        <v>1882854.38</v>
      </c>
      <c r="O25" s="22">
        <v>59758.080000000002</v>
      </c>
      <c r="P25" s="58">
        <f t="shared" si="3"/>
        <v>2177.7199999999998</v>
      </c>
      <c r="Q25" s="22">
        <f>'Форма 2'!K39</f>
        <v>7082</v>
      </c>
      <c r="R25" s="34" t="s">
        <v>164</v>
      </c>
      <c r="S25" s="172">
        <v>1</v>
      </c>
      <c r="T25" s="24"/>
    </row>
    <row r="26" spans="1:20" s="45" customFormat="1" ht="15.75" customHeight="1" x14ac:dyDescent="0.35">
      <c r="A26" s="124">
        <f t="shared" si="5"/>
        <v>12</v>
      </c>
      <c r="B26" s="120">
        <v>4625</v>
      </c>
      <c r="C26" s="82" t="s">
        <v>172</v>
      </c>
      <c r="D26" s="124">
        <v>1968</v>
      </c>
      <c r="E26" s="44" t="s">
        <v>75</v>
      </c>
      <c r="F26" s="44" t="s">
        <v>158</v>
      </c>
      <c r="G26" s="86">
        <v>417.38</v>
      </c>
      <c r="H26" s="86">
        <v>368.98</v>
      </c>
      <c r="I26" s="99">
        <v>12</v>
      </c>
      <c r="J26" s="58">
        <f>'Форма 2'!I42</f>
        <v>2215557.98</v>
      </c>
      <c r="K26" s="22">
        <v>0</v>
      </c>
      <c r="L26" s="22">
        <v>0</v>
      </c>
      <c r="M26" s="22">
        <v>0</v>
      </c>
      <c r="N26" s="22">
        <f t="shared" si="4"/>
        <v>2150656.7599999998</v>
      </c>
      <c r="O26" s="22">
        <v>64901.22</v>
      </c>
      <c r="P26" s="58">
        <f t="shared" si="3"/>
        <v>6004.55</v>
      </c>
      <c r="Q26" s="22">
        <f>'Форма 2'!K42</f>
        <v>7066</v>
      </c>
      <c r="R26" s="34" t="s">
        <v>156</v>
      </c>
      <c r="S26" s="172">
        <v>1</v>
      </c>
      <c r="T26" s="24"/>
    </row>
    <row r="27" spans="1:20" s="45" customFormat="1" ht="15.75" customHeight="1" x14ac:dyDescent="0.35">
      <c r="A27" s="124">
        <f t="shared" si="5"/>
        <v>13</v>
      </c>
      <c r="B27" s="120">
        <v>4641</v>
      </c>
      <c r="C27" s="46" t="s">
        <v>173</v>
      </c>
      <c r="D27" s="124">
        <v>1973</v>
      </c>
      <c r="E27" s="44" t="s">
        <v>75</v>
      </c>
      <c r="F27" s="44" t="s">
        <v>163</v>
      </c>
      <c r="G27" s="86">
        <v>1403.67</v>
      </c>
      <c r="H27" s="86">
        <v>721.38</v>
      </c>
      <c r="I27" s="99">
        <v>35</v>
      </c>
      <c r="J27" s="22">
        <f>'Форма 2'!I45</f>
        <v>1586570.3</v>
      </c>
      <c r="K27" s="22">
        <v>0</v>
      </c>
      <c r="L27" s="22">
        <v>0</v>
      </c>
      <c r="M27" s="22">
        <v>0</v>
      </c>
      <c r="N27" s="22">
        <f t="shared" si="4"/>
        <v>1538244.8</v>
      </c>
      <c r="O27" s="22">
        <v>48325.5</v>
      </c>
      <c r="P27" s="22">
        <f t="shared" si="3"/>
        <v>2199.35</v>
      </c>
      <c r="Q27" s="22">
        <f>'Форма 2'!K45</f>
        <v>7082</v>
      </c>
      <c r="R27" s="34" t="s">
        <v>164</v>
      </c>
      <c r="S27" s="172">
        <v>1</v>
      </c>
      <c r="T27" s="24"/>
    </row>
    <row r="28" spans="1:20" ht="15.75" customHeight="1" x14ac:dyDescent="0.35">
      <c r="A28" s="228" t="s">
        <v>35</v>
      </c>
      <c r="B28" s="228"/>
      <c r="C28" s="228"/>
      <c r="D28" s="23" t="s">
        <v>13</v>
      </c>
      <c r="E28" s="22" t="s">
        <v>13</v>
      </c>
      <c r="F28" s="22" t="s">
        <v>13</v>
      </c>
      <c r="G28" s="27">
        <f>SUM(G29:G31)</f>
        <v>2016.4</v>
      </c>
      <c r="H28" s="27">
        <f t="shared" ref="H28:O28" si="6">SUM(H29:H31)</f>
        <v>1873</v>
      </c>
      <c r="I28" s="104">
        <f t="shared" si="6"/>
        <v>128</v>
      </c>
      <c r="J28" s="27">
        <f t="shared" si="6"/>
        <v>4205719.07</v>
      </c>
      <c r="K28" s="27">
        <f t="shared" si="6"/>
        <v>0</v>
      </c>
      <c r="L28" s="27">
        <f t="shared" si="6"/>
        <v>0</v>
      </c>
      <c r="M28" s="27">
        <f t="shared" si="6"/>
        <v>0</v>
      </c>
      <c r="N28" s="27">
        <f t="shared" si="6"/>
        <v>4109838.17</v>
      </c>
      <c r="O28" s="27">
        <f t="shared" si="6"/>
        <v>95880.9</v>
      </c>
      <c r="P28" s="22" t="s">
        <v>13</v>
      </c>
      <c r="Q28" s="22" t="s">
        <v>13</v>
      </c>
      <c r="R28" s="22" t="s">
        <v>13</v>
      </c>
      <c r="S28" s="26" t="s">
        <v>13</v>
      </c>
    </row>
    <row r="29" spans="1:20" ht="15.75" customHeight="1" x14ac:dyDescent="0.35">
      <c r="A29" s="11">
        <v>1</v>
      </c>
      <c r="B29" s="11">
        <v>6680</v>
      </c>
      <c r="C29" s="76" t="s">
        <v>174</v>
      </c>
      <c r="D29" s="145">
        <v>1966</v>
      </c>
      <c r="E29" s="44" t="s">
        <v>75</v>
      </c>
      <c r="F29" s="96" t="s">
        <v>155</v>
      </c>
      <c r="G29" s="22">
        <v>357.9</v>
      </c>
      <c r="H29" s="22">
        <v>329.1</v>
      </c>
      <c r="I29" s="26">
        <v>37</v>
      </c>
      <c r="J29" s="22">
        <f>'Форма 2'!I49</f>
        <v>58250.7</v>
      </c>
      <c r="K29" s="22">
        <v>0</v>
      </c>
      <c r="L29" s="22">
        <v>0</v>
      </c>
      <c r="M29" s="22">
        <v>0</v>
      </c>
      <c r="N29" s="22">
        <f>J29-K29-L29-M29-O29</f>
        <v>56412.72</v>
      </c>
      <c r="O29" s="22">
        <v>1837.98</v>
      </c>
      <c r="P29" s="22">
        <f>J29/H29</f>
        <v>177</v>
      </c>
      <c r="Q29" s="22">
        <f>'Форма 2'!K49</f>
        <v>177</v>
      </c>
      <c r="R29" s="34" t="s">
        <v>156</v>
      </c>
      <c r="S29" s="172">
        <v>1</v>
      </c>
    </row>
    <row r="30" spans="1:20" ht="15.75" customHeight="1" x14ac:dyDescent="0.35">
      <c r="A30" s="11">
        <f>A29+1</f>
        <v>2</v>
      </c>
      <c r="B30" s="11">
        <v>6692</v>
      </c>
      <c r="C30" s="76" t="s">
        <v>175</v>
      </c>
      <c r="D30" s="145">
        <v>1967</v>
      </c>
      <c r="E30" s="44" t="s">
        <v>75</v>
      </c>
      <c r="F30" s="96" t="s">
        <v>155</v>
      </c>
      <c r="G30" s="22">
        <v>356.6</v>
      </c>
      <c r="H30" s="22">
        <v>329.6</v>
      </c>
      <c r="I30" s="26">
        <v>44</v>
      </c>
      <c r="J30" s="22">
        <f>'Форма 2'!I51</f>
        <v>58339.199999999997</v>
      </c>
      <c r="K30" s="22">
        <v>0</v>
      </c>
      <c r="L30" s="22">
        <v>0</v>
      </c>
      <c r="M30" s="22">
        <v>0</v>
      </c>
      <c r="N30" s="22">
        <f>J30-K30-L30-M30-O30</f>
        <v>56498.42</v>
      </c>
      <c r="O30" s="22">
        <v>1840.78</v>
      </c>
      <c r="P30" s="22">
        <f>J30/H30</f>
        <v>177</v>
      </c>
      <c r="Q30" s="22">
        <f>'Форма 2'!K51</f>
        <v>177</v>
      </c>
      <c r="R30" s="34" t="s">
        <v>156</v>
      </c>
      <c r="S30" s="172">
        <v>1</v>
      </c>
    </row>
    <row r="31" spans="1:20" ht="15.75" customHeight="1" x14ac:dyDescent="0.35">
      <c r="A31" s="11">
        <f>A30+1</f>
        <v>3</v>
      </c>
      <c r="B31" s="11">
        <v>6704</v>
      </c>
      <c r="C31" s="76" t="s">
        <v>176</v>
      </c>
      <c r="D31" s="145">
        <v>1996</v>
      </c>
      <c r="E31" s="44" t="s">
        <v>75</v>
      </c>
      <c r="F31" s="96" t="s">
        <v>158</v>
      </c>
      <c r="G31" s="22">
        <v>1301.9000000000001</v>
      </c>
      <c r="H31" s="22">
        <v>1214.3</v>
      </c>
      <c r="I31" s="26">
        <v>47</v>
      </c>
      <c r="J31" s="22">
        <f>'Форма 2'!I53</f>
        <v>4089129.17</v>
      </c>
      <c r="K31" s="22">
        <v>0</v>
      </c>
      <c r="L31" s="22">
        <v>0</v>
      </c>
      <c r="M31" s="22">
        <v>0</v>
      </c>
      <c r="N31" s="22">
        <f>J31-K31-L31-M31-O31</f>
        <v>3996927.03</v>
      </c>
      <c r="O31" s="22">
        <v>92202.14</v>
      </c>
      <c r="P31" s="22">
        <f>J31/H31</f>
        <v>3367.48</v>
      </c>
      <c r="Q31" s="22">
        <f>'Форма 2'!K53</f>
        <v>5354</v>
      </c>
      <c r="R31" s="34" t="s">
        <v>156</v>
      </c>
      <c r="S31" s="172">
        <v>1</v>
      </c>
    </row>
    <row r="32" spans="1:20" ht="15.75" customHeight="1" x14ac:dyDescent="0.35">
      <c r="A32" s="228" t="s">
        <v>38</v>
      </c>
      <c r="B32" s="228"/>
      <c r="C32" s="228"/>
      <c r="D32" s="23" t="s">
        <v>13</v>
      </c>
      <c r="E32" s="22" t="s">
        <v>13</v>
      </c>
      <c r="F32" s="22" t="s">
        <v>13</v>
      </c>
      <c r="G32" s="28">
        <f>SUM(G33:G34)</f>
        <v>1079.0999999999999</v>
      </c>
      <c r="H32" s="28">
        <f t="shared" ref="H32:O32" si="7">SUM(H33:H34)</f>
        <v>958.8</v>
      </c>
      <c r="I32" s="173">
        <f t="shared" si="7"/>
        <v>47</v>
      </c>
      <c r="J32" s="28">
        <f t="shared" si="7"/>
        <v>3338631.39</v>
      </c>
      <c r="K32" s="28">
        <f t="shared" si="7"/>
        <v>0</v>
      </c>
      <c r="L32" s="28">
        <f t="shared" si="7"/>
        <v>0</v>
      </c>
      <c r="M32" s="28">
        <f t="shared" si="7"/>
        <v>0</v>
      </c>
      <c r="N32" s="28">
        <f t="shared" si="7"/>
        <v>3204370.99</v>
      </c>
      <c r="O32" s="28">
        <f t="shared" si="7"/>
        <v>134260.4</v>
      </c>
      <c r="P32" s="22" t="s">
        <v>13</v>
      </c>
      <c r="Q32" s="22" t="s">
        <v>13</v>
      </c>
      <c r="R32" s="22" t="s">
        <v>13</v>
      </c>
      <c r="S32" s="26" t="s">
        <v>13</v>
      </c>
    </row>
    <row r="33" spans="1:20" ht="15.75" customHeight="1" x14ac:dyDescent="0.35">
      <c r="A33" s="11">
        <v>1</v>
      </c>
      <c r="B33" s="11">
        <v>5035</v>
      </c>
      <c r="C33" s="76" t="s">
        <v>177</v>
      </c>
      <c r="D33" s="145">
        <v>1986</v>
      </c>
      <c r="E33" s="44" t="s">
        <v>75</v>
      </c>
      <c r="F33" s="44" t="s">
        <v>158</v>
      </c>
      <c r="G33" s="22">
        <v>532</v>
      </c>
      <c r="H33" s="22">
        <v>473.5</v>
      </c>
      <c r="I33" s="26">
        <v>19</v>
      </c>
      <c r="J33" s="22">
        <f>'Форма 2'!I57</f>
        <v>2178133.5</v>
      </c>
      <c r="K33" s="22">
        <v>0</v>
      </c>
      <c r="L33" s="22">
        <v>0</v>
      </c>
      <c r="M33" s="22">
        <v>0</v>
      </c>
      <c r="N33" s="22">
        <f>J33-K33-L33-M33-O33</f>
        <v>2087545.76</v>
      </c>
      <c r="O33" s="22">
        <v>90587.74</v>
      </c>
      <c r="P33" s="22">
        <f>J33/H33</f>
        <v>4600.07</v>
      </c>
      <c r="Q33" s="22">
        <f>'Форма 2'!K57</f>
        <v>7539</v>
      </c>
      <c r="R33" s="34" t="s">
        <v>156</v>
      </c>
      <c r="S33" s="172">
        <v>1</v>
      </c>
    </row>
    <row r="34" spans="1:20" ht="15.75" customHeight="1" x14ac:dyDescent="0.35">
      <c r="A34" s="11">
        <f>A33+1</f>
        <v>2</v>
      </c>
      <c r="B34" s="11">
        <v>5036</v>
      </c>
      <c r="C34" s="76" t="s">
        <v>178</v>
      </c>
      <c r="D34" s="145">
        <v>1986</v>
      </c>
      <c r="E34" s="44" t="s">
        <v>75</v>
      </c>
      <c r="F34" s="44" t="s">
        <v>163</v>
      </c>
      <c r="G34" s="22">
        <v>547.1</v>
      </c>
      <c r="H34" s="22">
        <v>485.3</v>
      </c>
      <c r="I34" s="26">
        <v>28</v>
      </c>
      <c r="J34" s="22">
        <f>'Форма 2'!I60</f>
        <v>1160497.8899999999</v>
      </c>
      <c r="K34" s="22">
        <v>0</v>
      </c>
      <c r="L34" s="22">
        <v>0</v>
      </c>
      <c r="M34" s="22">
        <v>0</v>
      </c>
      <c r="N34" s="22">
        <f>J34-K34-L34-M34-O34</f>
        <v>1116825.23</v>
      </c>
      <c r="O34" s="22">
        <v>43672.66</v>
      </c>
      <c r="P34" s="22">
        <f>J34/H34</f>
        <v>2391.3000000000002</v>
      </c>
      <c r="Q34" s="22">
        <f>'Форма 2'!K60</f>
        <v>7558</v>
      </c>
      <c r="R34" s="34" t="s">
        <v>164</v>
      </c>
      <c r="S34" s="172">
        <v>1</v>
      </c>
    </row>
    <row r="35" spans="1:20" s="33" customFormat="1" ht="15" customHeight="1" x14ac:dyDescent="0.35">
      <c r="A35" s="223" t="s">
        <v>52</v>
      </c>
      <c r="B35" s="223"/>
      <c r="C35" s="223"/>
      <c r="D35" s="23" t="s">
        <v>13</v>
      </c>
      <c r="E35" s="22" t="s">
        <v>13</v>
      </c>
      <c r="F35" s="22" t="s">
        <v>13</v>
      </c>
      <c r="G35" s="22">
        <f>SUM(G36:G84)</f>
        <v>167123.4</v>
      </c>
      <c r="H35" s="22">
        <f t="shared" ref="H35:O35" si="8">SUM(H36:H84)</f>
        <v>125577.43</v>
      </c>
      <c r="I35" s="26">
        <f t="shared" si="8"/>
        <v>5564</v>
      </c>
      <c r="J35" s="22">
        <f t="shared" si="8"/>
        <v>151519126.25</v>
      </c>
      <c r="K35" s="22">
        <f t="shared" si="8"/>
        <v>0</v>
      </c>
      <c r="L35" s="22">
        <f t="shared" si="8"/>
        <v>0</v>
      </c>
      <c r="M35" s="22">
        <f t="shared" si="8"/>
        <v>0</v>
      </c>
      <c r="N35" s="22">
        <f t="shared" si="8"/>
        <v>146654588.66</v>
      </c>
      <c r="O35" s="22">
        <f t="shared" si="8"/>
        <v>4864537.59</v>
      </c>
      <c r="P35" s="22" t="s">
        <v>13</v>
      </c>
      <c r="Q35" s="22" t="s">
        <v>13</v>
      </c>
      <c r="R35" s="22" t="s">
        <v>13</v>
      </c>
      <c r="S35" s="26" t="s">
        <v>13</v>
      </c>
      <c r="T35" s="24"/>
    </row>
    <row r="36" spans="1:20" s="33" customFormat="1" ht="15.75" customHeight="1" x14ac:dyDescent="0.35">
      <c r="A36" s="11">
        <v>1</v>
      </c>
      <c r="B36" s="11">
        <v>5969</v>
      </c>
      <c r="C36" s="46" t="s">
        <v>179</v>
      </c>
      <c r="D36" s="11">
        <v>1956</v>
      </c>
      <c r="E36" s="118" t="s">
        <v>75</v>
      </c>
      <c r="F36" s="124" t="s">
        <v>158</v>
      </c>
      <c r="G36" s="22">
        <v>5856.2</v>
      </c>
      <c r="H36" s="22">
        <v>4710.6000000000004</v>
      </c>
      <c r="I36" s="26">
        <v>122</v>
      </c>
      <c r="J36" s="22">
        <f>'Форма 2'!I64</f>
        <v>9824964.8800000008</v>
      </c>
      <c r="K36" s="22">
        <v>0</v>
      </c>
      <c r="L36" s="22">
        <v>0</v>
      </c>
      <c r="M36" s="22">
        <v>0</v>
      </c>
      <c r="N36" s="22">
        <f>J36-K36-L36-M36-O36</f>
        <v>9505440.1999999993</v>
      </c>
      <c r="O36" s="22">
        <v>319524.68</v>
      </c>
      <c r="P36" s="22">
        <f t="shared" ref="P36:P84" si="9">J36/H36</f>
        <v>2085.71</v>
      </c>
      <c r="Q36" s="22">
        <f>'Форма 2'!K64</f>
        <v>4728</v>
      </c>
      <c r="R36" s="34" t="s">
        <v>156</v>
      </c>
      <c r="S36" s="172">
        <v>1</v>
      </c>
      <c r="T36" s="24"/>
    </row>
    <row r="37" spans="1:20" s="35" customFormat="1" ht="15.75" customHeight="1" x14ac:dyDescent="0.35">
      <c r="A37" s="11">
        <f>A36+1</f>
        <v>2</v>
      </c>
      <c r="B37" s="11">
        <v>5981</v>
      </c>
      <c r="C37" s="46" t="s">
        <v>180</v>
      </c>
      <c r="D37" s="124">
        <v>1956</v>
      </c>
      <c r="E37" s="118" t="s">
        <v>181</v>
      </c>
      <c r="F37" s="124" t="s">
        <v>163</v>
      </c>
      <c r="G37" s="19">
        <v>3949.1</v>
      </c>
      <c r="H37" s="22">
        <v>3619.5</v>
      </c>
      <c r="I37" s="20">
        <v>133</v>
      </c>
      <c r="J37" s="19">
        <f>'Форма 2'!I67</f>
        <v>3560356.34</v>
      </c>
      <c r="K37" s="19">
        <v>0</v>
      </c>
      <c r="L37" s="22">
        <v>0</v>
      </c>
      <c r="M37" s="22">
        <v>0</v>
      </c>
      <c r="N37" s="22">
        <f t="shared" ref="N37:N84" si="10">J37-K37-L37-M37-O37</f>
        <v>3469523.79</v>
      </c>
      <c r="O37" s="22">
        <v>90832.55</v>
      </c>
      <c r="P37" s="19">
        <f t="shared" si="9"/>
        <v>983.66</v>
      </c>
      <c r="Q37" s="19">
        <f>'Форма 2'!K67</f>
        <v>3121</v>
      </c>
      <c r="R37" s="47" t="s">
        <v>164</v>
      </c>
      <c r="S37" s="174">
        <v>1</v>
      </c>
      <c r="T37" s="24"/>
    </row>
    <row r="38" spans="1:20" s="33" customFormat="1" ht="15.75" customHeight="1" x14ac:dyDescent="0.35">
      <c r="A38" s="11">
        <f t="shared" ref="A38:A84" si="11">A37+1</f>
        <v>3</v>
      </c>
      <c r="B38" s="11">
        <v>5996</v>
      </c>
      <c r="C38" s="46" t="s">
        <v>182</v>
      </c>
      <c r="D38" s="11">
        <v>1955</v>
      </c>
      <c r="E38" s="118" t="s">
        <v>75</v>
      </c>
      <c r="F38" s="124" t="s">
        <v>158</v>
      </c>
      <c r="G38" s="22">
        <v>5062.2</v>
      </c>
      <c r="H38" s="22">
        <v>4076.9</v>
      </c>
      <c r="I38" s="26">
        <v>100</v>
      </c>
      <c r="J38" s="22">
        <f>'Форма 2'!I74</f>
        <v>9245950.6999999993</v>
      </c>
      <c r="K38" s="22">
        <v>0</v>
      </c>
      <c r="L38" s="22">
        <v>0</v>
      </c>
      <c r="M38" s="22">
        <v>0</v>
      </c>
      <c r="N38" s="22">
        <f t="shared" si="10"/>
        <v>8954422.3599999994</v>
      </c>
      <c r="O38" s="22">
        <v>291528.34000000003</v>
      </c>
      <c r="P38" s="22">
        <f t="shared" si="9"/>
        <v>2267.89</v>
      </c>
      <c r="Q38" s="22">
        <f>'Форма 2'!K74</f>
        <v>2831</v>
      </c>
      <c r="R38" s="34" t="s">
        <v>156</v>
      </c>
      <c r="S38" s="172">
        <v>1</v>
      </c>
      <c r="T38" s="24"/>
    </row>
    <row r="39" spans="1:20" s="35" customFormat="1" ht="15.75" customHeight="1" x14ac:dyDescent="0.35">
      <c r="A39" s="11">
        <f t="shared" si="11"/>
        <v>4</v>
      </c>
      <c r="B39" s="11">
        <v>6025</v>
      </c>
      <c r="C39" s="46" t="s">
        <v>183</v>
      </c>
      <c r="D39" s="11">
        <v>1963</v>
      </c>
      <c r="E39" s="118" t="s">
        <v>181</v>
      </c>
      <c r="F39" s="124" t="s">
        <v>158</v>
      </c>
      <c r="G39" s="22">
        <v>5322.5</v>
      </c>
      <c r="H39" s="22">
        <v>3396.7</v>
      </c>
      <c r="I39" s="26">
        <v>132</v>
      </c>
      <c r="J39" s="22">
        <f>'Форма 2'!I77</f>
        <v>8550752.3300000001</v>
      </c>
      <c r="K39" s="22">
        <v>0</v>
      </c>
      <c r="L39" s="22">
        <v>0</v>
      </c>
      <c r="M39" s="22">
        <v>0</v>
      </c>
      <c r="N39" s="22">
        <f t="shared" si="10"/>
        <v>8312025.7400000002</v>
      </c>
      <c r="O39" s="22">
        <v>238726.59</v>
      </c>
      <c r="P39" s="22">
        <f t="shared" si="9"/>
        <v>2517.37</v>
      </c>
      <c r="Q39" s="22">
        <f>'Форма 2'!K77</f>
        <v>3055</v>
      </c>
      <c r="R39" s="34" t="s">
        <v>156</v>
      </c>
      <c r="S39" s="172">
        <v>1</v>
      </c>
      <c r="T39" s="24"/>
    </row>
    <row r="40" spans="1:20" s="33" customFormat="1" ht="16.5" customHeight="1" x14ac:dyDescent="0.35">
      <c r="A40" s="11">
        <f>A39+1</f>
        <v>5</v>
      </c>
      <c r="B40" s="11">
        <v>6042</v>
      </c>
      <c r="C40" s="46" t="s">
        <v>184</v>
      </c>
      <c r="D40" s="11">
        <v>1970</v>
      </c>
      <c r="E40" s="124" t="s">
        <v>185</v>
      </c>
      <c r="F40" s="124" t="s">
        <v>186</v>
      </c>
      <c r="G40" s="19">
        <v>3337.48</v>
      </c>
      <c r="H40" s="22">
        <v>2322.8000000000002</v>
      </c>
      <c r="I40" s="20">
        <v>100</v>
      </c>
      <c r="J40" s="19">
        <f>'Форма 2'!I84</f>
        <v>1733403</v>
      </c>
      <c r="K40" s="19">
        <v>0</v>
      </c>
      <c r="L40" s="19">
        <v>0</v>
      </c>
      <c r="M40" s="19">
        <v>0</v>
      </c>
      <c r="N40" s="19">
        <f t="shared" si="10"/>
        <v>1678096.66</v>
      </c>
      <c r="O40" s="19">
        <v>55306.34</v>
      </c>
      <c r="P40" s="19">
        <f t="shared" si="9"/>
        <v>746.26</v>
      </c>
      <c r="Q40" s="19">
        <f>'Форма 2'!K84</f>
        <v>762</v>
      </c>
      <c r="R40" s="47" t="s">
        <v>156</v>
      </c>
      <c r="S40" s="174">
        <v>1</v>
      </c>
      <c r="T40" s="24"/>
    </row>
    <row r="41" spans="1:20" s="36" customFormat="1" ht="17.25" customHeight="1" x14ac:dyDescent="0.35">
      <c r="A41" s="11">
        <f t="shared" si="11"/>
        <v>6</v>
      </c>
      <c r="B41" s="11">
        <v>5833</v>
      </c>
      <c r="C41" s="46" t="s">
        <v>187</v>
      </c>
      <c r="D41" s="11">
        <v>1957</v>
      </c>
      <c r="E41" s="124" t="s">
        <v>75</v>
      </c>
      <c r="F41" s="124" t="s">
        <v>163</v>
      </c>
      <c r="G41" s="22">
        <v>3792</v>
      </c>
      <c r="H41" s="22">
        <v>2041.3</v>
      </c>
      <c r="I41" s="26">
        <v>73</v>
      </c>
      <c r="J41" s="22">
        <f>'Форма 2'!I88</f>
        <v>3035853.05</v>
      </c>
      <c r="K41" s="22">
        <v>0</v>
      </c>
      <c r="L41" s="22">
        <v>0</v>
      </c>
      <c r="M41" s="22">
        <v>0</v>
      </c>
      <c r="N41" s="22">
        <f t="shared" si="10"/>
        <v>2934001.48</v>
      </c>
      <c r="O41" s="22">
        <v>101851.57</v>
      </c>
      <c r="P41" s="19">
        <f t="shared" si="9"/>
        <v>1487.22</v>
      </c>
      <c r="Q41" s="19">
        <f>'Форма 2'!K88</f>
        <v>4793</v>
      </c>
      <c r="R41" s="47" t="s">
        <v>164</v>
      </c>
      <c r="S41" s="172">
        <v>1</v>
      </c>
      <c r="T41" s="24"/>
    </row>
    <row r="42" spans="1:20" s="33" customFormat="1" ht="15.75" customHeight="1" x14ac:dyDescent="0.35">
      <c r="A42" s="11">
        <f t="shared" si="11"/>
        <v>7</v>
      </c>
      <c r="B42" s="11">
        <v>5842</v>
      </c>
      <c r="C42" s="46" t="s">
        <v>188</v>
      </c>
      <c r="D42" s="11">
        <v>1954</v>
      </c>
      <c r="E42" s="124" t="s">
        <v>75</v>
      </c>
      <c r="F42" s="124" t="s">
        <v>163</v>
      </c>
      <c r="G42" s="22">
        <v>1003.2</v>
      </c>
      <c r="H42" s="22">
        <v>911.5</v>
      </c>
      <c r="I42" s="26">
        <v>45</v>
      </c>
      <c r="J42" s="22">
        <f>'Форма 2'!I91</f>
        <v>2000669.61</v>
      </c>
      <c r="K42" s="22">
        <v>0</v>
      </c>
      <c r="L42" s="22">
        <v>0</v>
      </c>
      <c r="M42" s="22">
        <v>0</v>
      </c>
      <c r="N42" s="22">
        <f t="shared" si="10"/>
        <v>1934346.97</v>
      </c>
      <c r="O42" s="22">
        <v>66322.64</v>
      </c>
      <c r="P42" s="22">
        <f t="shared" si="9"/>
        <v>2194.92</v>
      </c>
      <c r="Q42" s="22">
        <f>'Форма 2'!K91</f>
        <v>7096</v>
      </c>
      <c r="R42" s="47" t="s">
        <v>164</v>
      </c>
      <c r="S42" s="172">
        <v>1</v>
      </c>
      <c r="T42" s="24"/>
    </row>
    <row r="43" spans="1:20" s="33" customFormat="1" ht="47.25" customHeight="1" x14ac:dyDescent="0.35">
      <c r="A43" s="11">
        <f t="shared" si="11"/>
        <v>8</v>
      </c>
      <c r="B43" s="11">
        <v>5862</v>
      </c>
      <c r="C43" s="46" t="s">
        <v>189</v>
      </c>
      <c r="D43" s="11">
        <v>1957</v>
      </c>
      <c r="E43" s="118" t="s">
        <v>806</v>
      </c>
      <c r="F43" s="124" t="s">
        <v>155</v>
      </c>
      <c r="G43" s="22">
        <v>4279</v>
      </c>
      <c r="H43" s="22">
        <v>2376.8000000000002</v>
      </c>
      <c r="I43" s="26">
        <v>103</v>
      </c>
      <c r="J43" s="19">
        <f>'Форма 2'!I94</f>
        <v>315143.13</v>
      </c>
      <c r="K43" s="22">
        <v>0</v>
      </c>
      <c r="L43" s="22">
        <v>0</v>
      </c>
      <c r="M43" s="22">
        <v>0</v>
      </c>
      <c r="N43" s="22">
        <f t="shared" si="10"/>
        <v>303115.81</v>
      </c>
      <c r="O43" s="22">
        <v>12027.32</v>
      </c>
      <c r="P43" s="22">
        <f t="shared" si="9"/>
        <v>132.59</v>
      </c>
      <c r="Q43" s="19">
        <f>'Форма 2'!K94</f>
        <v>226</v>
      </c>
      <c r="R43" s="34" t="s">
        <v>156</v>
      </c>
      <c r="S43" s="172">
        <v>1</v>
      </c>
      <c r="T43" s="24"/>
    </row>
    <row r="44" spans="1:20" s="33" customFormat="1" ht="15.75" customHeight="1" x14ac:dyDescent="0.35">
      <c r="A44" s="11">
        <f t="shared" si="11"/>
        <v>9</v>
      </c>
      <c r="B44" s="11">
        <v>5869</v>
      </c>
      <c r="C44" s="46" t="s">
        <v>191</v>
      </c>
      <c r="D44" s="11">
        <v>1957</v>
      </c>
      <c r="E44" s="118" t="s">
        <v>192</v>
      </c>
      <c r="F44" s="124" t="s">
        <v>793</v>
      </c>
      <c r="G44" s="22">
        <v>3421</v>
      </c>
      <c r="H44" s="22">
        <v>2371.4299999999998</v>
      </c>
      <c r="I44" s="26">
        <v>94</v>
      </c>
      <c r="J44" s="19">
        <f>'Форма 2'!I100</f>
        <v>179497.86</v>
      </c>
      <c r="K44" s="22">
        <v>0</v>
      </c>
      <c r="L44" s="22">
        <v>0</v>
      </c>
      <c r="M44" s="22">
        <v>0</v>
      </c>
      <c r="N44" s="22">
        <f>J44-K44-L44-M44-O44</f>
        <v>179497.86</v>
      </c>
      <c r="O44" s="22">
        <v>0</v>
      </c>
      <c r="P44" s="22">
        <f>J44/H44</f>
        <v>75.69</v>
      </c>
      <c r="Q44" s="19">
        <f>'Форма 2'!K100</f>
        <v>409</v>
      </c>
      <c r="R44" s="34" t="s">
        <v>164</v>
      </c>
      <c r="S44" s="172">
        <v>1</v>
      </c>
      <c r="T44" s="24"/>
    </row>
    <row r="45" spans="1:20" s="33" customFormat="1" ht="15.75" customHeight="1" x14ac:dyDescent="0.35">
      <c r="A45" s="11">
        <f t="shared" si="11"/>
        <v>10</v>
      </c>
      <c r="B45" s="11">
        <v>5874</v>
      </c>
      <c r="C45" s="46" t="s">
        <v>193</v>
      </c>
      <c r="D45" s="11">
        <v>1957</v>
      </c>
      <c r="E45" s="124" t="s">
        <v>75</v>
      </c>
      <c r="F45" s="124" t="s">
        <v>163</v>
      </c>
      <c r="G45" s="22">
        <v>5170</v>
      </c>
      <c r="H45" s="22">
        <v>2947.8</v>
      </c>
      <c r="I45" s="26">
        <v>114</v>
      </c>
      <c r="J45" s="19">
        <f>'Форма 2'!I102</f>
        <v>4335978.1399999997</v>
      </c>
      <c r="K45" s="22">
        <v>0</v>
      </c>
      <c r="L45" s="22">
        <v>0</v>
      </c>
      <c r="M45" s="22">
        <v>0</v>
      </c>
      <c r="N45" s="22">
        <f t="shared" si="10"/>
        <v>4290380.78</v>
      </c>
      <c r="O45" s="22">
        <v>45597.36</v>
      </c>
      <c r="P45" s="22">
        <f t="shared" si="9"/>
        <v>1470.92</v>
      </c>
      <c r="Q45" s="19">
        <f>'Форма 2'!K102</f>
        <v>4793</v>
      </c>
      <c r="R45" s="47" t="s">
        <v>164</v>
      </c>
      <c r="S45" s="172">
        <v>1</v>
      </c>
      <c r="T45" s="24"/>
    </row>
    <row r="46" spans="1:20" s="33" customFormat="1" ht="15.75" customHeight="1" x14ac:dyDescent="0.35">
      <c r="A46" s="11">
        <f t="shared" si="11"/>
        <v>11</v>
      </c>
      <c r="B46" s="11">
        <v>5877</v>
      </c>
      <c r="C46" s="46" t="s">
        <v>194</v>
      </c>
      <c r="D46" s="11">
        <v>1955</v>
      </c>
      <c r="E46" s="118" t="s">
        <v>200</v>
      </c>
      <c r="F46" s="124" t="s">
        <v>155</v>
      </c>
      <c r="G46" s="22">
        <v>977.9</v>
      </c>
      <c r="H46" s="22">
        <v>887.8</v>
      </c>
      <c r="I46" s="26">
        <v>46</v>
      </c>
      <c r="J46" s="19">
        <f>'Форма 2'!I105</f>
        <v>33736.400000000001</v>
      </c>
      <c r="K46" s="22">
        <v>0</v>
      </c>
      <c r="L46" s="22">
        <v>0</v>
      </c>
      <c r="M46" s="22">
        <v>0</v>
      </c>
      <c r="N46" s="22">
        <f t="shared" si="10"/>
        <v>0</v>
      </c>
      <c r="O46" s="22">
        <v>33736.400000000001</v>
      </c>
      <c r="P46" s="22">
        <f t="shared" si="9"/>
        <v>38</v>
      </c>
      <c r="Q46" s="19">
        <f>'Форма 2'!K105</f>
        <v>38</v>
      </c>
      <c r="R46" s="34" t="s">
        <v>156</v>
      </c>
      <c r="S46" s="172">
        <v>1</v>
      </c>
      <c r="T46" s="24"/>
    </row>
    <row r="47" spans="1:20" s="33" customFormat="1" ht="15.75" customHeight="1" x14ac:dyDescent="0.35">
      <c r="A47" s="11">
        <f t="shared" si="11"/>
        <v>12</v>
      </c>
      <c r="B47" s="11">
        <v>5881</v>
      </c>
      <c r="C47" s="46" t="s">
        <v>195</v>
      </c>
      <c r="D47" s="11">
        <v>1966</v>
      </c>
      <c r="E47" s="118" t="s">
        <v>181</v>
      </c>
      <c r="F47" s="124" t="s">
        <v>158</v>
      </c>
      <c r="G47" s="22">
        <v>6843.8</v>
      </c>
      <c r="H47" s="22">
        <v>5440.4</v>
      </c>
      <c r="I47" s="26">
        <v>183</v>
      </c>
      <c r="J47" s="19">
        <f>'Форма 2'!I108</f>
        <v>12437220.060000001</v>
      </c>
      <c r="K47" s="22">
        <v>0</v>
      </c>
      <c r="L47" s="22">
        <v>0</v>
      </c>
      <c r="M47" s="22">
        <v>0</v>
      </c>
      <c r="N47" s="22">
        <f t="shared" si="10"/>
        <v>12102945.210000001</v>
      </c>
      <c r="O47" s="22">
        <v>334274.84999999998</v>
      </c>
      <c r="P47" s="22">
        <f t="shared" si="9"/>
        <v>2286.09</v>
      </c>
      <c r="Q47" s="19">
        <f>'Форма 2'!K108</f>
        <v>3055</v>
      </c>
      <c r="R47" s="34" t="s">
        <v>156</v>
      </c>
      <c r="S47" s="172">
        <v>1</v>
      </c>
      <c r="T47" s="24"/>
    </row>
    <row r="48" spans="1:20" s="33" customFormat="1" ht="15.75" customHeight="1" x14ac:dyDescent="0.35">
      <c r="A48" s="11">
        <f t="shared" si="11"/>
        <v>13</v>
      </c>
      <c r="B48" s="11">
        <v>5913</v>
      </c>
      <c r="C48" s="46" t="s">
        <v>196</v>
      </c>
      <c r="D48" s="11">
        <v>1959</v>
      </c>
      <c r="E48" s="124" t="s">
        <v>75</v>
      </c>
      <c r="F48" s="124" t="s">
        <v>163</v>
      </c>
      <c r="G48" s="22">
        <v>1199</v>
      </c>
      <c r="H48" s="22">
        <v>659.4</v>
      </c>
      <c r="I48" s="26">
        <v>30</v>
      </c>
      <c r="J48" s="19">
        <f>'Форма 2'!I115</f>
        <v>1465131.83</v>
      </c>
      <c r="K48" s="22">
        <v>0</v>
      </c>
      <c r="L48" s="22">
        <v>0</v>
      </c>
      <c r="M48" s="22">
        <v>0</v>
      </c>
      <c r="N48" s="22">
        <f t="shared" si="10"/>
        <v>1417420.27</v>
      </c>
      <c r="O48" s="22">
        <v>47711.56</v>
      </c>
      <c r="P48" s="22">
        <f t="shared" si="9"/>
        <v>2221.92</v>
      </c>
      <c r="Q48" s="19">
        <f>'Форма 2'!K115</f>
        <v>7082</v>
      </c>
      <c r="R48" s="47" t="s">
        <v>164</v>
      </c>
      <c r="S48" s="172">
        <v>1</v>
      </c>
      <c r="T48" s="24"/>
    </row>
    <row r="49" spans="1:20" s="33" customFormat="1" ht="15.75" customHeight="1" x14ac:dyDescent="0.35">
      <c r="A49" s="11">
        <f>A48+1</f>
        <v>14</v>
      </c>
      <c r="B49" s="11">
        <v>5941</v>
      </c>
      <c r="C49" s="46" t="s">
        <v>197</v>
      </c>
      <c r="D49" s="11">
        <v>1957</v>
      </c>
      <c r="E49" s="124" t="s">
        <v>75</v>
      </c>
      <c r="F49" s="124" t="s">
        <v>155</v>
      </c>
      <c r="G49" s="22">
        <v>904.8</v>
      </c>
      <c r="H49" s="22">
        <v>527.29999999999995</v>
      </c>
      <c r="I49" s="26">
        <v>22</v>
      </c>
      <c r="J49" s="19">
        <f>'Форма 2'!I118</f>
        <v>81882.490000000005</v>
      </c>
      <c r="K49" s="22">
        <v>0</v>
      </c>
      <c r="L49" s="22">
        <v>0</v>
      </c>
      <c r="M49" s="22">
        <v>0</v>
      </c>
      <c r="N49" s="22">
        <f t="shared" si="10"/>
        <v>43515.040000000001</v>
      </c>
      <c r="O49" s="22">
        <v>38367.449999999997</v>
      </c>
      <c r="P49" s="22">
        <f t="shared" si="9"/>
        <v>155.29</v>
      </c>
      <c r="Q49" s="19">
        <f>'Форма 2'!K118</f>
        <v>178</v>
      </c>
      <c r="R49" s="47" t="s">
        <v>164</v>
      </c>
      <c r="S49" s="172">
        <v>1</v>
      </c>
      <c r="T49" s="24"/>
    </row>
    <row r="50" spans="1:20" s="33" customFormat="1" ht="15.75" customHeight="1" x14ac:dyDescent="0.35">
      <c r="A50" s="11">
        <f t="shared" si="11"/>
        <v>15</v>
      </c>
      <c r="B50" s="11">
        <v>5947</v>
      </c>
      <c r="C50" s="46" t="s">
        <v>198</v>
      </c>
      <c r="D50" s="11">
        <v>1957</v>
      </c>
      <c r="E50" s="124" t="s">
        <v>75</v>
      </c>
      <c r="F50" s="124" t="s">
        <v>163</v>
      </c>
      <c r="G50" s="22">
        <v>1014.2</v>
      </c>
      <c r="H50" s="22">
        <v>501.3</v>
      </c>
      <c r="I50" s="26">
        <v>22</v>
      </c>
      <c r="J50" s="19">
        <f>'Форма 2'!I120</f>
        <v>1129629.42</v>
      </c>
      <c r="K50" s="22">
        <v>0</v>
      </c>
      <c r="L50" s="22">
        <v>0</v>
      </c>
      <c r="M50" s="22">
        <v>0</v>
      </c>
      <c r="N50" s="22">
        <f t="shared" si="10"/>
        <v>1093153.79</v>
      </c>
      <c r="O50" s="22">
        <v>36475.629999999997</v>
      </c>
      <c r="P50" s="22">
        <f t="shared" si="9"/>
        <v>2253.4</v>
      </c>
      <c r="Q50" s="19">
        <f>'Форма 2'!K120</f>
        <v>7096</v>
      </c>
      <c r="R50" s="47" t="s">
        <v>164</v>
      </c>
      <c r="S50" s="172">
        <v>1</v>
      </c>
      <c r="T50" s="24"/>
    </row>
    <row r="51" spans="1:20" s="33" customFormat="1" ht="15.75" customHeight="1" x14ac:dyDescent="0.35">
      <c r="A51" s="11">
        <f>A50+1</f>
        <v>16</v>
      </c>
      <c r="B51" s="11">
        <v>6071</v>
      </c>
      <c r="C51" s="46" t="s">
        <v>199</v>
      </c>
      <c r="D51" s="11">
        <v>1953</v>
      </c>
      <c r="E51" s="124" t="s">
        <v>200</v>
      </c>
      <c r="F51" s="124" t="s">
        <v>163</v>
      </c>
      <c r="G51" s="22">
        <v>1764.35</v>
      </c>
      <c r="H51" s="22">
        <v>615.65</v>
      </c>
      <c r="I51" s="26">
        <v>25</v>
      </c>
      <c r="J51" s="19">
        <f>'Форма 2'!I123</f>
        <v>184818.13</v>
      </c>
      <c r="K51" s="22">
        <v>0</v>
      </c>
      <c r="L51" s="22">
        <v>0</v>
      </c>
      <c r="M51" s="22">
        <v>0</v>
      </c>
      <c r="N51" s="22">
        <f t="shared" si="10"/>
        <v>178891.23</v>
      </c>
      <c r="O51" s="22">
        <v>5926.9</v>
      </c>
      <c r="P51" s="22">
        <f t="shared" si="9"/>
        <v>300.2</v>
      </c>
      <c r="Q51" s="19">
        <f>'Форма 2'!K123</f>
        <v>912</v>
      </c>
      <c r="R51" s="47" t="s">
        <v>164</v>
      </c>
      <c r="S51" s="172">
        <v>1</v>
      </c>
      <c r="T51" s="24"/>
    </row>
    <row r="52" spans="1:20" s="33" customFormat="1" ht="17.25" customHeight="1" x14ac:dyDescent="0.35">
      <c r="A52" s="11">
        <f t="shared" si="11"/>
        <v>17</v>
      </c>
      <c r="B52" s="11">
        <v>6072</v>
      </c>
      <c r="C52" s="46" t="s">
        <v>201</v>
      </c>
      <c r="D52" s="11">
        <v>1953</v>
      </c>
      <c r="E52" s="124" t="s">
        <v>75</v>
      </c>
      <c r="F52" s="124" t="s">
        <v>163</v>
      </c>
      <c r="G52" s="22">
        <v>1251.5999999999999</v>
      </c>
      <c r="H52" s="22">
        <v>534.9</v>
      </c>
      <c r="I52" s="26">
        <v>26</v>
      </c>
      <c r="J52" s="19">
        <f>'Форма 2'!I128</f>
        <v>1205343.6599999999</v>
      </c>
      <c r="K52" s="22">
        <v>0</v>
      </c>
      <c r="L52" s="22">
        <v>0</v>
      </c>
      <c r="M52" s="22">
        <v>0</v>
      </c>
      <c r="N52" s="22">
        <f t="shared" si="10"/>
        <v>1166423.22</v>
      </c>
      <c r="O52" s="22">
        <v>38920.44</v>
      </c>
      <c r="P52" s="22">
        <f t="shared" si="9"/>
        <v>2253.4</v>
      </c>
      <c r="Q52" s="19">
        <f>'Форма 2'!K128</f>
        <v>7096</v>
      </c>
      <c r="R52" s="47" t="s">
        <v>164</v>
      </c>
      <c r="S52" s="172">
        <v>1</v>
      </c>
      <c r="T52" s="24"/>
    </row>
    <row r="53" spans="1:20" s="33" customFormat="1" ht="16.5" customHeight="1" x14ac:dyDescent="0.35">
      <c r="A53" s="11">
        <f t="shared" si="11"/>
        <v>18</v>
      </c>
      <c r="B53" s="11">
        <v>6074</v>
      </c>
      <c r="C53" s="46" t="s">
        <v>202</v>
      </c>
      <c r="D53" s="11">
        <v>1953</v>
      </c>
      <c r="E53" s="124" t="s">
        <v>75</v>
      </c>
      <c r="F53" s="124" t="s">
        <v>163</v>
      </c>
      <c r="G53" s="22">
        <v>1695.18</v>
      </c>
      <c r="H53" s="22">
        <v>599.02</v>
      </c>
      <c r="I53" s="26">
        <v>25</v>
      </c>
      <c r="J53" s="19">
        <f>'Форма 2'!I131</f>
        <v>1349831.67</v>
      </c>
      <c r="K53" s="22">
        <v>0</v>
      </c>
      <c r="L53" s="22">
        <v>0</v>
      </c>
      <c r="M53" s="22">
        <v>0</v>
      </c>
      <c r="N53" s="22">
        <f t="shared" si="10"/>
        <v>1306245.72</v>
      </c>
      <c r="O53" s="22">
        <v>43585.95</v>
      </c>
      <c r="P53" s="22">
        <f t="shared" si="9"/>
        <v>2253.4</v>
      </c>
      <c r="Q53" s="19">
        <f>'Форма 2'!K131</f>
        <v>7096</v>
      </c>
      <c r="R53" s="47" t="s">
        <v>164</v>
      </c>
      <c r="S53" s="172">
        <v>1</v>
      </c>
      <c r="T53" s="24"/>
    </row>
    <row r="54" spans="1:20" s="33" customFormat="1" ht="17.25" customHeight="1" x14ac:dyDescent="0.35">
      <c r="A54" s="11">
        <f t="shared" si="11"/>
        <v>19</v>
      </c>
      <c r="B54" s="11">
        <v>6076</v>
      </c>
      <c r="C54" s="46" t="s">
        <v>203</v>
      </c>
      <c r="D54" s="11">
        <v>1953</v>
      </c>
      <c r="E54" s="124" t="s">
        <v>75</v>
      </c>
      <c r="F54" s="124" t="s">
        <v>163</v>
      </c>
      <c r="G54" s="22">
        <v>1237.5999999999999</v>
      </c>
      <c r="H54" s="22">
        <v>529.9</v>
      </c>
      <c r="I54" s="26">
        <v>25</v>
      </c>
      <c r="J54" s="19">
        <f>'Форма 2'!I134</f>
        <v>1194076.6599999999</v>
      </c>
      <c r="K54" s="22">
        <v>0</v>
      </c>
      <c r="L54" s="22">
        <v>0</v>
      </c>
      <c r="M54" s="22">
        <v>0</v>
      </c>
      <c r="N54" s="22">
        <f t="shared" si="10"/>
        <v>1155520.03</v>
      </c>
      <c r="O54" s="22">
        <v>38556.629999999997</v>
      </c>
      <c r="P54" s="22">
        <f t="shared" si="9"/>
        <v>2253.4</v>
      </c>
      <c r="Q54" s="19">
        <f>'Форма 2'!K134</f>
        <v>7096</v>
      </c>
      <c r="R54" s="47" t="s">
        <v>164</v>
      </c>
      <c r="S54" s="172">
        <v>1</v>
      </c>
      <c r="T54" s="24"/>
    </row>
    <row r="55" spans="1:20" s="33" customFormat="1" ht="15.75" customHeight="1" x14ac:dyDescent="0.35">
      <c r="A55" s="11">
        <f t="shared" si="11"/>
        <v>20</v>
      </c>
      <c r="B55" s="11">
        <v>6087</v>
      </c>
      <c r="C55" s="46" t="s">
        <v>204</v>
      </c>
      <c r="D55" s="11">
        <v>1964</v>
      </c>
      <c r="E55" s="124" t="s">
        <v>205</v>
      </c>
      <c r="F55" s="124" t="s">
        <v>155</v>
      </c>
      <c r="G55" s="22">
        <v>6557</v>
      </c>
      <c r="H55" s="22">
        <v>2447.1999999999998</v>
      </c>
      <c r="I55" s="26">
        <v>221</v>
      </c>
      <c r="J55" s="19">
        <f>'Форма 2'!I137</f>
        <v>141937.60000000001</v>
      </c>
      <c r="K55" s="22">
        <v>0</v>
      </c>
      <c r="L55" s="22">
        <v>0</v>
      </c>
      <c r="M55" s="22">
        <v>0</v>
      </c>
      <c r="N55" s="22">
        <f t="shared" si="10"/>
        <v>129829.23</v>
      </c>
      <c r="O55" s="22">
        <v>12108.37</v>
      </c>
      <c r="P55" s="22">
        <f t="shared" si="9"/>
        <v>58</v>
      </c>
      <c r="Q55" s="19">
        <f>'Форма 2'!K137</f>
        <v>58</v>
      </c>
      <c r="R55" s="47" t="s">
        <v>156</v>
      </c>
      <c r="S55" s="172">
        <v>1</v>
      </c>
      <c r="T55" s="24"/>
    </row>
    <row r="56" spans="1:20" s="33" customFormat="1" ht="15.75" customHeight="1" x14ac:dyDescent="0.35">
      <c r="A56" s="11">
        <f t="shared" si="11"/>
        <v>21</v>
      </c>
      <c r="B56" s="11">
        <v>6139</v>
      </c>
      <c r="C56" s="46" t="s">
        <v>206</v>
      </c>
      <c r="D56" s="11">
        <v>1954</v>
      </c>
      <c r="E56" s="124" t="s">
        <v>75</v>
      </c>
      <c r="F56" s="124" t="s">
        <v>163</v>
      </c>
      <c r="G56" s="22">
        <v>2337.1</v>
      </c>
      <c r="H56" s="22">
        <v>2152.6</v>
      </c>
      <c r="I56" s="26">
        <v>67</v>
      </c>
      <c r="J56" s="19">
        <f>'Форма 2'!I141</f>
        <v>3189866.53</v>
      </c>
      <c r="K56" s="22">
        <v>0</v>
      </c>
      <c r="L56" s="22">
        <v>0</v>
      </c>
      <c r="M56" s="22">
        <v>0</v>
      </c>
      <c r="N56" s="22">
        <f t="shared" si="10"/>
        <v>3081429.4</v>
      </c>
      <c r="O56" s="22">
        <v>108437.13</v>
      </c>
      <c r="P56" s="22">
        <f t="shared" si="9"/>
        <v>1481.87</v>
      </c>
      <c r="Q56" s="19">
        <f>'Форма 2'!K141</f>
        <v>4793</v>
      </c>
      <c r="R56" s="47" t="s">
        <v>164</v>
      </c>
      <c r="S56" s="172">
        <v>1</v>
      </c>
      <c r="T56" s="24"/>
    </row>
    <row r="57" spans="1:20" s="33" customFormat="1" ht="17.25" customHeight="1" x14ac:dyDescent="0.35">
      <c r="A57" s="11">
        <f t="shared" si="11"/>
        <v>22</v>
      </c>
      <c r="B57" s="11">
        <v>6141</v>
      </c>
      <c r="C57" s="46" t="s">
        <v>207</v>
      </c>
      <c r="D57" s="11">
        <v>1954</v>
      </c>
      <c r="E57" s="124" t="s">
        <v>75</v>
      </c>
      <c r="F57" s="124" t="s">
        <v>158</v>
      </c>
      <c r="G57" s="22">
        <v>2567.3000000000002</v>
      </c>
      <c r="H57" s="22">
        <v>2033.7</v>
      </c>
      <c r="I57" s="26">
        <v>78</v>
      </c>
      <c r="J57" s="19">
        <f>'Форма 2'!I144</f>
        <v>7587549.9699999997</v>
      </c>
      <c r="K57" s="22">
        <v>0</v>
      </c>
      <c r="L57" s="22">
        <v>0</v>
      </c>
      <c r="M57" s="22">
        <v>0</v>
      </c>
      <c r="N57" s="22">
        <f t="shared" si="10"/>
        <v>7349351.1699999999</v>
      </c>
      <c r="O57" s="22">
        <v>238198.8</v>
      </c>
      <c r="P57" s="22">
        <f t="shared" si="9"/>
        <v>3730.91</v>
      </c>
      <c r="Q57" s="19">
        <f>'Форма 2'!K144</f>
        <v>4728</v>
      </c>
      <c r="R57" s="34" t="s">
        <v>156</v>
      </c>
      <c r="S57" s="172">
        <v>1</v>
      </c>
      <c r="T57" s="24"/>
    </row>
    <row r="58" spans="1:20" s="33" customFormat="1" ht="17.25" customHeight="1" x14ac:dyDescent="0.35">
      <c r="A58" s="11">
        <f t="shared" si="11"/>
        <v>23</v>
      </c>
      <c r="B58" s="11">
        <v>6147</v>
      </c>
      <c r="C58" s="46" t="s">
        <v>208</v>
      </c>
      <c r="D58" s="11">
        <v>1954</v>
      </c>
      <c r="E58" s="118" t="s">
        <v>75</v>
      </c>
      <c r="F58" s="124" t="s">
        <v>163</v>
      </c>
      <c r="G58" s="22">
        <v>2576.3000000000002</v>
      </c>
      <c r="H58" s="22">
        <v>2345.3000000000002</v>
      </c>
      <c r="I58" s="26">
        <v>91</v>
      </c>
      <c r="J58" s="19">
        <f>'Форма 2'!I147</f>
        <v>3471742.85</v>
      </c>
      <c r="K58" s="22">
        <v>0</v>
      </c>
      <c r="L58" s="22">
        <v>0</v>
      </c>
      <c r="M58" s="22">
        <v>0</v>
      </c>
      <c r="N58" s="22">
        <f t="shared" si="10"/>
        <v>3353598.47</v>
      </c>
      <c r="O58" s="22">
        <v>118144.38</v>
      </c>
      <c r="P58" s="22">
        <f t="shared" si="9"/>
        <v>1480.3</v>
      </c>
      <c r="Q58" s="19">
        <f>'Форма 2'!K147</f>
        <v>4807</v>
      </c>
      <c r="R58" s="47" t="s">
        <v>164</v>
      </c>
      <c r="S58" s="172">
        <v>1</v>
      </c>
      <c r="T58" s="24"/>
    </row>
    <row r="59" spans="1:20" s="33" customFormat="1" ht="15.75" customHeight="1" x14ac:dyDescent="0.35">
      <c r="A59" s="11">
        <f t="shared" si="11"/>
        <v>24</v>
      </c>
      <c r="B59" s="11">
        <v>6152</v>
      </c>
      <c r="C59" s="46" t="s">
        <v>209</v>
      </c>
      <c r="D59" s="11">
        <v>1957</v>
      </c>
      <c r="E59" s="118" t="s">
        <v>75</v>
      </c>
      <c r="F59" s="124" t="s">
        <v>155</v>
      </c>
      <c r="G59" s="22">
        <v>2850.4</v>
      </c>
      <c r="H59" s="22">
        <v>2611.6</v>
      </c>
      <c r="I59" s="26">
        <v>115</v>
      </c>
      <c r="J59" s="19">
        <f>'Форма 2'!I150</f>
        <v>304691.3</v>
      </c>
      <c r="K59" s="22">
        <v>0</v>
      </c>
      <c r="L59" s="22">
        <v>0</v>
      </c>
      <c r="M59" s="22">
        <v>0</v>
      </c>
      <c r="N59" s="22">
        <f t="shared" si="10"/>
        <v>298654.59999999998</v>
      </c>
      <c r="O59" s="22">
        <v>6036.7</v>
      </c>
      <c r="P59" s="22">
        <f t="shared" si="9"/>
        <v>116.67</v>
      </c>
      <c r="Q59" s="19">
        <f>'Форма 2'!K150</f>
        <v>164</v>
      </c>
      <c r="R59" s="34" t="s">
        <v>156</v>
      </c>
      <c r="S59" s="172">
        <v>1</v>
      </c>
      <c r="T59" s="24"/>
    </row>
    <row r="60" spans="1:20" s="33" customFormat="1" ht="15.75" customHeight="1" x14ac:dyDescent="0.35">
      <c r="A60" s="11">
        <f t="shared" si="11"/>
        <v>25</v>
      </c>
      <c r="B60" s="11">
        <v>6173</v>
      </c>
      <c r="C60" s="46" t="s">
        <v>210</v>
      </c>
      <c r="D60" s="11">
        <v>1972</v>
      </c>
      <c r="E60" s="124" t="s">
        <v>75</v>
      </c>
      <c r="F60" s="124" t="s">
        <v>158</v>
      </c>
      <c r="G60" s="22">
        <v>5780.43</v>
      </c>
      <c r="H60" s="22">
        <v>4411.3599999999997</v>
      </c>
      <c r="I60" s="26">
        <v>235</v>
      </c>
      <c r="J60" s="19">
        <f>'Форма 2'!I152</f>
        <v>9260390.3000000007</v>
      </c>
      <c r="K60" s="22">
        <v>0</v>
      </c>
      <c r="L60" s="22">
        <v>0</v>
      </c>
      <c r="M60" s="22">
        <v>0</v>
      </c>
      <c r="N60" s="22">
        <f t="shared" si="10"/>
        <v>8949230.3699999992</v>
      </c>
      <c r="O60" s="22">
        <v>311159.93</v>
      </c>
      <c r="P60" s="22">
        <f t="shared" si="9"/>
        <v>2099.21</v>
      </c>
      <c r="Q60" s="19">
        <f>'Форма 2'!K152</f>
        <v>2831</v>
      </c>
      <c r="R60" s="34" t="s">
        <v>156</v>
      </c>
      <c r="S60" s="172">
        <v>1</v>
      </c>
      <c r="T60" s="24"/>
    </row>
    <row r="61" spans="1:20" s="33" customFormat="1" ht="15.75" customHeight="1" x14ac:dyDescent="0.35">
      <c r="A61" s="11">
        <f t="shared" si="11"/>
        <v>26</v>
      </c>
      <c r="B61" s="11">
        <v>6177</v>
      </c>
      <c r="C61" s="46" t="s">
        <v>211</v>
      </c>
      <c r="D61" s="11">
        <v>1972</v>
      </c>
      <c r="E61" s="124" t="s">
        <v>75</v>
      </c>
      <c r="F61" s="124" t="s">
        <v>158</v>
      </c>
      <c r="G61" s="22">
        <v>5918.67</v>
      </c>
      <c r="H61" s="22">
        <v>4412.43</v>
      </c>
      <c r="I61" s="26">
        <v>242</v>
      </c>
      <c r="J61" s="19">
        <f>'Форма 2'!I155</f>
        <v>8877422.7300000004</v>
      </c>
      <c r="K61" s="22">
        <v>0</v>
      </c>
      <c r="L61" s="22">
        <v>0</v>
      </c>
      <c r="M61" s="22">
        <v>0</v>
      </c>
      <c r="N61" s="22">
        <f t="shared" si="10"/>
        <v>8598729.7400000002</v>
      </c>
      <c r="O61" s="22">
        <v>278692.99</v>
      </c>
      <c r="P61" s="22">
        <f t="shared" si="9"/>
        <v>2011.91</v>
      </c>
      <c r="Q61" s="19">
        <f>'Форма 2'!K155</f>
        <v>2831</v>
      </c>
      <c r="R61" s="34" t="s">
        <v>156</v>
      </c>
      <c r="S61" s="172">
        <v>1</v>
      </c>
      <c r="T61" s="24"/>
    </row>
    <row r="62" spans="1:20" s="33" customFormat="1" ht="15.75" customHeight="1" x14ac:dyDescent="0.35">
      <c r="A62" s="11">
        <f t="shared" si="11"/>
        <v>27</v>
      </c>
      <c r="B62" s="11">
        <v>6187</v>
      </c>
      <c r="C62" s="46" t="s">
        <v>212</v>
      </c>
      <c r="D62" s="11">
        <v>1989</v>
      </c>
      <c r="E62" s="124" t="s">
        <v>185</v>
      </c>
      <c r="F62" s="124" t="s">
        <v>186</v>
      </c>
      <c r="G62" s="22">
        <v>9113.9</v>
      </c>
      <c r="H62" s="22">
        <v>8136.8</v>
      </c>
      <c r="I62" s="26">
        <v>450</v>
      </c>
      <c r="J62" s="19">
        <f>'Форма 2'!I158</f>
        <v>1587200.3</v>
      </c>
      <c r="K62" s="22">
        <v>0</v>
      </c>
      <c r="L62" s="22">
        <v>0</v>
      </c>
      <c r="M62" s="22">
        <v>0</v>
      </c>
      <c r="N62" s="22">
        <f t="shared" si="10"/>
        <v>1531893.96</v>
      </c>
      <c r="O62" s="22">
        <v>55306.34</v>
      </c>
      <c r="P62" s="22">
        <f t="shared" si="9"/>
        <v>195.06</v>
      </c>
      <c r="Q62" s="19">
        <f>'Форма 2'!K158</f>
        <v>217.53</v>
      </c>
      <c r="R62" s="34" t="s">
        <v>156</v>
      </c>
      <c r="S62" s="172">
        <v>1</v>
      </c>
      <c r="T62" s="24"/>
    </row>
    <row r="63" spans="1:20" s="33" customFormat="1" ht="15.75" customHeight="1" x14ac:dyDescent="0.35">
      <c r="A63" s="11">
        <f t="shared" si="11"/>
        <v>28</v>
      </c>
      <c r="B63" s="11">
        <v>6207</v>
      </c>
      <c r="C63" s="46" t="s">
        <v>213</v>
      </c>
      <c r="D63" s="11">
        <v>1954</v>
      </c>
      <c r="E63" s="118" t="s">
        <v>75</v>
      </c>
      <c r="F63" s="124" t="s">
        <v>155</v>
      </c>
      <c r="G63" s="22">
        <v>2235.6999999999998</v>
      </c>
      <c r="H63" s="22">
        <v>2063.3000000000002</v>
      </c>
      <c r="I63" s="26">
        <v>79</v>
      </c>
      <c r="J63" s="19">
        <f>'Форма 2'!I162</f>
        <v>195621.91</v>
      </c>
      <c r="K63" s="22">
        <v>0</v>
      </c>
      <c r="L63" s="22">
        <v>0</v>
      </c>
      <c r="M63" s="22">
        <v>0</v>
      </c>
      <c r="N63" s="22">
        <f t="shared" si="10"/>
        <v>181185.09</v>
      </c>
      <c r="O63" s="22">
        <v>14436.82</v>
      </c>
      <c r="P63" s="22">
        <f t="shared" si="9"/>
        <v>94.81</v>
      </c>
      <c r="Q63" s="19">
        <f>'Форма 2'!K162</f>
        <v>164</v>
      </c>
      <c r="R63" s="34" t="s">
        <v>156</v>
      </c>
      <c r="S63" s="172">
        <v>1</v>
      </c>
      <c r="T63" s="24"/>
    </row>
    <row r="64" spans="1:20" s="33" customFormat="1" ht="15.75" customHeight="1" x14ac:dyDescent="0.35">
      <c r="A64" s="11">
        <f t="shared" si="11"/>
        <v>29</v>
      </c>
      <c r="B64" s="11">
        <v>6208</v>
      </c>
      <c r="C64" s="46" t="s">
        <v>214</v>
      </c>
      <c r="D64" s="11">
        <v>1954</v>
      </c>
      <c r="E64" s="118" t="s">
        <v>181</v>
      </c>
      <c r="F64" s="124" t="s">
        <v>155</v>
      </c>
      <c r="G64" s="22">
        <v>1693</v>
      </c>
      <c r="H64" s="22">
        <v>1569.5</v>
      </c>
      <c r="I64" s="26">
        <v>53</v>
      </c>
      <c r="J64" s="19">
        <f>'Форма 2'!I164</f>
        <v>243272.5</v>
      </c>
      <c r="K64" s="22">
        <v>0</v>
      </c>
      <c r="L64" s="22">
        <v>0</v>
      </c>
      <c r="M64" s="22">
        <v>0</v>
      </c>
      <c r="N64" s="22">
        <f t="shared" si="10"/>
        <v>241017.33</v>
      </c>
      <c r="O64" s="22">
        <v>2255.17</v>
      </c>
      <c r="P64" s="22">
        <f t="shared" si="9"/>
        <v>155</v>
      </c>
      <c r="Q64" s="19">
        <f>'Форма 2'!K164</f>
        <v>155</v>
      </c>
      <c r="R64" s="34" t="s">
        <v>156</v>
      </c>
      <c r="S64" s="172">
        <v>1</v>
      </c>
      <c r="T64" s="24"/>
    </row>
    <row r="65" spans="1:20" s="33" customFormat="1" ht="15.75" customHeight="1" x14ac:dyDescent="0.35">
      <c r="A65" s="11">
        <f t="shared" si="11"/>
        <v>30</v>
      </c>
      <c r="B65" s="11">
        <v>6234</v>
      </c>
      <c r="C65" s="46" t="s">
        <v>215</v>
      </c>
      <c r="D65" s="11">
        <v>1954</v>
      </c>
      <c r="E65" s="118" t="s">
        <v>181</v>
      </c>
      <c r="F65" s="124" t="s">
        <v>155</v>
      </c>
      <c r="G65" s="22">
        <v>2282.1</v>
      </c>
      <c r="H65" s="22">
        <v>2118.1</v>
      </c>
      <c r="I65" s="26">
        <v>73</v>
      </c>
      <c r="J65" s="19">
        <f>'Форма 2'!I168</f>
        <v>250553.61</v>
      </c>
      <c r="K65" s="22">
        <v>0</v>
      </c>
      <c r="L65" s="22">
        <v>0</v>
      </c>
      <c r="M65" s="22">
        <v>0</v>
      </c>
      <c r="N65" s="22">
        <f t="shared" si="10"/>
        <v>247510.17</v>
      </c>
      <c r="O65" s="22">
        <v>3043.44</v>
      </c>
      <c r="P65" s="22">
        <f t="shared" si="9"/>
        <v>118.29</v>
      </c>
      <c r="Q65" s="19">
        <f>'Форма 2'!K168</f>
        <v>155</v>
      </c>
      <c r="R65" s="34" t="s">
        <v>156</v>
      </c>
      <c r="S65" s="172">
        <v>1</v>
      </c>
      <c r="T65" s="24"/>
    </row>
    <row r="66" spans="1:20" s="33" customFormat="1" ht="15.75" customHeight="1" x14ac:dyDescent="0.35">
      <c r="A66" s="11">
        <f t="shared" si="11"/>
        <v>31</v>
      </c>
      <c r="B66" s="11">
        <v>6244</v>
      </c>
      <c r="C66" s="46" t="s">
        <v>216</v>
      </c>
      <c r="D66" s="11">
        <v>1951</v>
      </c>
      <c r="E66" s="118" t="s">
        <v>181</v>
      </c>
      <c r="F66" s="124" t="s">
        <v>163</v>
      </c>
      <c r="G66" s="22">
        <v>946.7</v>
      </c>
      <c r="H66" s="22">
        <v>520.5</v>
      </c>
      <c r="I66" s="26">
        <v>20</v>
      </c>
      <c r="J66" s="19">
        <f>'Форма 2'!I172</f>
        <v>637352.25</v>
      </c>
      <c r="K66" s="22">
        <v>0</v>
      </c>
      <c r="L66" s="22">
        <v>0</v>
      </c>
      <c r="M66" s="22">
        <v>0</v>
      </c>
      <c r="N66" s="22">
        <f t="shared" si="10"/>
        <v>629301.02</v>
      </c>
      <c r="O66" s="22">
        <v>8051.23</v>
      </c>
      <c r="P66" s="22">
        <f t="shared" si="9"/>
        <v>1224.5</v>
      </c>
      <c r="Q66" s="19">
        <f>'Форма 2'!K172</f>
        <v>3720</v>
      </c>
      <c r="R66" s="47" t="s">
        <v>164</v>
      </c>
      <c r="S66" s="172">
        <v>1</v>
      </c>
      <c r="T66" s="24"/>
    </row>
    <row r="67" spans="1:20" s="33" customFormat="1" ht="17.25" customHeight="1" x14ac:dyDescent="0.35">
      <c r="A67" s="11">
        <f t="shared" si="11"/>
        <v>32</v>
      </c>
      <c r="B67" s="11">
        <v>6296</v>
      </c>
      <c r="C67" s="46" t="s">
        <v>217</v>
      </c>
      <c r="D67" s="11">
        <v>1953</v>
      </c>
      <c r="E67" s="124" t="s">
        <v>75</v>
      </c>
      <c r="F67" s="124" t="s">
        <v>163</v>
      </c>
      <c r="G67" s="22">
        <v>1600.5</v>
      </c>
      <c r="H67" s="22">
        <v>1473.9</v>
      </c>
      <c r="I67" s="26">
        <v>51</v>
      </c>
      <c r="J67" s="19">
        <f>'Форма 2'!I179</f>
        <v>2204492.2999999998</v>
      </c>
      <c r="K67" s="22">
        <v>0</v>
      </c>
      <c r="L67" s="22">
        <v>0</v>
      </c>
      <c r="M67" s="22">
        <v>0</v>
      </c>
      <c r="N67" s="22">
        <f t="shared" si="10"/>
        <v>2130340.37</v>
      </c>
      <c r="O67" s="22">
        <v>74151.929999999993</v>
      </c>
      <c r="P67" s="22">
        <f t="shared" si="9"/>
        <v>1495.69</v>
      </c>
      <c r="Q67" s="19">
        <f>'Форма 2'!K179</f>
        <v>4807</v>
      </c>
      <c r="R67" s="47" t="s">
        <v>164</v>
      </c>
      <c r="S67" s="172">
        <v>1</v>
      </c>
      <c r="T67" s="24"/>
    </row>
    <row r="68" spans="1:20" s="33" customFormat="1" ht="18.75" customHeight="1" x14ac:dyDescent="0.35">
      <c r="A68" s="11">
        <f t="shared" si="11"/>
        <v>33</v>
      </c>
      <c r="B68" s="11">
        <v>6310</v>
      </c>
      <c r="C68" s="46" t="s">
        <v>218</v>
      </c>
      <c r="D68" s="11">
        <v>1988</v>
      </c>
      <c r="E68" s="124" t="s">
        <v>185</v>
      </c>
      <c r="F68" s="124" t="s">
        <v>186</v>
      </c>
      <c r="G68" s="22">
        <v>19675.900000000001</v>
      </c>
      <c r="H68" s="22">
        <v>17228.8</v>
      </c>
      <c r="I68" s="26">
        <v>809</v>
      </c>
      <c r="J68" s="19">
        <f>'Форма 2'!I182</f>
        <v>15600627</v>
      </c>
      <c r="K68" s="22">
        <v>0</v>
      </c>
      <c r="L68" s="22">
        <v>0</v>
      </c>
      <c r="M68" s="22">
        <v>0</v>
      </c>
      <c r="N68" s="22">
        <f t="shared" si="10"/>
        <v>15102869.939999999</v>
      </c>
      <c r="O68" s="22">
        <v>497757.06</v>
      </c>
      <c r="P68" s="22">
        <f t="shared" si="9"/>
        <v>905.5</v>
      </c>
      <c r="Q68" s="19">
        <f>'Форма 2'!K182</f>
        <v>924.6</v>
      </c>
      <c r="R68" s="34" t="s">
        <v>156</v>
      </c>
      <c r="S68" s="172">
        <v>1</v>
      </c>
      <c r="T68" s="24"/>
    </row>
    <row r="69" spans="1:20" s="33" customFormat="1" ht="15.75" customHeight="1" x14ac:dyDescent="0.35">
      <c r="A69" s="11">
        <f t="shared" si="11"/>
        <v>34</v>
      </c>
      <c r="B69" s="11">
        <v>6311</v>
      </c>
      <c r="C69" s="46" t="s">
        <v>219</v>
      </c>
      <c r="D69" s="11">
        <v>1989</v>
      </c>
      <c r="E69" s="124" t="s">
        <v>185</v>
      </c>
      <c r="F69" s="124" t="s">
        <v>186</v>
      </c>
      <c r="G69" s="22">
        <v>2742.2</v>
      </c>
      <c r="H69" s="22">
        <v>2415.9</v>
      </c>
      <c r="I69" s="26">
        <v>115</v>
      </c>
      <c r="J69" s="19">
        <f>'Форма 2'!I210</f>
        <v>1733403</v>
      </c>
      <c r="K69" s="22">
        <v>0</v>
      </c>
      <c r="L69" s="22">
        <v>0</v>
      </c>
      <c r="M69" s="22">
        <v>0</v>
      </c>
      <c r="N69" s="22">
        <f t="shared" si="10"/>
        <v>1678096.66</v>
      </c>
      <c r="O69" s="22">
        <v>55306.34</v>
      </c>
      <c r="P69" s="22">
        <f t="shared" si="9"/>
        <v>717.5</v>
      </c>
      <c r="Q69" s="19">
        <f>'Форма 2'!K210</f>
        <v>732.63</v>
      </c>
      <c r="R69" s="34" t="s">
        <v>156</v>
      </c>
      <c r="S69" s="172">
        <v>1</v>
      </c>
      <c r="T69" s="24"/>
    </row>
    <row r="70" spans="1:20" s="33" customFormat="1" ht="15.75" customHeight="1" x14ac:dyDescent="0.35">
      <c r="A70" s="11">
        <f t="shared" si="11"/>
        <v>35</v>
      </c>
      <c r="B70" s="11">
        <v>6315</v>
      </c>
      <c r="C70" s="46" t="s">
        <v>220</v>
      </c>
      <c r="D70" s="11">
        <v>1989</v>
      </c>
      <c r="E70" s="124" t="s">
        <v>185</v>
      </c>
      <c r="F70" s="124" t="s">
        <v>186</v>
      </c>
      <c r="G70" s="22">
        <v>5594.4</v>
      </c>
      <c r="H70" s="22">
        <v>4642.1000000000004</v>
      </c>
      <c r="I70" s="26">
        <v>195</v>
      </c>
      <c r="J70" s="19">
        <f>'Форма 2'!I214</f>
        <v>1708823</v>
      </c>
      <c r="K70" s="22">
        <v>0</v>
      </c>
      <c r="L70" s="22">
        <v>0</v>
      </c>
      <c r="M70" s="22">
        <v>0</v>
      </c>
      <c r="N70" s="22">
        <f t="shared" si="10"/>
        <v>1653516.66</v>
      </c>
      <c r="O70" s="22">
        <v>55306.34</v>
      </c>
      <c r="P70" s="22">
        <f t="shared" si="9"/>
        <v>368.11</v>
      </c>
      <c r="Q70" s="19">
        <f>'Форма 2'!K214</f>
        <v>375.99</v>
      </c>
      <c r="R70" s="34" t="s">
        <v>156</v>
      </c>
      <c r="S70" s="172">
        <v>1</v>
      </c>
      <c r="T70" s="24"/>
    </row>
    <row r="71" spans="1:20" s="33" customFormat="1" ht="31.5" customHeight="1" x14ac:dyDescent="0.35">
      <c r="A71" s="11">
        <f t="shared" si="11"/>
        <v>36</v>
      </c>
      <c r="B71" s="11">
        <v>6321</v>
      </c>
      <c r="C71" s="46" t="s">
        <v>221</v>
      </c>
      <c r="D71" s="124" t="s">
        <v>222</v>
      </c>
      <c r="E71" s="124" t="s">
        <v>185</v>
      </c>
      <c r="F71" s="124" t="s">
        <v>186</v>
      </c>
      <c r="G71" s="22">
        <v>11835.3</v>
      </c>
      <c r="H71" s="22">
        <v>10603.9</v>
      </c>
      <c r="I71" s="26">
        <v>483</v>
      </c>
      <c r="J71" s="19">
        <f>'Форма 2'!I218</f>
        <v>10400418</v>
      </c>
      <c r="K71" s="22">
        <v>0</v>
      </c>
      <c r="L71" s="22">
        <v>0</v>
      </c>
      <c r="M71" s="22">
        <v>0</v>
      </c>
      <c r="N71" s="22">
        <f t="shared" si="10"/>
        <v>10068579.960000001</v>
      </c>
      <c r="O71" s="22">
        <v>331838.03999999998</v>
      </c>
      <c r="P71" s="22">
        <f t="shared" si="9"/>
        <v>980.81</v>
      </c>
      <c r="Q71" s="19">
        <f>'Форма 2'!K218</f>
        <v>1001.5</v>
      </c>
      <c r="R71" s="34" t="s">
        <v>156</v>
      </c>
      <c r="S71" s="172">
        <v>1</v>
      </c>
      <c r="T71" s="24"/>
    </row>
    <row r="72" spans="1:20" s="33" customFormat="1" ht="15.75" customHeight="1" x14ac:dyDescent="0.35">
      <c r="A72" s="11">
        <f t="shared" si="11"/>
        <v>37</v>
      </c>
      <c r="B72" s="11">
        <v>6343</v>
      </c>
      <c r="C72" s="46" t="s">
        <v>223</v>
      </c>
      <c r="D72" s="11">
        <v>1951</v>
      </c>
      <c r="E72" s="124" t="s">
        <v>75</v>
      </c>
      <c r="F72" s="124" t="s">
        <v>155</v>
      </c>
      <c r="G72" s="22">
        <v>964.5</v>
      </c>
      <c r="H72" s="22">
        <v>877.1</v>
      </c>
      <c r="I72" s="26">
        <v>30</v>
      </c>
      <c r="J72" s="19">
        <f>'Форма 2'!I237</f>
        <v>107835.6</v>
      </c>
      <c r="K72" s="22">
        <v>0</v>
      </c>
      <c r="L72" s="22">
        <v>0</v>
      </c>
      <c r="M72" s="22">
        <v>0</v>
      </c>
      <c r="N72" s="22">
        <f t="shared" si="10"/>
        <v>94268.38</v>
      </c>
      <c r="O72" s="22">
        <v>13567.22</v>
      </c>
      <c r="P72" s="22">
        <f t="shared" si="9"/>
        <v>122.95</v>
      </c>
      <c r="Q72" s="19">
        <f>'Форма 2'!K237</f>
        <v>178</v>
      </c>
      <c r="R72" s="47" t="s">
        <v>156</v>
      </c>
      <c r="S72" s="172">
        <v>1</v>
      </c>
      <c r="T72" s="24"/>
    </row>
    <row r="73" spans="1:20" s="33" customFormat="1" ht="18.75" customHeight="1" x14ac:dyDescent="0.35">
      <c r="A73" s="11">
        <f t="shared" si="11"/>
        <v>38</v>
      </c>
      <c r="B73" s="11">
        <v>6349</v>
      </c>
      <c r="C73" s="46" t="s">
        <v>224</v>
      </c>
      <c r="D73" s="11">
        <v>1952</v>
      </c>
      <c r="E73" s="124" t="s">
        <v>75</v>
      </c>
      <c r="F73" s="124" t="s">
        <v>158</v>
      </c>
      <c r="G73" s="22">
        <v>978.9</v>
      </c>
      <c r="H73" s="22">
        <v>889.1</v>
      </c>
      <c r="I73" s="26">
        <v>38</v>
      </c>
      <c r="J73" s="22">
        <f>'Форма 2'!I239</f>
        <v>4380814.25</v>
      </c>
      <c r="K73" s="22">
        <v>0</v>
      </c>
      <c r="L73" s="22">
        <v>0</v>
      </c>
      <c r="M73" s="22">
        <v>0</v>
      </c>
      <c r="N73" s="22">
        <f t="shared" si="10"/>
        <v>4242951.87</v>
      </c>
      <c r="O73" s="22">
        <v>137862.38</v>
      </c>
      <c r="P73" s="22">
        <f t="shared" si="9"/>
        <v>4927.25</v>
      </c>
      <c r="Q73" s="22">
        <f>'Форма 2'!K239</f>
        <v>7066</v>
      </c>
      <c r="R73" s="34" t="s">
        <v>156</v>
      </c>
      <c r="S73" s="172">
        <v>1</v>
      </c>
      <c r="T73" s="24"/>
    </row>
    <row r="74" spans="1:20" s="33" customFormat="1" ht="15.75" customHeight="1" x14ac:dyDescent="0.35">
      <c r="A74" s="11">
        <f t="shared" si="11"/>
        <v>39</v>
      </c>
      <c r="B74" s="11">
        <v>6351</v>
      </c>
      <c r="C74" s="46" t="s">
        <v>225</v>
      </c>
      <c r="D74" s="11">
        <v>1953</v>
      </c>
      <c r="E74" s="118" t="s">
        <v>181</v>
      </c>
      <c r="F74" s="124" t="s">
        <v>155</v>
      </c>
      <c r="G74" s="22">
        <v>1538</v>
      </c>
      <c r="H74" s="22">
        <v>899.1</v>
      </c>
      <c r="I74" s="26">
        <v>43</v>
      </c>
      <c r="J74" s="22">
        <f>'Форма 2'!I242</f>
        <v>139360.5</v>
      </c>
      <c r="K74" s="22">
        <v>0</v>
      </c>
      <c r="L74" s="22">
        <v>0</v>
      </c>
      <c r="M74" s="22">
        <v>0</v>
      </c>
      <c r="N74" s="22">
        <f t="shared" si="10"/>
        <v>125452.98</v>
      </c>
      <c r="O74" s="22">
        <v>13907.52</v>
      </c>
      <c r="P74" s="22">
        <f t="shared" si="9"/>
        <v>155</v>
      </c>
      <c r="Q74" s="22">
        <f>'Форма 2'!K242</f>
        <v>155</v>
      </c>
      <c r="R74" s="47" t="s">
        <v>156</v>
      </c>
      <c r="S74" s="172">
        <v>1</v>
      </c>
      <c r="T74" s="24"/>
    </row>
    <row r="75" spans="1:20" s="33" customFormat="1" ht="15.75" customHeight="1" x14ac:dyDescent="0.35">
      <c r="A75" s="11">
        <f t="shared" si="11"/>
        <v>40</v>
      </c>
      <c r="B75" s="11">
        <v>6354</v>
      </c>
      <c r="C75" s="46" t="s">
        <v>226</v>
      </c>
      <c r="D75" s="11">
        <v>1957</v>
      </c>
      <c r="E75" s="124" t="s">
        <v>75</v>
      </c>
      <c r="F75" s="124" t="s">
        <v>163</v>
      </c>
      <c r="G75" s="22">
        <v>4033</v>
      </c>
      <c r="H75" s="22">
        <v>2328</v>
      </c>
      <c r="I75" s="26">
        <v>110</v>
      </c>
      <c r="J75" s="22">
        <f>'Форма 2'!I246</f>
        <v>3447304.17</v>
      </c>
      <c r="K75" s="22">
        <v>0</v>
      </c>
      <c r="L75" s="22">
        <v>0</v>
      </c>
      <c r="M75" s="22">
        <v>0</v>
      </c>
      <c r="N75" s="22">
        <f t="shared" si="10"/>
        <v>3330031.28</v>
      </c>
      <c r="O75" s="22">
        <v>117272.89</v>
      </c>
      <c r="P75" s="22">
        <f t="shared" si="9"/>
        <v>1480.8</v>
      </c>
      <c r="Q75" s="22">
        <f>'Форма 2'!K246</f>
        <v>4807</v>
      </c>
      <c r="R75" s="47" t="s">
        <v>164</v>
      </c>
      <c r="S75" s="172">
        <v>1</v>
      </c>
      <c r="T75" s="24"/>
    </row>
    <row r="76" spans="1:20" s="33" customFormat="1" ht="15.75" customHeight="1" x14ac:dyDescent="0.35">
      <c r="A76" s="11">
        <f t="shared" si="11"/>
        <v>41</v>
      </c>
      <c r="B76" s="11">
        <v>6356</v>
      </c>
      <c r="C76" s="46" t="s">
        <v>227</v>
      </c>
      <c r="D76" s="11">
        <v>1957</v>
      </c>
      <c r="E76" s="124" t="s">
        <v>75</v>
      </c>
      <c r="F76" s="124" t="s">
        <v>163</v>
      </c>
      <c r="G76" s="22">
        <v>4296</v>
      </c>
      <c r="H76" s="22">
        <v>2350</v>
      </c>
      <c r="I76" s="26">
        <v>107</v>
      </c>
      <c r="J76" s="22">
        <f>'Форма 2'!I249</f>
        <v>3479058</v>
      </c>
      <c r="K76" s="22">
        <v>0</v>
      </c>
      <c r="L76" s="22">
        <v>0</v>
      </c>
      <c r="M76" s="22">
        <v>0</v>
      </c>
      <c r="N76" s="22">
        <f t="shared" si="10"/>
        <v>3360676.86</v>
      </c>
      <c r="O76" s="22">
        <v>118381.14</v>
      </c>
      <c r="P76" s="22">
        <f t="shared" si="9"/>
        <v>1480.45</v>
      </c>
      <c r="Q76" s="22">
        <f>'Форма 2'!K249</f>
        <v>4807</v>
      </c>
      <c r="R76" s="47" t="s">
        <v>164</v>
      </c>
      <c r="S76" s="172">
        <v>1</v>
      </c>
      <c r="T76" s="24"/>
    </row>
    <row r="77" spans="1:20" s="33" customFormat="1" ht="15.75" customHeight="1" x14ac:dyDescent="0.35">
      <c r="A77" s="11">
        <f t="shared" si="11"/>
        <v>42</v>
      </c>
      <c r="B77" s="11">
        <v>6403</v>
      </c>
      <c r="C77" s="46" t="s">
        <v>228</v>
      </c>
      <c r="D77" s="11">
        <v>1971</v>
      </c>
      <c r="E77" s="124" t="s">
        <v>75</v>
      </c>
      <c r="F77" s="124" t="s">
        <v>158</v>
      </c>
      <c r="G77" s="22">
        <v>5724.95</v>
      </c>
      <c r="H77" s="22">
        <v>4363.92</v>
      </c>
      <c r="I77" s="26">
        <v>232</v>
      </c>
      <c r="J77" s="19">
        <f>'Форма 2'!I252</f>
        <v>9244493.5899999999</v>
      </c>
      <c r="K77" s="22">
        <v>0</v>
      </c>
      <c r="L77" s="22">
        <v>0</v>
      </c>
      <c r="M77" s="22">
        <v>0</v>
      </c>
      <c r="N77" s="22">
        <f t="shared" si="10"/>
        <v>8934084.3499999996</v>
      </c>
      <c r="O77" s="22">
        <v>310409.24</v>
      </c>
      <c r="P77" s="22">
        <f t="shared" si="9"/>
        <v>2118.39</v>
      </c>
      <c r="Q77" s="19">
        <f>'Форма 2'!K252</f>
        <v>2831</v>
      </c>
      <c r="R77" s="34" t="s">
        <v>156</v>
      </c>
      <c r="S77" s="172">
        <v>1</v>
      </c>
      <c r="T77" s="24"/>
    </row>
    <row r="78" spans="1:20" s="33" customFormat="1" ht="15.75" customHeight="1" x14ac:dyDescent="0.35">
      <c r="A78" s="11">
        <f t="shared" si="11"/>
        <v>43</v>
      </c>
      <c r="B78" s="11">
        <v>6420</v>
      </c>
      <c r="C78" s="46" t="s">
        <v>229</v>
      </c>
      <c r="D78" s="11">
        <v>1955</v>
      </c>
      <c r="E78" s="124" t="s">
        <v>75</v>
      </c>
      <c r="F78" s="124" t="s">
        <v>163</v>
      </c>
      <c r="G78" s="22">
        <v>882</v>
      </c>
      <c r="H78" s="22">
        <v>486</v>
      </c>
      <c r="I78" s="26">
        <v>33</v>
      </c>
      <c r="J78" s="19">
        <f>'Форма 2'!I255</f>
        <v>1095152.3999999999</v>
      </c>
      <c r="K78" s="22">
        <v>0</v>
      </c>
      <c r="L78" s="22">
        <v>0</v>
      </c>
      <c r="M78" s="22">
        <v>0</v>
      </c>
      <c r="N78" s="22">
        <f t="shared" si="10"/>
        <v>1059790.03</v>
      </c>
      <c r="O78" s="22">
        <v>35362.370000000003</v>
      </c>
      <c r="P78" s="22">
        <f t="shared" si="9"/>
        <v>2253.4</v>
      </c>
      <c r="Q78" s="19">
        <f>'Форма 2'!K255</f>
        <v>7096</v>
      </c>
      <c r="R78" s="47" t="s">
        <v>164</v>
      </c>
      <c r="S78" s="172">
        <v>1</v>
      </c>
      <c r="T78" s="24"/>
    </row>
    <row r="79" spans="1:20" s="33" customFormat="1" ht="15.75" customHeight="1" x14ac:dyDescent="0.35">
      <c r="A79" s="11">
        <f t="shared" si="11"/>
        <v>44</v>
      </c>
      <c r="B79" s="11">
        <v>6476</v>
      </c>
      <c r="C79" s="46" t="s">
        <v>230</v>
      </c>
      <c r="D79" s="11">
        <v>1957</v>
      </c>
      <c r="E79" s="124" t="s">
        <v>75</v>
      </c>
      <c r="F79" s="124" t="s">
        <v>155</v>
      </c>
      <c r="G79" s="22">
        <v>905.5</v>
      </c>
      <c r="H79" s="22">
        <v>525</v>
      </c>
      <c r="I79" s="26">
        <v>24</v>
      </c>
      <c r="J79" s="19">
        <f>'Форма 2'!I258</f>
        <v>86451.59</v>
      </c>
      <c r="K79" s="22">
        <v>0</v>
      </c>
      <c r="L79" s="22">
        <v>0</v>
      </c>
      <c r="M79" s="22">
        <v>0</v>
      </c>
      <c r="N79" s="22">
        <f t="shared" si="10"/>
        <v>48251.49</v>
      </c>
      <c r="O79" s="22">
        <v>38200.1</v>
      </c>
      <c r="P79" s="22">
        <f t="shared" si="9"/>
        <v>164.67</v>
      </c>
      <c r="Q79" s="19">
        <f>'Форма 2'!K258</f>
        <v>178</v>
      </c>
      <c r="R79" s="47" t="s">
        <v>164</v>
      </c>
      <c r="S79" s="172">
        <v>1</v>
      </c>
      <c r="T79" s="24"/>
    </row>
    <row r="80" spans="1:20" s="33" customFormat="1" ht="15.75" customHeight="1" x14ac:dyDescent="0.35">
      <c r="A80" s="11">
        <f t="shared" si="11"/>
        <v>45</v>
      </c>
      <c r="B80" s="11">
        <v>6482</v>
      </c>
      <c r="C80" s="46" t="s">
        <v>231</v>
      </c>
      <c r="D80" s="11">
        <v>1955</v>
      </c>
      <c r="E80" s="118" t="s">
        <v>200</v>
      </c>
      <c r="F80" s="124" t="s">
        <v>155</v>
      </c>
      <c r="G80" s="22">
        <v>1442</v>
      </c>
      <c r="H80" s="22">
        <v>892.1</v>
      </c>
      <c r="I80" s="26">
        <v>58</v>
      </c>
      <c r="J80" s="19">
        <f>'Форма 2'!I260</f>
        <v>33899.800000000003</v>
      </c>
      <c r="K80" s="22">
        <v>0</v>
      </c>
      <c r="L80" s="22">
        <v>0</v>
      </c>
      <c r="M80" s="22">
        <v>0</v>
      </c>
      <c r="N80" s="22">
        <f t="shared" si="10"/>
        <v>0</v>
      </c>
      <c r="O80" s="22">
        <v>33899.800000000003</v>
      </c>
      <c r="P80" s="22">
        <f t="shared" si="9"/>
        <v>38</v>
      </c>
      <c r="Q80" s="19">
        <f>'Форма 2'!K260</f>
        <v>38</v>
      </c>
      <c r="R80" s="34" t="s">
        <v>156</v>
      </c>
      <c r="S80" s="172">
        <v>1</v>
      </c>
      <c r="T80" s="24"/>
    </row>
    <row r="81" spans="1:20" s="33" customFormat="1" ht="15.75" customHeight="1" x14ac:dyDescent="0.35">
      <c r="A81" s="11">
        <f>A80+1</f>
        <v>46</v>
      </c>
      <c r="B81" s="11">
        <v>6514</v>
      </c>
      <c r="C81" s="46" t="s">
        <v>235</v>
      </c>
      <c r="D81" s="11">
        <v>1957</v>
      </c>
      <c r="E81" s="118" t="s">
        <v>181</v>
      </c>
      <c r="F81" s="124" t="s">
        <v>155</v>
      </c>
      <c r="G81" s="22">
        <v>481.3</v>
      </c>
      <c r="H81" s="22">
        <v>432.5</v>
      </c>
      <c r="I81" s="26">
        <v>19</v>
      </c>
      <c r="J81" s="19">
        <f>'Форма 2'!I263</f>
        <v>67037.5</v>
      </c>
      <c r="K81" s="22">
        <v>0</v>
      </c>
      <c r="L81" s="22">
        <v>0</v>
      </c>
      <c r="M81" s="22">
        <v>0</v>
      </c>
      <c r="N81" s="22">
        <f t="shared" si="10"/>
        <v>62873.8</v>
      </c>
      <c r="O81" s="22">
        <v>4163.7</v>
      </c>
      <c r="P81" s="22">
        <f t="shared" si="9"/>
        <v>155</v>
      </c>
      <c r="Q81" s="19">
        <f>'Форма 2'!K263</f>
        <v>155</v>
      </c>
      <c r="R81" s="47" t="s">
        <v>156</v>
      </c>
      <c r="S81" s="172">
        <v>1</v>
      </c>
      <c r="T81" s="24"/>
    </row>
    <row r="82" spans="1:20" s="33" customFormat="1" ht="15.75" customHeight="1" x14ac:dyDescent="0.35">
      <c r="A82" s="11">
        <f t="shared" si="11"/>
        <v>47</v>
      </c>
      <c r="B82" s="11">
        <v>6516</v>
      </c>
      <c r="C82" s="46" t="s">
        <v>236</v>
      </c>
      <c r="D82" s="11">
        <v>1957</v>
      </c>
      <c r="E82" s="118" t="s">
        <v>181</v>
      </c>
      <c r="F82" s="124" t="s">
        <v>155</v>
      </c>
      <c r="G82" s="22">
        <v>471.9</v>
      </c>
      <c r="H82" s="22">
        <v>424.9</v>
      </c>
      <c r="I82" s="26">
        <v>17</v>
      </c>
      <c r="J82" s="19">
        <f>'Форма 2'!I267</f>
        <v>65859.5</v>
      </c>
      <c r="K82" s="22">
        <v>0</v>
      </c>
      <c r="L82" s="22">
        <v>0</v>
      </c>
      <c r="M82" s="22">
        <v>0</v>
      </c>
      <c r="N82" s="22">
        <f t="shared" si="10"/>
        <v>61768.959999999999</v>
      </c>
      <c r="O82" s="22">
        <v>4090.54</v>
      </c>
      <c r="P82" s="22">
        <f t="shared" si="9"/>
        <v>155</v>
      </c>
      <c r="Q82" s="19">
        <f>'Форма 2'!K267</f>
        <v>155</v>
      </c>
      <c r="R82" s="47" t="s">
        <v>156</v>
      </c>
      <c r="S82" s="172">
        <v>1</v>
      </c>
      <c r="T82" s="24"/>
    </row>
    <row r="83" spans="1:20" s="33" customFormat="1" ht="15.75" customHeight="1" x14ac:dyDescent="0.35">
      <c r="A83" s="11">
        <f t="shared" si="11"/>
        <v>48</v>
      </c>
      <c r="B83" s="11">
        <v>6517</v>
      </c>
      <c r="C83" s="46" t="s">
        <v>237</v>
      </c>
      <c r="D83" s="11">
        <v>1956</v>
      </c>
      <c r="E83" s="118" t="s">
        <v>736</v>
      </c>
      <c r="F83" s="124" t="s">
        <v>155</v>
      </c>
      <c r="G83" s="22">
        <v>341.69</v>
      </c>
      <c r="H83" s="22">
        <v>315.08999999999997</v>
      </c>
      <c r="I83" s="26">
        <v>18</v>
      </c>
      <c r="J83" s="19">
        <f>'Форма 2'!I271</f>
        <v>49469.13</v>
      </c>
      <c r="K83" s="22">
        <v>0</v>
      </c>
      <c r="L83" s="22">
        <v>0</v>
      </c>
      <c r="M83" s="22">
        <v>0</v>
      </c>
      <c r="N83" s="22">
        <f t="shared" si="10"/>
        <v>35193.89</v>
      </c>
      <c r="O83" s="22">
        <v>14275.24</v>
      </c>
      <c r="P83" s="22">
        <f t="shared" si="9"/>
        <v>157</v>
      </c>
      <c r="Q83" s="19">
        <f>'Форма 2'!K271</f>
        <v>157</v>
      </c>
      <c r="R83" s="47" t="s">
        <v>156</v>
      </c>
      <c r="S83" s="172">
        <v>1</v>
      </c>
      <c r="T83" s="24"/>
    </row>
    <row r="84" spans="1:20" s="33" customFormat="1" ht="15.75" customHeight="1" x14ac:dyDescent="0.35">
      <c r="A84" s="11">
        <f t="shared" si="11"/>
        <v>49</v>
      </c>
      <c r="B84" s="11">
        <v>6524</v>
      </c>
      <c r="C84" s="46" t="s">
        <v>238</v>
      </c>
      <c r="D84" s="11">
        <v>1930</v>
      </c>
      <c r="E84" s="124" t="s">
        <v>239</v>
      </c>
      <c r="F84" s="124" t="s">
        <v>155</v>
      </c>
      <c r="G84" s="22">
        <v>675.65</v>
      </c>
      <c r="H84" s="22">
        <v>536.63</v>
      </c>
      <c r="I84" s="26">
        <v>38</v>
      </c>
      <c r="J84" s="19">
        <f>'Форма 2'!I275</f>
        <v>62785.71</v>
      </c>
      <c r="K84" s="22">
        <v>0</v>
      </c>
      <c r="L84" s="22">
        <v>0</v>
      </c>
      <c r="M84" s="22">
        <v>0</v>
      </c>
      <c r="N84" s="22">
        <f t="shared" si="10"/>
        <v>49144.47</v>
      </c>
      <c r="O84" s="22">
        <v>13641.24</v>
      </c>
      <c r="P84" s="22">
        <f t="shared" si="9"/>
        <v>117</v>
      </c>
      <c r="Q84" s="19">
        <f>'Форма 2'!K275</f>
        <v>117</v>
      </c>
      <c r="R84" s="47" t="s">
        <v>156</v>
      </c>
      <c r="S84" s="172">
        <v>1</v>
      </c>
      <c r="T84" s="24"/>
    </row>
    <row r="85" spans="1:20" s="33" customFormat="1" ht="15.75" customHeight="1" x14ac:dyDescent="0.35">
      <c r="A85" s="228" t="s">
        <v>46</v>
      </c>
      <c r="B85" s="228"/>
      <c r="C85" s="228"/>
      <c r="D85" s="23" t="s">
        <v>13</v>
      </c>
      <c r="E85" s="22" t="s">
        <v>13</v>
      </c>
      <c r="F85" s="22" t="s">
        <v>13</v>
      </c>
      <c r="G85" s="27">
        <f>SUM(G86:G101)</f>
        <v>87218.9</v>
      </c>
      <c r="H85" s="27">
        <f t="shared" ref="H85:O85" si="12">SUM(H86:H101)</f>
        <v>72009.69</v>
      </c>
      <c r="I85" s="104">
        <f t="shared" si="12"/>
        <v>3180</v>
      </c>
      <c r="J85" s="27">
        <f t="shared" si="12"/>
        <v>60922927.520000003</v>
      </c>
      <c r="K85" s="27">
        <f t="shared" si="12"/>
        <v>0</v>
      </c>
      <c r="L85" s="27">
        <f t="shared" si="12"/>
        <v>0</v>
      </c>
      <c r="M85" s="27">
        <f t="shared" si="12"/>
        <v>0</v>
      </c>
      <c r="N85" s="27">
        <f t="shared" si="12"/>
        <v>58965108.810000002</v>
      </c>
      <c r="O85" s="27">
        <f t="shared" si="12"/>
        <v>1957818.71</v>
      </c>
      <c r="P85" s="22" t="s">
        <v>13</v>
      </c>
      <c r="Q85" s="22" t="s">
        <v>13</v>
      </c>
      <c r="R85" s="22" t="s">
        <v>13</v>
      </c>
      <c r="S85" s="26" t="s">
        <v>13</v>
      </c>
      <c r="T85" s="24"/>
    </row>
    <row r="86" spans="1:20" s="33" customFormat="1" ht="15.75" customHeight="1" x14ac:dyDescent="0.35">
      <c r="A86" s="41">
        <v>1</v>
      </c>
      <c r="B86" s="123">
        <v>5082</v>
      </c>
      <c r="C86" s="40" t="s">
        <v>240</v>
      </c>
      <c r="D86" s="42">
        <v>1971</v>
      </c>
      <c r="E86" s="42" t="s">
        <v>75</v>
      </c>
      <c r="F86" s="42" t="s">
        <v>158</v>
      </c>
      <c r="G86" s="25">
        <v>772.9</v>
      </c>
      <c r="H86" s="22">
        <v>717.5</v>
      </c>
      <c r="I86" s="100">
        <v>34</v>
      </c>
      <c r="J86" s="22">
        <f>'Форма 2'!I278</f>
        <v>3338119.86</v>
      </c>
      <c r="K86" s="48">
        <v>0</v>
      </c>
      <c r="L86" s="48">
        <v>0</v>
      </c>
      <c r="M86" s="48">
        <v>0</v>
      </c>
      <c r="N86" s="22">
        <f>J86-K86-L86-M86-O86</f>
        <v>3234868.75</v>
      </c>
      <c r="O86" s="22">
        <v>103251.11</v>
      </c>
      <c r="P86" s="22">
        <f t="shared" ref="P86:P101" si="13">J86/H86</f>
        <v>4652.43</v>
      </c>
      <c r="Q86" s="22">
        <f>'Форма 2'!K278</f>
        <v>7539</v>
      </c>
      <c r="R86" s="38" t="s">
        <v>156</v>
      </c>
      <c r="S86" s="26">
        <v>1</v>
      </c>
      <c r="T86" s="24"/>
    </row>
    <row r="87" spans="1:20" s="33" customFormat="1" ht="15.75" customHeight="1" x14ac:dyDescent="0.35">
      <c r="A87" s="41">
        <f>A86+1</f>
        <v>2</v>
      </c>
      <c r="B87" s="123">
        <v>5083</v>
      </c>
      <c r="C87" s="40" t="s">
        <v>241</v>
      </c>
      <c r="D87" s="42">
        <v>1969</v>
      </c>
      <c r="E87" s="42" t="s">
        <v>75</v>
      </c>
      <c r="F87" s="42" t="s">
        <v>158</v>
      </c>
      <c r="G87" s="25">
        <v>774.1</v>
      </c>
      <c r="H87" s="22">
        <v>712.5</v>
      </c>
      <c r="I87" s="100">
        <v>35</v>
      </c>
      <c r="J87" s="22">
        <f>'Форма 2'!I281</f>
        <v>3137638.98</v>
      </c>
      <c r="K87" s="48">
        <v>0</v>
      </c>
      <c r="L87" s="48">
        <v>0</v>
      </c>
      <c r="M87" s="48">
        <v>0</v>
      </c>
      <c r="N87" s="22">
        <f t="shared" ref="N87:N101" si="14">J87-K87-L87-M87-O87</f>
        <v>3040588.92</v>
      </c>
      <c r="O87" s="22">
        <v>97050.06</v>
      </c>
      <c r="P87" s="22">
        <f t="shared" si="13"/>
        <v>4403.7</v>
      </c>
      <c r="Q87" s="22">
        <f>'Форма 2'!K281</f>
        <v>7539</v>
      </c>
      <c r="R87" s="38" t="s">
        <v>156</v>
      </c>
      <c r="S87" s="26">
        <v>1</v>
      </c>
      <c r="T87" s="24"/>
    </row>
    <row r="88" spans="1:20" s="33" customFormat="1" ht="15.75" customHeight="1" x14ac:dyDescent="0.35">
      <c r="A88" s="41">
        <f t="shared" ref="A88:A101" si="15">A87+1</f>
        <v>3</v>
      </c>
      <c r="B88" s="119">
        <v>5112</v>
      </c>
      <c r="C88" s="40" t="s">
        <v>242</v>
      </c>
      <c r="D88" s="42">
        <v>1973</v>
      </c>
      <c r="E88" s="42" t="s">
        <v>243</v>
      </c>
      <c r="F88" s="42" t="s">
        <v>158</v>
      </c>
      <c r="G88" s="25">
        <v>806.9</v>
      </c>
      <c r="H88" s="22">
        <v>745.9</v>
      </c>
      <c r="I88" s="100">
        <v>48</v>
      </c>
      <c r="J88" s="22">
        <f>'Форма 2'!I284</f>
        <v>495210.47</v>
      </c>
      <c r="K88" s="48">
        <v>0</v>
      </c>
      <c r="L88" s="48">
        <v>0</v>
      </c>
      <c r="M88" s="48">
        <v>0</v>
      </c>
      <c r="N88" s="22">
        <f t="shared" si="14"/>
        <v>482522.01</v>
      </c>
      <c r="O88" s="22">
        <v>12688.46</v>
      </c>
      <c r="P88" s="22">
        <f t="shared" si="13"/>
        <v>663.91</v>
      </c>
      <c r="Q88" s="22">
        <f>'Форма 2'!K284</f>
        <v>664</v>
      </c>
      <c r="R88" s="38" t="s">
        <v>156</v>
      </c>
      <c r="S88" s="26">
        <v>1</v>
      </c>
      <c r="T88" s="24"/>
    </row>
    <row r="89" spans="1:20" s="33" customFormat="1" ht="15.75" customHeight="1" x14ac:dyDescent="0.35">
      <c r="A89" s="41">
        <f t="shared" si="15"/>
        <v>4</v>
      </c>
      <c r="B89" s="151">
        <v>5130</v>
      </c>
      <c r="C89" s="40" t="s">
        <v>244</v>
      </c>
      <c r="D89" s="42">
        <v>1977</v>
      </c>
      <c r="E89" s="42" t="s">
        <v>75</v>
      </c>
      <c r="F89" s="42" t="s">
        <v>155</v>
      </c>
      <c r="G89" s="25">
        <v>8894</v>
      </c>
      <c r="H89" s="22">
        <v>7561.6</v>
      </c>
      <c r="I89" s="100">
        <v>303</v>
      </c>
      <c r="J89" s="22">
        <f>'Форма 2'!I287</f>
        <v>609463.23</v>
      </c>
      <c r="K89" s="48">
        <v>0</v>
      </c>
      <c r="L89" s="48">
        <v>0</v>
      </c>
      <c r="M89" s="48">
        <v>0</v>
      </c>
      <c r="N89" s="22">
        <f t="shared" si="14"/>
        <v>568541.54</v>
      </c>
      <c r="O89" s="22">
        <v>40921.69</v>
      </c>
      <c r="P89" s="22">
        <f t="shared" si="13"/>
        <v>80.599999999999994</v>
      </c>
      <c r="Q89" s="22">
        <f>'Форма 2'!K287</f>
        <v>167</v>
      </c>
      <c r="R89" s="38" t="s">
        <v>156</v>
      </c>
      <c r="S89" s="26">
        <v>1</v>
      </c>
      <c r="T89" s="24"/>
    </row>
    <row r="90" spans="1:20" s="33" customFormat="1" ht="15.75" customHeight="1" x14ac:dyDescent="0.35">
      <c r="A90" s="41">
        <f t="shared" si="15"/>
        <v>5</v>
      </c>
      <c r="B90" s="120">
        <v>5131</v>
      </c>
      <c r="C90" s="40" t="s">
        <v>245</v>
      </c>
      <c r="D90" s="42">
        <v>1978</v>
      </c>
      <c r="E90" s="42" t="s">
        <v>75</v>
      </c>
      <c r="F90" s="42" t="s">
        <v>155</v>
      </c>
      <c r="G90" s="25">
        <v>9757.6</v>
      </c>
      <c r="H90" s="22">
        <v>8069.69</v>
      </c>
      <c r="I90" s="100">
        <v>307</v>
      </c>
      <c r="J90" s="22">
        <f>'Форма 2'!I289</f>
        <v>620176.25</v>
      </c>
      <c r="K90" s="48">
        <v>0</v>
      </c>
      <c r="L90" s="48">
        <v>0</v>
      </c>
      <c r="M90" s="48">
        <v>0</v>
      </c>
      <c r="N90" s="22">
        <f t="shared" si="14"/>
        <v>576504.89</v>
      </c>
      <c r="O90" s="22">
        <v>43671.360000000001</v>
      </c>
      <c r="P90" s="22">
        <f t="shared" si="13"/>
        <v>76.849999999999994</v>
      </c>
      <c r="Q90" s="22">
        <f>'Форма 2'!K289</f>
        <v>167</v>
      </c>
      <c r="R90" s="38" t="s">
        <v>156</v>
      </c>
      <c r="S90" s="26">
        <v>1</v>
      </c>
      <c r="T90" s="24"/>
    </row>
    <row r="91" spans="1:20" s="33" customFormat="1" ht="15.75" customHeight="1" x14ac:dyDescent="0.35">
      <c r="A91" s="41">
        <f t="shared" si="15"/>
        <v>6</v>
      </c>
      <c r="B91" s="123">
        <v>5133</v>
      </c>
      <c r="C91" s="40" t="s">
        <v>246</v>
      </c>
      <c r="D91" s="42">
        <v>1979</v>
      </c>
      <c r="E91" s="42" t="s">
        <v>75</v>
      </c>
      <c r="F91" s="42" t="s">
        <v>155</v>
      </c>
      <c r="G91" s="25">
        <v>10531.4</v>
      </c>
      <c r="H91" s="22">
        <v>8595.5</v>
      </c>
      <c r="I91" s="100">
        <v>406</v>
      </c>
      <c r="J91" s="22">
        <f>'Форма 2'!I291</f>
        <v>643754.97</v>
      </c>
      <c r="K91" s="48">
        <v>0</v>
      </c>
      <c r="L91" s="48">
        <v>0</v>
      </c>
      <c r="M91" s="48">
        <v>0</v>
      </c>
      <c r="N91" s="22">
        <f t="shared" si="14"/>
        <v>597238.04</v>
      </c>
      <c r="O91" s="22">
        <v>46516.93</v>
      </c>
      <c r="P91" s="22">
        <f t="shared" si="13"/>
        <v>74.89</v>
      </c>
      <c r="Q91" s="22">
        <f>'Форма 2'!K291</f>
        <v>167</v>
      </c>
      <c r="R91" s="38" t="s">
        <v>156</v>
      </c>
      <c r="S91" s="26">
        <v>1</v>
      </c>
      <c r="T91" s="24"/>
    </row>
    <row r="92" spans="1:20" s="33" customFormat="1" ht="15.75" customHeight="1" x14ac:dyDescent="0.35">
      <c r="A92" s="41">
        <f t="shared" si="15"/>
        <v>7</v>
      </c>
      <c r="B92" s="123">
        <v>5163</v>
      </c>
      <c r="C92" s="40" t="s">
        <v>247</v>
      </c>
      <c r="D92" s="42">
        <v>1986</v>
      </c>
      <c r="E92" s="42" t="s">
        <v>75</v>
      </c>
      <c r="F92" s="42" t="s">
        <v>158</v>
      </c>
      <c r="G92" s="25">
        <v>3269</v>
      </c>
      <c r="H92" s="25">
        <v>2678.3</v>
      </c>
      <c r="I92" s="101">
        <v>123</v>
      </c>
      <c r="J92" s="22">
        <f>'Форма 2'!I293</f>
        <v>5080960.6500000004</v>
      </c>
      <c r="K92" s="22">
        <v>0</v>
      </c>
      <c r="L92" s="48">
        <v>0</v>
      </c>
      <c r="M92" s="48">
        <v>0</v>
      </c>
      <c r="N92" s="22">
        <f t="shared" si="14"/>
        <v>4923801.8600000003</v>
      </c>
      <c r="O92" s="22">
        <v>157158.79</v>
      </c>
      <c r="P92" s="22">
        <f t="shared" si="13"/>
        <v>1897.08</v>
      </c>
      <c r="Q92" s="22">
        <f>'Форма 2'!K293</f>
        <v>3067</v>
      </c>
      <c r="R92" s="49" t="s">
        <v>156</v>
      </c>
      <c r="S92" s="26">
        <v>1</v>
      </c>
      <c r="T92" s="24"/>
    </row>
    <row r="93" spans="1:20" s="33" customFormat="1" ht="15.75" customHeight="1" x14ac:dyDescent="0.35">
      <c r="A93" s="41">
        <f t="shared" si="15"/>
        <v>8</v>
      </c>
      <c r="B93" s="120">
        <v>5166</v>
      </c>
      <c r="C93" s="40" t="s">
        <v>248</v>
      </c>
      <c r="D93" s="42">
        <v>1987</v>
      </c>
      <c r="E93" s="41" t="s">
        <v>185</v>
      </c>
      <c r="F93" s="41" t="s">
        <v>186</v>
      </c>
      <c r="G93" s="25">
        <v>10422.4</v>
      </c>
      <c r="H93" s="25">
        <v>8014.4</v>
      </c>
      <c r="I93" s="101">
        <v>345</v>
      </c>
      <c r="J93" s="22">
        <f>'Форма 2'!I296</f>
        <v>7002104</v>
      </c>
      <c r="K93" s="22">
        <v>0</v>
      </c>
      <c r="L93" s="48">
        <v>0</v>
      </c>
      <c r="M93" s="48">
        <v>0</v>
      </c>
      <c r="N93" s="22">
        <f t="shared" si="14"/>
        <v>6782453.0300000003</v>
      </c>
      <c r="O93" s="22">
        <v>219650.97</v>
      </c>
      <c r="P93" s="22">
        <f t="shared" si="13"/>
        <v>873.69</v>
      </c>
      <c r="Q93" s="22">
        <f>'Форма 2'!K296</f>
        <v>885.96</v>
      </c>
      <c r="R93" s="38" t="s">
        <v>156</v>
      </c>
      <c r="S93" s="26">
        <v>1</v>
      </c>
      <c r="T93" s="24"/>
    </row>
    <row r="94" spans="1:20" s="33" customFormat="1" ht="15.75" customHeight="1" x14ac:dyDescent="0.35">
      <c r="A94" s="41">
        <f t="shared" si="15"/>
        <v>9</v>
      </c>
      <c r="B94" s="120">
        <v>5167</v>
      </c>
      <c r="C94" s="40" t="s">
        <v>249</v>
      </c>
      <c r="D94" s="42">
        <v>1987</v>
      </c>
      <c r="E94" s="41" t="s">
        <v>185</v>
      </c>
      <c r="F94" s="41" t="s">
        <v>186</v>
      </c>
      <c r="G94" s="25">
        <v>5000.8</v>
      </c>
      <c r="H94" s="25">
        <v>3743</v>
      </c>
      <c r="I94" s="101">
        <v>158</v>
      </c>
      <c r="J94" s="22">
        <f>'Форма 2'!I309</f>
        <v>3501052</v>
      </c>
      <c r="K94" s="22">
        <v>0</v>
      </c>
      <c r="L94" s="48">
        <v>0</v>
      </c>
      <c r="M94" s="48">
        <v>0</v>
      </c>
      <c r="N94" s="22">
        <f t="shared" si="14"/>
        <v>3391226.52</v>
      </c>
      <c r="O94" s="22">
        <v>109825.48</v>
      </c>
      <c r="P94" s="22">
        <f t="shared" si="13"/>
        <v>935.36</v>
      </c>
      <c r="Q94" s="22">
        <f>'Форма 2'!K309</f>
        <v>948.49</v>
      </c>
      <c r="R94" s="38" t="s">
        <v>156</v>
      </c>
      <c r="S94" s="26">
        <v>1</v>
      </c>
      <c r="T94" s="24"/>
    </row>
    <row r="95" spans="1:20" s="33" customFormat="1" ht="15.75" customHeight="1" x14ac:dyDescent="0.35">
      <c r="A95" s="41">
        <f t="shared" si="15"/>
        <v>10</v>
      </c>
      <c r="B95" s="120">
        <v>5180</v>
      </c>
      <c r="C95" s="40" t="s">
        <v>250</v>
      </c>
      <c r="D95" s="42">
        <v>1988</v>
      </c>
      <c r="E95" s="41" t="s">
        <v>185</v>
      </c>
      <c r="F95" s="41" t="s">
        <v>186</v>
      </c>
      <c r="G95" s="25">
        <v>10385.799999999999</v>
      </c>
      <c r="H95" s="25">
        <v>7928</v>
      </c>
      <c r="I95" s="101">
        <v>363</v>
      </c>
      <c r="J95" s="22">
        <f>'Форма 2'!I316</f>
        <v>7002104</v>
      </c>
      <c r="K95" s="22">
        <v>0</v>
      </c>
      <c r="L95" s="48">
        <v>0</v>
      </c>
      <c r="M95" s="48">
        <v>0</v>
      </c>
      <c r="N95" s="22">
        <f t="shared" si="14"/>
        <v>6782453.0300000003</v>
      </c>
      <c r="O95" s="22">
        <v>219650.97</v>
      </c>
      <c r="P95" s="22">
        <f t="shared" si="13"/>
        <v>883.21</v>
      </c>
      <c r="Q95" s="22">
        <f>'Форма 2'!K316</f>
        <v>895.61</v>
      </c>
      <c r="R95" s="38" t="s">
        <v>156</v>
      </c>
      <c r="S95" s="26">
        <v>1</v>
      </c>
      <c r="T95" s="24"/>
    </row>
    <row r="96" spans="1:20" s="33" customFormat="1" ht="15.75" customHeight="1" x14ac:dyDescent="0.35">
      <c r="A96" s="41">
        <f>A95+1</f>
        <v>11</v>
      </c>
      <c r="B96" s="120">
        <v>5194</v>
      </c>
      <c r="C96" s="40" t="s">
        <v>251</v>
      </c>
      <c r="D96" s="42">
        <v>1989</v>
      </c>
      <c r="E96" s="41" t="s">
        <v>185</v>
      </c>
      <c r="F96" s="41" t="s">
        <v>186</v>
      </c>
      <c r="G96" s="25">
        <v>11693.5</v>
      </c>
      <c r="H96" s="25">
        <v>10125.4</v>
      </c>
      <c r="I96" s="101">
        <v>445</v>
      </c>
      <c r="J96" s="22">
        <f>'Форма 2'!I329</f>
        <v>8752630</v>
      </c>
      <c r="K96" s="22">
        <v>0</v>
      </c>
      <c r="L96" s="48">
        <v>0</v>
      </c>
      <c r="M96" s="48">
        <v>0</v>
      </c>
      <c r="N96" s="22">
        <f t="shared" si="14"/>
        <v>8478066.2899999991</v>
      </c>
      <c r="O96" s="22">
        <v>274563.71000000002</v>
      </c>
      <c r="P96" s="22">
        <f t="shared" si="13"/>
        <v>864.42</v>
      </c>
      <c r="Q96" s="22">
        <f>'Форма 2'!K329</f>
        <v>876.56</v>
      </c>
      <c r="R96" s="38" t="s">
        <v>156</v>
      </c>
      <c r="S96" s="26">
        <v>1</v>
      </c>
      <c r="T96" s="24"/>
    </row>
    <row r="97" spans="1:20" s="33" customFormat="1" ht="15.75" customHeight="1" x14ac:dyDescent="0.35">
      <c r="A97" s="41">
        <f t="shared" si="15"/>
        <v>12</v>
      </c>
      <c r="B97" s="120">
        <v>5196</v>
      </c>
      <c r="C97" s="40" t="s">
        <v>252</v>
      </c>
      <c r="D97" s="42">
        <v>1989</v>
      </c>
      <c r="E97" s="41" t="s">
        <v>185</v>
      </c>
      <c r="F97" s="41" t="s">
        <v>186</v>
      </c>
      <c r="G97" s="25">
        <v>11612.1</v>
      </c>
      <c r="H97" s="25">
        <v>10201.1</v>
      </c>
      <c r="I97" s="101">
        <v>466</v>
      </c>
      <c r="J97" s="22">
        <f>'Форма 2'!I345</f>
        <v>8752630</v>
      </c>
      <c r="K97" s="48">
        <v>0</v>
      </c>
      <c r="L97" s="48">
        <v>0</v>
      </c>
      <c r="M97" s="48">
        <v>0</v>
      </c>
      <c r="N97" s="22">
        <f t="shared" si="14"/>
        <v>8478066.2899999991</v>
      </c>
      <c r="O97" s="22">
        <v>274563.71000000002</v>
      </c>
      <c r="P97" s="22">
        <f t="shared" si="13"/>
        <v>858.01</v>
      </c>
      <c r="Q97" s="22">
        <f>'Форма 2'!K345</f>
        <v>870.06</v>
      </c>
      <c r="R97" s="38" t="s">
        <v>156</v>
      </c>
      <c r="S97" s="26">
        <v>1</v>
      </c>
      <c r="T97" s="24"/>
    </row>
    <row r="98" spans="1:20" s="33" customFormat="1" ht="15.75" customHeight="1" x14ac:dyDescent="0.35">
      <c r="A98" s="41">
        <f t="shared" si="15"/>
        <v>13</v>
      </c>
      <c r="B98" s="124">
        <v>5210</v>
      </c>
      <c r="C98" s="40" t="s">
        <v>253</v>
      </c>
      <c r="D98" s="42">
        <v>1976</v>
      </c>
      <c r="E98" s="41" t="s">
        <v>254</v>
      </c>
      <c r="F98" s="41" t="s">
        <v>163</v>
      </c>
      <c r="G98" s="25">
        <v>1063.2</v>
      </c>
      <c r="H98" s="25">
        <v>990.3</v>
      </c>
      <c r="I98" s="101">
        <v>25</v>
      </c>
      <c r="J98" s="22">
        <f>'Форма 2'!I361</f>
        <v>1240947.3</v>
      </c>
      <c r="K98" s="22">
        <v>0</v>
      </c>
      <c r="L98" s="48">
        <v>0</v>
      </c>
      <c r="M98" s="48">
        <v>0</v>
      </c>
      <c r="N98" s="22">
        <f t="shared" si="14"/>
        <v>1221067.5</v>
      </c>
      <c r="O98" s="22">
        <v>19879.8</v>
      </c>
      <c r="P98" s="22">
        <f t="shared" si="13"/>
        <v>1253.0999999999999</v>
      </c>
      <c r="Q98" s="22">
        <f>'Форма 2'!K361</f>
        <v>3923</v>
      </c>
      <c r="R98" s="38" t="s">
        <v>164</v>
      </c>
      <c r="S98" s="26">
        <v>1</v>
      </c>
      <c r="T98" s="24"/>
    </row>
    <row r="99" spans="1:20" s="33" customFormat="1" ht="15.75" customHeight="1" x14ac:dyDescent="0.35">
      <c r="A99" s="41">
        <f t="shared" si="15"/>
        <v>14</v>
      </c>
      <c r="B99" s="123">
        <v>5234</v>
      </c>
      <c r="C99" s="40" t="s">
        <v>255</v>
      </c>
      <c r="D99" s="42">
        <v>1986</v>
      </c>
      <c r="E99" s="42" t="s">
        <v>75</v>
      </c>
      <c r="F99" s="42" t="s">
        <v>158</v>
      </c>
      <c r="G99" s="25">
        <v>746.7</v>
      </c>
      <c r="H99" s="25">
        <v>665.8</v>
      </c>
      <c r="I99" s="101">
        <v>44</v>
      </c>
      <c r="J99" s="22">
        <f>'Форма 2'!I368</f>
        <v>3585081.87</v>
      </c>
      <c r="K99" s="48">
        <v>0</v>
      </c>
      <c r="L99" s="48">
        <v>0</v>
      </c>
      <c r="M99" s="48">
        <v>0</v>
      </c>
      <c r="N99" s="22">
        <f t="shared" si="14"/>
        <v>3469244.03</v>
      </c>
      <c r="O99" s="22">
        <v>115837.84</v>
      </c>
      <c r="P99" s="22">
        <f t="shared" si="13"/>
        <v>5384.62</v>
      </c>
      <c r="Q99" s="22">
        <f>'Форма 2'!K368</f>
        <v>7539</v>
      </c>
      <c r="R99" s="49" t="s">
        <v>156</v>
      </c>
      <c r="S99" s="26">
        <v>1</v>
      </c>
      <c r="T99" s="24"/>
    </row>
    <row r="100" spans="1:20" s="33" customFormat="1" ht="15.75" customHeight="1" x14ac:dyDescent="0.35">
      <c r="A100" s="41">
        <f t="shared" si="15"/>
        <v>15</v>
      </c>
      <c r="B100" s="123">
        <v>5235</v>
      </c>
      <c r="C100" s="40" t="s">
        <v>256</v>
      </c>
      <c r="D100" s="42">
        <v>1986</v>
      </c>
      <c r="E100" s="42" t="s">
        <v>75</v>
      </c>
      <c r="F100" s="42" t="s">
        <v>158</v>
      </c>
      <c r="G100" s="25">
        <v>773.5</v>
      </c>
      <c r="H100" s="25">
        <v>681.6</v>
      </c>
      <c r="I100" s="101">
        <v>42</v>
      </c>
      <c r="J100" s="22">
        <f>'Форма 2'!I371</f>
        <v>3747269.67</v>
      </c>
      <c r="K100" s="48">
        <v>0</v>
      </c>
      <c r="L100" s="48">
        <v>0</v>
      </c>
      <c r="M100" s="48">
        <v>0</v>
      </c>
      <c r="N100" s="22">
        <f t="shared" si="14"/>
        <v>3630792.87</v>
      </c>
      <c r="O100" s="22">
        <v>116476.8</v>
      </c>
      <c r="P100" s="22">
        <f t="shared" si="13"/>
        <v>5497.75</v>
      </c>
      <c r="Q100" s="22">
        <f>'Форма 2'!K371</f>
        <v>7539</v>
      </c>
      <c r="R100" s="49" t="s">
        <v>156</v>
      </c>
      <c r="S100" s="26">
        <v>1</v>
      </c>
      <c r="T100" s="24"/>
    </row>
    <row r="101" spans="1:20" s="33" customFormat="1" ht="15.75" customHeight="1" x14ac:dyDescent="0.35">
      <c r="A101" s="41">
        <f t="shared" si="15"/>
        <v>16</v>
      </c>
      <c r="B101" s="123">
        <v>5261</v>
      </c>
      <c r="C101" s="40" t="s">
        <v>257</v>
      </c>
      <c r="D101" s="64">
        <v>1978</v>
      </c>
      <c r="E101" s="42" t="s">
        <v>75</v>
      </c>
      <c r="F101" s="42" t="s">
        <v>158</v>
      </c>
      <c r="G101" s="25">
        <v>715</v>
      </c>
      <c r="H101" s="25">
        <v>579.1</v>
      </c>
      <c r="I101" s="102">
        <v>36</v>
      </c>
      <c r="J101" s="22">
        <f>'Форма 2'!I374</f>
        <v>3413784.27</v>
      </c>
      <c r="K101" s="48">
        <v>0</v>
      </c>
      <c r="L101" s="48">
        <v>0</v>
      </c>
      <c r="M101" s="48">
        <v>0</v>
      </c>
      <c r="N101" s="22">
        <f t="shared" si="14"/>
        <v>3307673.24</v>
      </c>
      <c r="O101" s="22">
        <v>106111.03</v>
      </c>
      <c r="P101" s="22">
        <f t="shared" si="13"/>
        <v>5894.98</v>
      </c>
      <c r="Q101" s="22">
        <f>'Форма 2'!K374</f>
        <v>7539</v>
      </c>
      <c r="R101" s="49" t="s">
        <v>156</v>
      </c>
      <c r="S101" s="26">
        <v>1</v>
      </c>
      <c r="T101" s="24"/>
    </row>
    <row r="102" spans="1:20" s="33" customFormat="1" ht="15.75" customHeight="1" x14ac:dyDescent="0.35">
      <c r="A102" s="232" t="s">
        <v>47</v>
      </c>
      <c r="B102" s="233"/>
      <c r="C102" s="234"/>
      <c r="D102" s="97" t="s">
        <v>13</v>
      </c>
      <c r="E102" s="97" t="s">
        <v>13</v>
      </c>
      <c r="F102" s="97" t="s">
        <v>13</v>
      </c>
      <c r="G102" s="22">
        <f t="shared" ref="G102:O102" si="16">G103+G163+G197+G229</f>
        <v>689240.86</v>
      </c>
      <c r="H102" s="22">
        <f t="shared" si="16"/>
        <v>601488.34</v>
      </c>
      <c r="I102" s="26">
        <f t="shared" si="16"/>
        <v>25908</v>
      </c>
      <c r="J102" s="22">
        <f t="shared" si="16"/>
        <v>562144146.09000003</v>
      </c>
      <c r="K102" s="22">
        <f t="shared" si="16"/>
        <v>0</v>
      </c>
      <c r="L102" s="22">
        <f t="shared" si="16"/>
        <v>0</v>
      </c>
      <c r="M102" s="22">
        <f t="shared" si="16"/>
        <v>0</v>
      </c>
      <c r="N102" s="22">
        <f t="shared" si="16"/>
        <v>542064231.57000005</v>
      </c>
      <c r="O102" s="22">
        <f t="shared" si="16"/>
        <v>20079914.52</v>
      </c>
      <c r="P102" s="22" t="s">
        <v>13</v>
      </c>
      <c r="Q102" s="22" t="s">
        <v>13</v>
      </c>
      <c r="R102" s="22" t="s">
        <v>13</v>
      </c>
      <c r="S102" s="22" t="s">
        <v>13</v>
      </c>
      <c r="T102" s="24"/>
    </row>
    <row r="103" spans="1:20" s="33" customFormat="1" ht="15.75" customHeight="1" x14ac:dyDescent="0.35">
      <c r="A103" s="227" t="s">
        <v>258</v>
      </c>
      <c r="B103" s="227"/>
      <c r="C103" s="227"/>
      <c r="D103" s="97" t="s">
        <v>13</v>
      </c>
      <c r="E103" s="97" t="s">
        <v>13</v>
      </c>
      <c r="F103" s="97" t="s">
        <v>13</v>
      </c>
      <c r="G103" s="22">
        <f t="shared" ref="G103:O103" si="17">SUM(G104:G162)</f>
        <v>203517.59</v>
      </c>
      <c r="H103" s="22">
        <f t="shared" si="17"/>
        <v>178015.54</v>
      </c>
      <c r="I103" s="26">
        <f t="shared" si="17"/>
        <v>7445</v>
      </c>
      <c r="J103" s="22">
        <f t="shared" si="17"/>
        <v>170354138.72999999</v>
      </c>
      <c r="K103" s="22">
        <f t="shared" si="17"/>
        <v>0</v>
      </c>
      <c r="L103" s="22">
        <f t="shared" si="17"/>
        <v>0</v>
      </c>
      <c r="M103" s="22">
        <f t="shared" si="17"/>
        <v>0</v>
      </c>
      <c r="N103" s="22">
        <f t="shared" si="17"/>
        <v>163775852.34</v>
      </c>
      <c r="O103" s="22">
        <f t="shared" si="17"/>
        <v>6578286.3899999997</v>
      </c>
      <c r="P103" s="97" t="s">
        <v>13</v>
      </c>
      <c r="Q103" s="97" t="s">
        <v>13</v>
      </c>
      <c r="R103" s="97" t="s">
        <v>13</v>
      </c>
      <c r="S103" s="97" t="s">
        <v>13</v>
      </c>
      <c r="T103" s="24"/>
    </row>
    <row r="104" spans="1:20" s="33" customFormat="1" ht="15.75" customHeight="1" x14ac:dyDescent="0.35">
      <c r="A104" s="11">
        <v>1</v>
      </c>
      <c r="B104" s="11">
        <v>734</v>
      </c>
      <c r="C104" s="37" t="s">
        <v>259</v>
      </c>
      <c r="D104" s="97">
        <v>1982</v>
      </c>
      <c r="E104" s="96" t="s">
        <v>75</v>
      </c>
      <c r="F104" s="96" t="s">
        <v>163</v>
      </c>
      <c r="G104" s="22">
        <v>4395.8999999999996</v>
      </c>
      <c r="H104" s="22">
        <v>3971.1</v>
      </c>
      <c r="I104" s="26">
        <v>212</v>
      </c>
      <c r="J104" s="22">
        <f>'Форма 2'!I378</f>
        <v>3949853.91</v>
      </c>
      <c r="K104" s="22">
        <v>0</v>
      </c>
      <c r="L104" s="22">
        <v>0</v>
      </c>
      <c r="M104" s="22">
        <v>0</v>
      </c>
      <c r="N104" s="22">
        <f t="shared" ref="N104:N162" si="18">J104-K104-L104-M104-O104</f>
        <v>3824176.19</v>
      </c>
      <c r="O104" s="22">
        <v>125677.72</v>
      </c>
      <c r="P104" s="22">
        <f t="shared" ref="P104:P162" si="19">J104/H104</f>
        <v>994.65</v>
      </c>
      <c r="Q104" s="22">
        <f>'Форма 2'!K378</f>
        <v>2936</v>
      </c>
      <c r="R104" s="38" t="s">
        <v>164</v>
      </c>
      <c r="S104" s="172">
        <v>1</v>
      </c>
      <c r="T104" s="24"/>
    </row>
    <row r="105" spans="1:20" s="33" customFormat="1" ht="15.75" customHeight="1" x14ac:dyDescent="0.35">
      <c r="A105" s="11">
        <f>A104+1</f>
        <v>2</v>
      </c>
      <c r="B105" s="11">
        <v>757</v>
      </c>
      <c r="C105" s="37" t="s">
        <v>260</v>
      </c>
      <c r="D105" s="97">
        <v>1984</v>
      </c>
      <c r="E105" s="96" t="s">
        <v>75</v>
      </c>
      <c r="F105" s="96" t="s">
        <v>261</v>
      </c>
      <c r="G105" s="22">
        <v>1323.5</v>
      </c>
      <c r="H105" s="22">
        <v>1020.67</v>
      </c>
      <c r="I105" s="26">
        <v>41</v>
      </c>
      <c r="J105" s="22">
        <f>'Форма 2'!I381</f>
        <v>166420.07</v>
      </c>
      <c r="K105" s="22">
        <v>0</v>
      </c>
      <c r="L105" s="22">
        <v>0</v>
      </c>
      <c r="M105" s="22">
        <v>0</v>
      </c>
      <c r="N105" s="22">
        <f t="shared" si="18"/>
        <v>160489.85</v>
      </c>
      <c r="O105" s="22">
        <v>5930.22</v>
      </c>
      <c r="P105" s="22">
        <f t="shared" si="19"/>
        <v>163.05000000000001</v>
      </c>
      <c r="Q105" s="22">
        <f>'Форма 2'!K381</f>
        <v>164</v>
      </c>
      <c r="R105" s="38" t="s">
        <v>156</v>
      </c>
      <c r="S105" s="172">
        <v>1</v>
      </c>
      <c r="T105" s="24"/>
    </row>
    <row r="106" spans="1:20" s="33" customFormat="1" ht="15.75" customHeight="1" x14ac:dyDescent="0.35">
      <c r="A106" s="11">
        <f t="shared" ref="A106:A161" si="20">A105+1</f>
        <v>3</v>
      </c>
      <c r="B106" s="11">
        <v>818</v>
      </c>
      <c r="C106" s="37" t="s">
        <v>262</v>
      </c>
      <c r="D106" s="97">
        <v>1987</v>
      </c>
      <c r="E106" s="96" t="s">
        <v>75</v>
      </c>
      <c r="F106" s="96" t="s">
        <v>163</v>
      </c>
      <c r="G106" s="22">
        <v>816.04</v>
      </c>
      <c r="H106" s="22">
        <v>746.74</v>
      </c>
      <c r="I106" s="26">
        <v>32</v>
      </c>
      <c r="J106" s="22">
        <f>'Форма 2'!I383</f>
        <v>1102262.1499999999</v>
      </c>
      <c r="K106" s="22">
        <v>0</v>
      </c>
      <c r="L106" s="22">
        <v>0</v>
      </c>
      <c r="M106" s="22">
        <v>0</v>
      </c>
      <c r="N106" s="22">
        <f t="shared" si="18"/>
        <v>1065146.95</v>
      </c>
      <c r="O106" s="22">
        <v>37115.199999999997</v>
      </c>
      <c r="P106" s="22">
        <f t="shared" si="19"/>
        <v>1476.1</v>
      </c>
      <c r="Q106" s="22">
        <f>'Форма 2'!K383</f>
        <v>4793</v>
      </c>
      <c r="R106" s="38" t="s">
        <v>164</v>
      </c>
      <c r="S106" s="172">
        <v>1</v>
      </c>
      <c r="T106" s="24"/>
    </row>
    <row r="107" spans="1:20" s="33" customFormat="1" ht="15.75" customHeight="1" x14ac:dyDescent="0.35">
      <c r="A107" s="11">
        <f t="shared" si="20"/>
        <v>4</v>
      </c>
      <c r="B107" s="11">
        <v>722</v>
      </c>
      <c r="C107" s="37" t="s">
        <v>263</v>
      </c>
      <c r="D107" s="97">
        <v>1981</v>
      </c>
      <c r="E107" s="96" t="s">
        <v>75</v>
      </c>
      <c r="F107" s="96" t="s">
        <v>163</v>
      </c>
      <c r="G107" s="22">
        <v>833.48</v>
      </c>
      <c r="H107" s="22">
        <v>722.6</v>
      </c>
      <c r="I107" s="26">
        <v>28</v>
      </c>
      <c r="J107" s="22">
        <f>'Форма 2'!I386</f>
        <v>1069378.25</v>
      </c>
      <c r="K107" s="22">
        <v>0</v>
      </c>
      <c r="L107" s="22">
        <v>0</v>
      </c>
      <c r="M107" s="22">
        <v>0</v>
      </c>
      <c r="N107" s="22">
        <f t="shared" si="18"/>
        <v>1033462.88</v>
      </c>
      <c r="O107" s="22">
        <v>35915.370000000003</v>
      </c>
      <c r="P107" s="22">
        <f t="shared" si="19"/>
        <v>1479.9</v>
      </c>
      <c r="Q107" s="22">
        <f>'Форма 2'!K386</f>
        <v>4793</v>
      </c>
      <c r="R107" s="38" t="s">
        <v>164</v>
      </c>
      <c r="S107" s="172">
        <v>1</v>
      </c>
      <c r="T107" s="24"/>
    </row>
    <row r="108" spans="1:20" s="33" customFormat="1" ht="15.75" customHeight="1" x14ac:dyDescent="0.35">
      <c r="A108" s="11">
        <f t="shared" si="20"/>
        <v>5</v>
      </c>
      <c r="B108" s="11">
        <v>743</v>
      </c>
      <c r="C108" s="37" t="s">
        <v>264</v>
      </c>
      <c r="D108" s="97">
        <v>1982</v>
      </c>
      <c r="E108" s="96" t="s">
        <v>75</v>
      </c>
      <c r="F108" s="96" t="s">
        <v>261</v>
      </c>
      <c r="G108" s="22">
        <v>4507</v>
      </c>
      <c r="H108" s="22">
        <v>3996.6</v>
      </c>
      <c r="I108" s="26">
        <v>186</v>
      </c>
      <c r="J108" s="22">
        <f>'Форма 2'!I389</f>
        <v>655442.4</v>
      </c>
      <c r="K108" s="22">
        <v>0</v>
      </c>
      <c r="L108" s="22">
        <v>0</v>
      </c>
      <c r="M108" s="22">
        <v>0</v>
      </c>
      <c r="N108" s="22">
        <f t="shared" si="18"/>
        <v>632221.66</v>
      </c>
      <c r="O108" s="22">
        <v>23220.74</v>
      </c>
      <c r="P108" s="22">
        <f t="shared" si="19"/>
        <v>164</v>
      </c>
      <c r="Q108" s="22">
        <f>'Форма 2'!K389</f>
        <v>164</v>
      </c>
      <c r="R108" s="38" t="s">
        <v>156</v>
      </c>
      <c r="S108" s="172">
        <v>1</v>
      </c>
      <c r="T108" s="24"/>
    </row>
    <row r="109" spans="1:20" s="33" customFormat="1" ht="15.75" customHeight="1" x14ac:dyDescent="0.35">
      <c r="A109" s="11">
        <f t="shared" si="20"/>
        <v>6</v>
      </c>
      <c r="B109" s="11">
        <v>881</v>
      </c>
      <c r="C109" s="37" t="s">
        <v>265</v>
      </c>
      <c r="D109" s="97">
        <v>1992</v>
      </c>
      <c r="E109" s="96" t="s">
        <v>185</v>
      </c>
      <c r="F109" s="96" t="s">
        <v>158</v>
      </c>
      <c r="G109" s="22">
        <v>8323.2999999999993</v>
      </c>
      <c r="H109" s="22">
        <v>6399.8</v>
      </c>
      <c r="I109" s="26">
        <v>254</v>
      </c>
      <c r="J109" s="22">
        <f>'Форма 2'!I391</f>
        <v>3915651.77</v>
      </c>
      <c r="K109" s="22">
        <v>0</v>
      </c>
      <c r="L109" s="22">
        <v>0</v>
      </c>
      <c r="M109" s="22">
        <v>0</v>
      </c>
      <c r="N109" s="22">
        <f t="shared" si="18"/>
        <v>3752962.83</v>
      </c>
      <c r="O109" s="22">
        <v>162688.94</v>
      </c>
      <c r="P109" s="22">
        <f t="shared" si="19"/>
        <v>611.84</v>
      </c>
      <c r="Q109" s="22">
        <f>'Форма 2'!K391</f>
        <v>818.18</v>
      </c>
      <c r="R109" s="38" t="s">
        <v>156</v>
      </c>
      <c r="S109" s="172">
        <v>1</v>
      </c>
      <c r="T109" s="24"/>
    </row>
    <row r="110" spans="1:20" s="33" customFormat="1" ht="15.75" customHeight="1" x14ac:dyDescent="0.35">
      <c r="A110" s="11">
        <f t="shared" si="20"/>
        <v>7</v>
      </c>
      <c r="B110" s="11">
        <v>548</v>
      </c>
      <c r="C110" s="37" t="s">
        <v>266</v>
      </c>
      <c r="D110" s="97">
        <v>1968</v>
      </c>
      <c r="E110" s="96" t="s">
        <v>267</v>
      </c>
      <c r="F110" s="124" t="s">
        <v>158</v>
      </c>
      <c r="G110" s="22">
        <v>4543.6000000000004</v>
      </c>
      <c r="H110" s="22">
        <v>2962.5</v>
      </c>
      <c r="I110" s="26">
        <v>187</v>
      </c>
      <c r="J110" s="22">
        <f>'Форма 2'!I398</f>
        <v>8844854.4000000004</v>
      </c>
      <c r="K110" s="22">
        <v>0</v>
      </c>
      <c r="L110" s="22">
        <v>0</v>
      </c>
      <c r="M110" s="22">
        <v>0</v>
      </c>
      <c r="N110" s="22">
        <f t="shared" si="18"/>
        <v>8637752.2200000007</v>
      </c>
      <c r="O110" s="22">
        <v>207102.18</v>
      </c>
      <c r="P110" s="22">
        <f t="shared" si="19"/>
        <v>2985.6</v>
      </c>
      <c r="Q110" s="22">
        <f>'Форма 2'!K398</f>
        <v>3640</v>
      </c>
      <c r="R110" s="38" t="s">
        <v>156</v>
      </c>
      <c r="S110" s="172">
        <v>1</v>
      </c>
      <c r="T110" s="24"/>
    </row>
    <row r="111" spans="1:20" s="33" customFormat="1" ht="15.75" customHeight="1" x14ac:dyDescent="0.35">
      <c r="A111" s="11">
        <f t="shared" si="20"/>
        <v>8</v>
      </c>
      <c r="B111" s="11">
        <v>324</v>
      </c>
      <c r="C111" s="37" t="s">
        <v>268</v>
      </c>
      <c r="D111" s="97">
        <v>1959</v>
      </c>
      <c r="E111" s="96" t="s">
        <v>75</v>
      </c>
      <c r="F111" s="96" t="s">
        <v>158</v>
      </c>
      <c r="G111" s="22">
        <v>3619.7</v>
      </c>
      <c r="H111" s="22">
        <v>3374.5</v>
      </c>
      <c r="I111" s="26">
        <v>101</v>
      </c>
      <c r="J111" s="22">
        <f>'Форма 2'!I405</f>
        <v>5737346.5800000001</v>
      </c>
      <c r="K111" s="22">
        <v>0</v>
      </c>
      <c r="L111" s="22">
        <v>0</v>
      </c>
      <c r="M111" s="22">
        <v>0</v>
      </c>
      <c r="N111" s="22">
        <f t="shared" si="18"/>
        <v>5546173.29</v>
      </c>
      <c r="O111" s="22">
        <v>191173.29</v>
      </c>
      <c r="P111" s="22">
        <f t="shared" si="19"/>
        <v>1700.21</v>
      </c>
      <c r="Q111" s="22">
        <f>'Форма 2'!K405</f>
        <v>2831</v>
      </c>
      <c r="R111" s="38" t="s">
        <v>156</v>
      </c>
      <c r="S111" s="172">
        <v>1</v>
      </c>
      <c r="T111" s="24"/>
    </row>
    <row r="112" spans="1:20" s="33" customFormat="1" ht="15.75" customHeight="1" x14ac:dyDescent="0.35">
      <c r="A112" s="11">
        <f t="shared" si="20"/>
        <v>9</v>
      </c>
      <c r="B112" s="11">
        <v>373</v>
      </c>
      <c r="C112" s="37" t="s">
        <v>269</v>
      </c>
      <c r="D112" s="97">
        <v>1961</v>
      </c>
      <c r="E112" s="96" t="s">
        <v>267</v>
      </c>
      <c r="F112" s="124" t="s">
        <v>158</v>
      </c>
      <c r="G112" s="22">
        <v>3615</v>
      </c>
      <c r="H112" s="22">
        <v>3339.5</v>
      </c>
      <c r="I112" s="26">
        <v>159</v>
      </c>
      <c r="J112" s="22">
        <f>'Форма 2'!I408</f>
        <v>4598043.3600000003</v>
      </c>
      <c r="K112" s="22">
        <v>0</v>
      </c>
      <c r="L112" s="22">
        <v>0</v>
      </c>
      <c r="M112" s="22">
        <v>0</v>
      </c>
      <c r="N112" s="22">
        <f t="shared" si="18"/>
        <v>4364585.9000000004</v>
      </c>
      <c r="O112" s="22">
        <v>233457.46</v>
      </c>
      <c r="P112" s="22">
        <f t="shared" si="19"/>
        <v>1376.87</v>
      </c>
      <c r="Q112" s="22">
        <f>'Форма 2'!K408</f>
        <v>3055</v>
      </c>
      <c r="R112" s="38" t="s">
        <v>156</v>
      </c>
      <c r="S112" s="172">
        <v>1</v>
      </c>
      <c r="T112" s="24"/>
    </row>
    <row r="113" spans="1:20" s="33" customFormat="1" ht="15.75" customHeight="1" x14ac:dyDescent="0.35">
      <c r="A113" s="11">
        <f t="shared" si="20"/>
        <v>10</v>
      </c>
      <c r="B113" s="11">
        <v>339</v>
      </c>
      <c r="C113" s="37" t="s">
        <v>270</v>
      </c>
      <c r="D113" s="97">
        <v>1960</v>
      </c>
      <c r="E113" s="96" t="s">
        <v>75</v>
      </c>
      <c r="F113" s="96" t="s">
        <v>163</v>
      </c>
      <c r="G113" s="22">
        <v>8006.3</v>
      </c>
      <c r="H113" s="22">
        <v>7469.5</v>
      </c>
      <c r="I113" s="26">
        <v>201</v>
      </c>
      <c r="J113" s="22">
        <f>'Форма 2'!I415</f>
        <v>2311662.9900000002</v>
      </c>
      <c r="K113" s="22">
        <v>0</v>
      </c>
      <c r="L113" s="22">
        <v>0</v>
      </c>
      <c r="M113" s="22">
        <v>0</v>
      </c>
      <c r="N113" s="22">
        <f t="shared" si="18"/>
        <v>2075267.61</v>
      </c>
      <c r="O113" s="22">
        <v>236395.38</v>
      </c>
      <c r="P113" s="22">
        <f t="shared" si="19"/>
        <v>309.48</v>
      </c>
      <c r="Q113" s="22">
        <f>'Форма 2'!K415</f>
        <v>2936</v>
      </c>
      <c r="R113" s="38" t="s">
        <v>164</v>
      </c>
      <c r="S113" s="172">
        <v>1</v>
      </c>
      <c r="T113" s="24"/>
    </row>
    <row r="114" spans="1:20" s="33" customFormat="1" ht="15.75" customHeight="1" x14ac:dyDescent="0.35">
      <c r="A114" s="11">
        <f t="shared" si="20"/>
        <v>11</v>
      </c>
      <c r="B114" s="11">
        <v>124</v>
      </c>
      <c r="C114" s="37" t="s">
        <v>271</v>
      </c>
      <c r="D114" s="97">
        <v>1947</v>
      </c>
      <c r="E114" s="96" t="s">
        <v>75</v>
      </c>
      <c r="F114" s="96" t="s">
        <v>158</v>
      </c>
      <c r="G114" s="22">
        <v>634</v>
      </c>
      <c r="H114" s="22">
        <v>562.79999999999995</v>
      </c>
      <c r="I114" s="26">
        <v>37</v>
      </c>
      <c r="J114" s="22">
        <f>'Форма 2'!I418</f>
        <v>2478607.6</v>
      </c>
      <c r="K114" s="22">
        <v>0</v>
      </c>
      <c r="L114" s="22">
        <v>0</v>
      </c>
      <c r="M114" s="22">
        <v>0</v>
      </c>
      <c r="N114" s="22">
        <f t="shared" si="18"/>
        <v>2355049.42</v>
      </c>
      <c r="O114" s="22">
        <v>123558.18</v>
      </c>
      <c r="P114" s="22">
        <f t="shared" si="19"/>
        <v>4404.0600000000004</v>
      </c>
      <c r="Q114" s="22">
        <f>'Форма 2'!K418</f>
        <v>7066</v>
      </c>
      <c r="R114" s="38" t="s">
        <v>156</v>
      </c>
      <c r="S114" s="172">
        <v>1</v>
      </c>
      <c r="T114" s="24"/>
    </row>
    <row r="115" spans="1:20" s="33" customFormat="1" ht="15.75" customHeight="1" x14ac:dyDescent="0.35">
      <c r="A115" s="11">
        <f t="shared" si="20"/>
        <v>12</v>
      </c>
      <c r="B115" s="11">
        <v>626</v>
      </c>
      <c r="C115" s="37" t="s">
        <v>272</v>
      </c>
      <c r="D115" s="97">
        <v>1975</v>
      </c>
      <c r="E115" s="96" t="s">
        <v>75</v>
      </c>
      <c r="F115" s="96" t="s">
        <v>163</v>
      </c>
      <c r="G115" s="22">
        <v>3081.9</v>
      </c>
      <c r="H115" s="22">
        <v>2793.5</v>
      </c>
      <c r="I115" s="26">
        <v>159</v>
      </c>
      <c r="J115" s="22">
        <f>'Форма 2'!I421</f>
        <v>2778445.98</v>
      </c>
      <c r="K115" s="22">
        <v>0</v>
      </c>
      <c r="L115" s="22">
        <v>0</v>
      </c>
      <c r="M115" s="22">
        <v>0</v>
      </c>
      <c r="N115" s="22">
        <f t="shared" si="18"/>
        <v>2690037.05</v>
      </c>
      <c r="O115" s="22">
        <v>88408.93</v>
      </c>
      <c r="P115" s="22">
        <f t="shared" si="19"/>
        <v>994.61</v>
      </c>
      <c r="Q115" s="22">
        <f>'Форма 2'!K421</f>
        <v>2936</v>
      </c>
      <c r="R115" s="38" t="s">
        <v>164</v>
      </c>
      <c r="S115" s="172">
        <v>1</v>
      </c>
      <c r="T115" s="24"/>
    </row>
    <row r="116" spans="1:20" s="33" customFormat="1" ht="15.75" customHeight="1" x14ac:dyDescent="0.35">
      <c r="A116" s="11">
        <f t="shared" si="20"/>
        <v>13</v>
      </c>
      <c r="B116" s="11">
        <v>842</v>
      </c>
      <c r="C116" s="37" t="s">
        <v>273</v>
      </c>
      <c r="D116" s="97">
        <v>1989</v>
      </c>
      <c r="E116" s="96" t="s">
        <v>75</v>
      </c>
      <c r="F116" s="96" t="s">
        <v>155</v>
      </c>
      <c r="G116" s="22">
        <v>4334.5</v>
      </c>
      <c r="H116" s="22">
        <v>4014.5</v>
      </c>
      <c r="I116" s="26">
        <v>192</v>
      </c>
      <c r="J116" s="22">
        <f>'Форма 2'!I424</f>
        <v>611106.02</v>
      </c>
      <c r="K116" s="22">
        <v>0</v>
      </c>
      <c r="L116" s="22">
        <v>0</v>
      </c>
      <c r="M116" s="22">
        <v>0</v>
      </c>
      <c r="N116" s="22">
        <f t="shared" si="18"/>
        <v>587781.28</v>
      </c>
      <c r="O116" s="22">
        <v>23324.74</v>
      </c>
      <c r="P116" s="22">
        <f t="shared" si="19"/>
        <v>152.22</v>
      </c>
      <c r="Q116" s="22">
        <f>'Форма 2'!K424</f>
        <v>164</v>
      </c>
      <c r="R116" s="38" t="s">
        <v>156</v>
      </c>
      <c r="S116" s="172">
        <v>1</v>
      </c>
      <c r="T116" s="24"/>
    </row>
    <row r="117" spans="1:20" s="33" customFormat="1" ht="15.75" customHeight="1" x14ac:dyDescent="0.35">
      <c r="A117" s="11">
        <f t="shared" si="20"/>
        <v>14</v>
      </c>
      <c r="B117" s="11">
        <v>767</v>
      </c>
      <c r="C117" s="37" t="s">
        <v>274</v>
      </c>
      <c r="D117" s="97">
        <v>1985</v>
      </c>
      <c r="E117" s="96" t="s">
        <v>75</v>
      </c>
      <c r="F117" s="96" t="s">
        <v>155</v>
      </c>
      <c r="G117" s="22">
        <v>1717</v>
      </c>
      <c r="H117" s="22">
        <v>1666.3</v>
      </c>
      <c r="I117" s="26">
        <v>74</v>
      </c>
      <c r="J117" s="22">
        <f>'Форма 2'!I426</f>
        <v>179219.18</v>
      </c>
      <c r="K117" s="22">
        <v>0</v>
      </c>
      <c r="L117" s="22">
        <v>0</v>
      </c>
      <c r="M117" s="22">
        <v>0</v>
      </c>
      <c r="N117" s="22">
        <f t="shared" si="18"/>
        <v>168295.24</v>
      </c>
      <c r="O117" s="22">
        <v>10923.94</v>
      </c>
      <c r="P117" s="22">
        <f t="shared" si="19"/>
        <v>107.56</v>
      </c>
      <c r="Q117" s="22">
        <f>'Форма 2'!K426</f>
        <v>164</v>
      </c>
      <c r="R117" s="38" t="s">
        <v>156</v>
      </c>
      <c r="S117" s="172">
        <v>1</v>
      </c>
      <c r="T117" s="24"/>
    </row>
    <row r="118" spans="1:20" s="33" customFormat="1" ht="15.75" customHeight="1" x14ac:dyDescent="0.35">
      <c r="A118" s="11">
        <f t="shared" si="20"/>
        <v>15</v>
      </c>
      <c r="B118" s="11">
        <v>759</v>
      </c>
      <c r="C118" s="37" t="s">
        <v>275</v>
      </c>
      <c r="D118" s="97">
        <v>1984</v>
      </c>
      <c r="E118" s="96" t="s">
        <v>75</v>
      </c>
      <c r="F118" s="96" t="s">
        <v>163</v>
      </c>
      <c r="G118" s="22">
        <v>1269.5</v>
      </c>
      <c r="H118" s="22">
        <v>1217.5</v>
      </c>
      <c r="I118" s="26">
        <v>43</v>
      </c>
      <c r="J118" s="22">
        <f>'Форма 2'!I428</f>
        <v>1845303.48</v>
      </c>
      <c r="K118" s="22">
        <v>0</v>
      </c>
      <c r="L118" s="22">
        <v>0</v>
      </c>
      <c r="M118" s="22">
        <v>0</v>
      </c>
      <c r="N118" s="22">
        <f t="shared" si="18"/>
        <v>1784790.12</v>
      </c>
      <c r="O118" s="22">
        <v>60513.36</v>
      </c>
      <c r="P118" s="22">
        <f t="shared" si="19"/>
        <v>1515.65</v>
      </c>
      <c r="Q118" s="22">
        <f>'Форма 2'!K428</f>
        <v>4793</v>
      </c>
      <c r="R118" s="38" t="s">
        <v>164</v>
      </c>
      <c r="S118" s="172">
        <v>1</v>
      </c>
      <c r="T118" s="24"/>
    </row>
    <row r="119" spans="1:20" s="33" customFormat="1" ht="15.75" customHeight="1" x14ac:dyDescent="0.35">
      <c r="A119" s="11">
        <f t="shared" si="20"/>
        <v>16</v>
      </c>
      <c r="B119" s="11">
        <v>845</v>
      </c>
      <c r="C119" s="37" t="s">
        <v>276</v>
      </c>
      <c r="D119" s="97">
        <v>1989</v>
      </c>
      <c r="E119" s="96" t="s">
        <v>75</v>
      </c>
      <c r="F119" s="96" t="s">
        <v>155</v>
      </c>
      <c r="G119" s="22">
        <v>3146.3</v>
      </c>
      <c r="H119" s="22">
        <v>2810.3</v>
      </c>
      <c r="I119" s="26">
        <v>80</v>
      </c>
      <c r="J119" s="22">
        <f>'Форма 2'!I431</f>
        <v>215887.41</v>
      </c>
      <c r="K119" s="22">
        <v>0</v>
      </c>
      <c r="L119" s="22">
        <v>0</v>
      </c>
      <c r="M119" s="22">
        <v>0</v>
      </c>
      <c r="N119" s="22">
        <f t="shared" si="18"/>
        <v>199559.22</v>
      </c>
      <c r="O119" s="22">
        <v>16328.19</v>
      </c>
      <c r="P119" s="22">
        <f t="shared" si="19"/>
        <v>76.819999999999993</v>
      </c>
      <c r="Q119" s="22">
        <f>'Форма 2'!K431</f>
        <v>164</v>
      </c>
      <c r="R119" s="38" t="s">
        <v>156</v>
      </c>
      <c r="S119" s="172">
        <v>1</v>
      </c>
      <c r="T119" s="24"/>
    </row>
    <row r="120" spans="1:20" s="33" customFormat="1" ht="15.75" customHeight="1" x14ac:dyDescent="0.35">
      <c r="A120" s="11">
        <f t="shared" si="20"/>
        <v>17</v>
      </c>
      <c r="B120" s="11">
        <v>202</v>
      </c>
      <c r="C120" s="37" t="s">
        <v>277</v>
      </c>
      <c r="D120" s="97">
        <v>1954</v>
      </c>
      <c r="E120" s="96" t="s">
        <v>75</v>
      </c>
      <c r="F120" s="96" t="s">
        <v>158</v>
      </c>
      <c r="G120" s="22">
        <v>1391.2</v>
      </c>
      <c r="H120" s="22">
        <v>1028.7</v>
      </c>
      <c r="I120" s="26">
        <v>42</v>
      </c>
      <c r="J120" s="22">
        <f>'Форма 2'!I433</f>
        <v>2958165.6</v>
      </c>
      <c r="K120" s="22">
        <v>0</v>
      </c>
      <c r="L120" s="22">
        <v>0</v>
      </c>
      <c r="M120" s="22">
        <v>0</v>
      </c>
      <c r="N120" s="22">
        <f t="shared" si="18"/>
        <v>2847510.36</v>
      </c>
      <c r="O120" s="22">
        <v>110655.24</v>
      </c>
      <c r="P120" s="22">
        <f t="shared" si="19"/>
        <v>2875.63</v>
      </c>
      <c r="Q120" s="22">
        <f>'Форма 2'!K433</f>
        <v>4728</v>
      </c>
      <c r="R120" s="38" t="s">
        <v>156</v>
      </c>
      <c r="S120" s="172">
        <v>1</v>
      </c>
      <c r="T120" s="24"/>
    </row>
    <row r="121" spans="1:20" s="33" customFormat="1" ht="15.75" customHeight="1" x14ac:dyDescent="0.35">
      <c r="A121" s="11">
        <f t="shared" si="20"/>
        <v>18</v>
      </c>
      <c r="B121" s="11">
        <v>236</v>
      </c>
      <c r="C121" s="37" t="s">
        <v>278</v>
      </c>
      <c r="D121" s="97">
        <v>1956</v>
      </c>
      <c r="E121" s="96" t="s">
        <v>75</v>
      </c>
      <c r="F121" s="96" t="s">
        <v>158</v>
      </c>
      <c r="G121" s="22">
        <v>783.6</v>
      </c>
      <c r="H121" s="22">
        <v>741.7</v>
      </c>
      <c r="I121" s="26">
        <v>36</v>
      </c>
      <c r="J121" s="22">
        <f>'Форма 2'!I436</f>
        <v>3115705.07</v>
      </c>
      <c r="K121" s="22">
        <v>0</v>
      </c>
      <c r="L121" s="22">
        <v>0</v>
      </c>
      <c r="M121" s="22">
        <v>0</v>
      </c>
      <c r="N121" s="22">
        <f t="shared" si="18"/>
        <v>2993388.18</v>
      </c>
      <c r="O121" s="22">
        <v>122316.89</v>
      </c>
      <c r="P121" s="22">
        <f t="shared" si="19"/>
        <v>4200.76</v>
      </c>
      <c r="Q121" s="22">
        <f>'Форма 2'!K436</f>
        <v>7066</v>
      </c>
      <c r="R121" s="38" t="s">
        <v>156</v>
      </c>
      <c r="S121" s="172">
        <v>1</v>
      </c>
      <c r="T121" s="24"/>
    </row>
    <row r="122" spans="1:20" s="33" customFormat="1" ht="15.75" customHeight="1" x14ac:dyDescent="0.35">
      <c r="A122" s="11">
        <f t="shared" si="20"/>
        <v>19</v>
      </c>
      <c r="B122" s="11">
        <v>664</v>
      </c>
      <c r="C122" s="37" t="s">
        <v>279</v>
      </c>
      <c r="D122" s="97">
        <v>1978</v>
      </c>
      <c r="E122" s="96" t="s">
        <v>75</v>
      </c>
      <c r="F122" s="96" t="s">
        <v>155</v>
      </c>
      <c r="G122" s="22">
        <v>4572</v>
      </c>
      <c r="H122" s="22">
        <v>4429</v>
      </c>
      <c r="I122" s="26">
        <v>201</v>
      </c>
      <c r="J122" s="22">
        <f>'Форма 2'!I439</f>
        <v>695011.08</v>
      </c>
      <c r="K122" s="22">
        <v>0</v>
      </c>
      <c r="L122" s="22">
        <v>0</v>
      </c>
      <c r="M122" s="22">
        <v>0</v>
      </c>
      <c r="N122" s="22">
        <f t="shared" si="18"/>
        <v>669278.04</v>
      </c>
      <c r="O122" s="22">
        <v>25733.040000000001</v>
      </c>
      <c r="P122" s="22">
        <f t="shared" si="19"/>
        <v>156.91999999999999</v>
      </c>
      <c r="Q122" s="22">
        <f>'Форма 2'!K439</f>
        <v>164</v>
      </c>
      <c r="R122" s="38" t="s">
        <v>156</v>
      </c>
      <c r="S122" s="172">
        <v>1</v>
      </c>
      <c r="T122" s="24"/>
    </row>
    <row r="123" spans="1:20" s="33" customFormat="1" ht="15.75" customHeight="1" x14ac:dyDescent="0.35">
      <c r="A123" s="11">
        <f t="shared" si="20"/>
        <v>20</v>
      </c>
      <c r="B123" s="11">
        <v>883</v>
      </c>
      <c r="C123" s="37" t="s">
        <v>280</v>
      </c>
      <c r="D123" s="97">
        <v>1992</v>
      </c>
      <c r="E123" s="96" t="s">
        <v>185</v>
      </c>
      <c r="F123" s="96" t="s">
        <v>158</v>
      </c>
      <c r="G123" s="22">
        <v>8423.7999999999993</v>
      </c>
      <c r="H123" s="22">
        <v>6735.9</v>
      </c>
      <c r="I123" s="26">
        <v>161</v>
      </c>
      <c r="J123" s="22">
        <f>'Форма 2'!I441</f>
        <v>3888446.08</v>
      </c>
      <c r="K123" s="22">
        <v>0</v>
      </c>
      <c r="L123" s="22">
        <v>0</v>
      </c>
      <c r="M123" s="22">
        <v>0</v>
      </c>
      <c r="N123" s="22">
        <f t="shared" si="18"/>
        <v>3725757.14</v>
      </c>
      <c r="O123" s="22">
        <v>162688.94</v>
      </c>
      <c r="P123" s="22">
        <f t="shared" si="19"/>
        <v>577.27</v>
      </c>
      <c r="Q123" s="22">
        <f>'Форма 2'!K441</f>
        <v>777.35</v>
      </c>
      <c r="R123" s="38" t="s">
        <v>156</v>
      </c>
      <c r="S123" s="172">
        <v>1</v>
      </c>
      <c r="T123" s="24"/>
    </row>
    <row r="124" spans="1:20" s="33" customFormat="1" ht="15.75" customHeight="1" x14ac:dyDescent="0.35">
      <c r="A124" s="11">
        <f t="shared" si="20"/>
        <v>21</v>
      </c>
      <c r="B124" s="11">
        <v>585</v>
      </c>
      <c r="C124" s="37" t="s">
        <v>281</v>
      </c>
      <c r="D124" s="97">
        <v>1972</v>
      </c>
      <c r="E124" s="96" t="s">
        <v>75</v>
      </c>
      <c r="F124" s="96" t="s">
        <v>163</v>
      </c>
      <c r="G124" s="22">
        <v>5089.3999999999996</v>
      </c>
      <c r="H124" s="22">
        <v>4627.3999999999996</v>
      </c>
      <c r="I124" s="26">
        <v>168</v>
      </c>
      <c r="J124" s="22">
        <f>'Форма 2'!I448</f>
        <v>4160040.58</v>
      </c>
      <c r="K124" s="22">
        <v>0</v>
      </c>
      <c r="L124" s="22">
        <v>0</v>
      </c>
      <c r="M124" s="22">
        <v>0</v>
      </c>
      <c r="N124" s="22">
        <f t="shared" si="18"/>
        <v>4013592.22</v>
      </c>
      <c r="O124" s="22">
        <v>146448.35999999999</v>
      </c>
      <c r="P124" s="22">
        <f t="shared" si="19"/>
        <v>899</v>
      </c>
      <c r="Q124" s="22">
        <f>'Форма 2'!K448</f>
        <v>2936</v>
      </c>
      <c r="R124" s="38" t="s">
        <v>164</v>
      </c>
      <c r="S124" s="172">
        <v>1</v>
      </c>
      <c r="T124" s="24"/>
    </row>
    <row r="125" spans="1:20" s="33" customFormat="1" ht="15.75" customHeight="1" x14ac:dyDescent="0.35">
      <c r="A125" s="11">
        <f>A124+1</f>
        <v>22</v>
      </c>
      <c r="B125" s="11">
        <v>293</v>
      </c>
      <c r="C125" s="37" t="s">
        <v>283</v>
      </c>
      <c r="D125" s="97">
        <v>1958</v>
      </c>
      <c r="E125" s="96" t="s">
        <v>75</v>
      </c>
      <c r="F125" s="96" t="s">
        <v>158</v>
      </c>
      <c r="G125" s="22">
        <v>1357.2</v>
      </c>
      <c r="H125" s="22">
        <v>1262.0999999999999</v>
      </c>
      <c r="I125" s="26">
        <v>61</v>
      </c>
      <c r="J125" s="22">
        <f>'Форма 2'!I451</f>
        <v>2710650.86</v>
      </c>
      <c r="K125" s="22">
        <v>0</v>
      </c>
      <c r="L125" s="22">
        <v>0</v>
      </c>
      <c r="M125" s="22">
        <v>0</v>
      </c>
      <c r="N125" s="22">
        <f t="shared" si="18"/>
        <v>2625980.48</v>
      </c>
      <c r="O125" s="22">
        <v>84670.38</v>
      </c>
      <c r="P125" s="22">
        <f t="shared" si="19"/>
        <v>2147.73</v>
      </c>
      <c r="Q125" s="22">
        <f>'Форма 2'!K451</f>
        <v>4728</v>
      </c>
      <c r="R125" s="38" t="s">
        <v>156</v>
      </c>
      <c r="S125" s="172">
        <v>1</v>
      </c>
      <c r="T125" s="24"/>
    </row>
    <row r="126" spans="1:20" s="33" customFormat="1" ht="15.75" customHeight="1" x14ac:dyDescent="0.35">
      <c r="A126" s="11">
        <f t="shared" si="20"/>
        <v>23</v>
      </c>
      <c r="B126" s="11">
        <v>527</v>
      </c>
      <c r="C126" s="37" t="s">
        <v>284</v>
      </c>
      <c r="D126" s="97">
        <v>1967</v>
      </c>
      <c r="E126" s="96" t="s">
        <v>75</v>
      </c>
      <c r="F126" s="96" t="s">
        <v>163</v>
      </c>
      <c r="G126" s="22">
        <v>3699.7</v>
      </c>
      <c r="H126" s="22">
        <v>3506</v>
      </c>
      <c r="I126" s="26">
        <v>155</v>
      </c>
      <c r="J126" s="22">
        <f>'Форма 2'!I454</f>
        <v>3149883.64</v>
      </c>
      <c r="K126" s="22">
        <v>0</v>
      </c>
      <c r="L126" s="22">
        <v>0</v>
      </c>
      <c r="M126" s="22">
        <v>0</v>
      </c>
      <c r="N126" s="22">
        <f t="shared" si="18"/>
        <v>3038925.45</v>
      </c>
      <c r="O126" s="22">
        <v>110958.19</v>
      </c>
      <c r="P126" s="22">
        <f t="shared" si="19"/>
        <v>898.43</v>
      </c>
      <c r="Q126" s="22">
        <f>'Форма 2'!K454</f>
        <v>2936</v>
      </c>
      <c r="R126" s="38" t="s">
        <v>164</v>
      </c>
      <c r="S126" s="172">
        <v>1</v>
      </c>
      <c r="T126" s="24"/>
    </row>
    <row r="127" spans="1:20" s="33" customFormat="1" ht="15.75" customHeight="1" x14ac:dyDescent="0.35">
      <c r="A127" s="11">
        <f t="shared" si="20"/>
        <v>24</v>
      </c>
      <c r="B127" s="11">
        <v>860</v>
      </c>
      <c r="C127" s="37" t="s">
        <v>285</v>
      </c>
      <c r="D127" s="97">
        <v>1990</v>
      </c>
      <c r="E127" s="96" t="s">
        <v>75</v>
      </c>
      <c r="F127" s="96" t="s">
        <v>155</v>
      </c>
      <c r="G127" s="22">
        <v>3846.5</v>
      </c>
      <c r="H127" s="22">
        <v>3521.6</v>
      </c>
      <c r="I127" s="26">
        <v>139</v>
      </c>
      <c r="J127" s="22">
        <f>'Форма 2'!I457</f>
        <v>245941.8</v>
      </c>
      <c r="K127" s="22">
        <v>0</v>
      </c>
      <c r="L127" s="22">
        <v>0</v>
      </c>
      <c r="M127" s="22">
        <v>0</v>
      </c>
      <c r="N127" s="22">
        <f t="shared" si="18"/>
        <v>225480.87</v>
      </c>
      <c r="O127" s="22">
        <v>20460.93</v>
      </c>
      <c r="P127" s="22">
        <f t="shared" si="19"/>
        <v>69.84</v>
      </c>
      <c r="Q127" s="22">
        <f>'Форма 2'!K457</f>
        <v>164</v>
      </c>
      <c r="R127" s="38" t="s">
        <v>156</v>
      </c>
      <c r="S127" s="172">
        <v>1</v>
      </c>
      <c r="T127" s="24"/>
    </row>
    <row r="128" spans="1:20" s="33" customFormat="1" ht="15.75" customHeight="1" x14ac:dyDescent="0.35">
      <c r="A128" s="11">
        <f t="shared" si="20"/>
        <v>25</v>
      </c>
      <c r="B128" s="11">
        <v>414</v>
      </c>
      <c r="C128" s="37" t="s">
        <v>286</v>
      </c>
      <c r="D128" s="97">
        <v>1962</v>
      </c>
      <c r="E128" s="96" t="s">
        <v>75</v>
      </c>
      <c r="F128" s="96" t="s">
        <v>158</v>
      </c>
      <c r="G128" s="22">
        <v>2714</v>
      </c>
      <c r="H128" s="22">
        <v>2522.1999999999998</v>
      </c>
      <c r="I128" s="26">
        <v>97</v>
      </c>
      <c r="J128" s="22">
        <f>'Форма 2'!I459</f>
        <v>5464498.3899999997</v>
      </c>
      <c r="K128" s="22">
        <v>0</v>
      </c>
      <c r="L128" s="22">
        <v>0</v>
      </c>
      <c r="M128" s="22">
        <v>0</v>
      </c>
      <c r="N128" s="22">
        <f t="shared" si="18"/>
        <v>5255139.75</v>
      </c>
      <c r="O128" s="22">
        <v>209358.64</v>
      </c>
      <c r="P128" s="22">
        <f t="shared" si="19"/>
        <v>2166.56</v>
      </c>
      <c r="Q128" s="22">
        <f>'Форма 2'!K459</f>
        <v>4728</v>
      </c>
      <c r="R128" s="38" t="s">
        <v>156</v>
      </c>
      <c r="S128" s="172">
        <v>1</v>
      </c>
      <c r="T128" s="24"/>
    </row>
    <row r="129" spans="1:20" s="33" customFormat="1" ht="15.75" customHeight="1" x14ac:dyDescent="0.35">
      <c r="A129" s="11">
        <f t="shared" si="20"/>
        <v>26</v>
      </c>
      <c r="B129" s="11">
        <v>546</v>
      </c>
      <c r="C129" s="37" t="s">
        <v>287</v>
      </c>
      <c r="D129" s="97">
        <v>1968</v>
      </c>
      <c r="E129" s="96" t="s">
        <v>75</v>
      </c>
      <c r="F129" s="96" t="s">
        <v>163</v>
      </c>
      <c r="G129" s="22">
        <v>3855.8</v>
      </c>
      <c r="H129" s="22">
        <v>3568.8</v>
      </c>
      <c r="I129" s="26">
        <v>156</v>
      </c>
      <c r="J129" s="22">
        <f>'Форма 2'!I462</f>
        <v>3523559.48</v>
      </c>
      <c r="K129" s="22">
        <v>0</v>
      </c>
      <c r="L129" s="22">
        <v>0</v>
      </c>
      <c r="M129" s="22">
        <v>0</v>
      </c>
      <c r="N129" s="22">
        <f t="shared" si="18"/>
        <v>3410613.79</v>
      </c>
      <c r="O129" s="22">
        <v>112945.69</v>
      </c>
      <c r="P129" s="22">
        <f t="shared" si="19"/>
        <v>987.32</v>
      </c>
      <c r="Q129" s="22">
        <f>'Форма 2'!K462</f>
        <v>2936</v>
      </c>
      <c r="R129" s="38" t="s">
        <v>164</v>
      </c>
      <c r="S129" s="172">
        <v>1</v>
      </c>
      <c r="T129" s="24"/>
    </row>
    <row r="130" spans="1:20" s="33" customFormat="1" ht="15.75" customHeight="1" x14ac:dyDescent="0.35">
      <c r="A130" s="11">
        <f t="shared" si="20"/>
        <v>27</v>
      </c>
      <c r="B130" s="11">
        <v>559</v>
      </c>
      <c r="C130" s="37" t="s">
        <v>288</v>
      </c>
      <c r="D130" s="97">
        <v>1969</v>
      </c>
      <c r="E130" s="96" t="s">
        <v>75</v>
      </c>
      <c r="F130" s="96" t="s">
        <v>163</v>
      </c>
      <c r="G130" s="22">
        <v>3872.2</v>
      </c>
      <c r="H130" s="22">
        <v>3585.2</v>
      </c>
      <c r="I130" s="26">
        <v>131</v>
      </c>
      <c r="J130" s="22">
        <f>'Форма 2'!I465</f>
        <v>3210129.94</v>
      </c>
      <c r="K130" s="22">
        <v>0</v>
      </c>
      <c r="L130" s="22">
        <v>0</v>
      </c>
      <c r="M130" s="22">
        <v>0</v>
      </c>
      <c r="N130" s="22">
        <f t="shared" si="18"/>
        <v>3096665.22</v>
      </c>
      <c r="O130" s="22">
        <v>113464.72</v>
      </c>
      <c r="P130" s="22">
        <f t="shared" si="19"/>
        <v>895.38</v>
      </c>
      <c r="Q130" s="22">
        <f>'Форма 2'!K465</f>
        <v>2936</v>
      </c>
      <c r="R130" s="38" t="s">
        <v>164</v>
      </c>
      <c r="S130" s="172">
        <v>1</v>
      </c>
      <c r="T130" s="24"/>
    </row>
    <row r="131" spans="1:20" s="33" customFormat="1" ht="15.75" customHeight="1" x14ac:dyDescent="0.35">
      <c r="A131" s="11">
        <f t="shared" si="20"/>
        <v>28</v>
      </c>
      <c r="B131" s="11">
        <v>524</v>
      </c>
      <c r="C131" s="37" t="s">
        <v>289</v>
      </c>
      <c r="D131" s="97">
        <v>1967</v>
      </c>
      <c r="E131" s="96" t="s">
        <v>75</v>
      </c>
      <c r="F131" s="96" t="s">
        <v>163</v>
      </c>
      <c r="G131" s="22">
        <v>4124.3100000000004</v>
      </c>
      <c r="H131" s="22">
        <v>3856.05</v>
      </c>
      <c r="I131" s="26">
        <v>103</v>
      </c>
      <c r="J131" s="22">
        <f>'Форма 2'!I468</f>
        <v>2688445.24</v>
      </c>
      <c r="K131" s="22">
        <v>0</v>
      </c>
      <c r="L131" s="22">
        <v>0</v>
      </c>
      <c r="M131" s="22">
        <v>0</v>
      </c>
      <c r="N131" s="22">
        <f t="shared" si="18"/>
        <v>2565609.2000000002</v>
      </c>
      <c r="O131" s="22">
        <v>122836.04</v>
      </c>
      <c r="P131" s="22">
        <f t="shared" si="19"/>
        <v>697.2</v>
      </c>
      <c r="Q131" s="22">
        <f>'Форма 2'!K468</f>
        <v>2936</v>
      </c>
      <c r="R131" s="38" t="s">
        <v>164</v>
      </c>
      <c r="S131" s="172">
        <v>1</v>
      </c>
      <c r="T131" s="24"/>
    </row>
    <row r="132" spans="1:20" s="33" customFormat="1" ht="15.75" customHeight="1" x14ac:dyDescent="0.35">
      <c r="A132" s="11">
        <f t="shared" si="20"/>
        <v>29</v>
      </c>
      <c r="B132" s="11">
        <v>509</v>
      </c>
      <c r="C132" s="37" t="s">
        <v>290</v>
      </c>
      <c r="D132" s="97">
        <v>1965</v>
      </c>
      <c r="E132" s="96" t="s">
        <v>75</v>
      </c>
      <c r="F132" s="96" t="s">
        <v>163</v>
      </c>
      <c r="G132" s="22">
        <v>3249.8</v>
      </c>
      <c r="H132" s="22">
        <v>3004.2</v>
      </c>
      <c r="I132" s="26">
        <v>111</v>
      </c>
      <c r="J132" s="22">
        <f>'Форма 2'!I471</f>
        <v>2472001.6</v>
      </c>
      <c r="K132" s="22">
        <v>0</v>
      </c>
      <c r="L132" s="22">
        <v>0</v>
      </c>
      <c r="M132" s="22">
        <v>0</v>
      </c>
      <c r="N132" s="22">
        <f t="shared" si="18"/>
        <v>2376924.42</v>
      </c>
      <c r="O132" s="22">
        <v>95077.18</v>
      </c>
      <c r="P132" s="22">
        <f t="shared" si="19"/>
        <v>822.85</v>
      </c>
      <c r="Q132" s="22">
        <f>'Форма 2'!K471</f>
        <v>2936</v>
      </c>
      <c r="R132" s="38" t="s">
        <v>164</v>
      </c>
      <c r="S132" s="172">
        <v>1</v>
      </c>
      <c r="T132" s="24"/>
    </row>
    <row r="133" spans="1:20" s="33" customFormat="1" ht="15.75" customHeight="1" x14ac:dyDescent="0.35">
      <c r="A133" s="11">
        <f t="shared" si="20"/>
        <v>30</v>
      </c>
      <c r="B133" s="11">
        <v>617</v>
      </c>
      <c r="C133" s="37" t="s">
        <v>291</v>
      </c>
      <c r="D133" s="97">
        <v>1974</v>
      </c>
      <c r="E133" s="96" t="s">
        <v>75</v>
      </c>
      <c r="F133" s="96" t="s">
        <v>163</v>
      </c>
      <c r="G133" s="22">
        <v>5219.72</v>
      </c>
      <c r="H133" s="22">
        <v>4525.22</v>
      </c>
      <c r="I133" s="26">
        <v>182</v>
      </c>
      <c r="J133" s="22">
        <f>'Форма 2'!I474</f>
        <v>3153965.94</v>
      </c>
      <c r="K133" s="22">
        <v>0</v>
      </c>
      <c r="L133" s="22">
        <v>0</v>
      </c>
      <c r="M133" s="22">
        <v>0</v>
      </c>
      <c r="N133" s="22">
        <f t="shared" si="18"/>
        <v>3010751.38</v>
      </c>
      <c r="O133" s="22">
        <v>143214.56</v>
      </c>
      <c r="P133" s="22">
        <f t="shared" si="19"/>
        <v>696.98</v>
      </c>
      <c r="Q133" s="22">
        <f>'Форма 2'!K474</f>
        <v>2936</v>
      </c>
      <c r="R133" s="38" t="s">
        <v>164</v>
      </c>
      <c r="S133" s="172">
        <v>1</v>
      </c>
      <c r="T133" s="24"/>
    </row>
    <row r="134" spans="1:20" s="33" customFormat="1" ht="15.75" customHeight="1" x14ac:dyDescent="0.35">
      <c r="A134" s="11">
        <f>A133+1</f>
        <v>31</v>
      </c>
      <c r="B134" s="11">
        <v>574</v>
      </c>
      <c r="C134" s="37" t="s">
        <v>294</v>
      </c>
      <c r="D134" s="97">
        <v>1971</v>
      </c>
      <c r="E134" s="96" t="s">
        <v>75</v>
      </c>
      <c r="F134" s="96" t="s">
        <v>163</v>
      </c>
      <c r="G134" s="22">
        <v>3573</v>
      </c>
      <c r="H134" s="22">
        <v>3042.6</v>
      </c>
      <c r="I134" s="26">
        <v>180</v>
      </c>
      <c r="J134" s="22">
        <f>'Форма 2'!I477</f>
        <v>2301908.66</v>
      </c>
      <c r="K134" s="22">
        <v>0</v>
      </c>
      <c r="L134" s="22">
        <v>0</v>
      </c>
      <c r="M134" s="22">
        <v>0</v>
      </c>
      <c r="N134" s="22">
        <f t="shared" si="18"/>
        <v>2205616.19</v>
      </c>
      <c r="O134" s="22">
        <v>96292.47</v>
      </c>
      <c r="P134" s="22">
        <f t="shared" si="19"/>
        <v>756.56</v>
      </c>
      <c r="Q134" s="22">
        <f>'Форма 2'!K477</f>
        <v>2936</v>
      </c>
      <c r="R134" s="38" t="s">
        <v>164</v>
      </c>
      <c r="S134" s="172">
        <v>1</v>
      </c>
      <c r="T134" s="24"/>
    </row>
    <row r="135" spans="1:20" s="33" customFormat="1" ht="15.75" customHeight="1" x14ac:dyDescent="0.35">
      <c r="A135" s="11">
        <f t="shared" si="20"/>
        <v>32</v>
      </c>
      <c r="B135" s="11">
        <v>402</v>
      </c>
      <c r="C135" s="37" t="s">
        <v>295</v>
      </c>
      <c r="D135" s="97">
        <v>1962</v>
      </c>
      <c r="E135" s="96" t="s">
        <v>267</v>
      </c>
      <c r="F135" s="124" t="s">
        <v>158</v>
      </c>
      <c r="G135" s="22">
        <v>1665.2</v>
      </c>
      <c r="H135" s="22">
        <v>1350.1</v>
      </c>
      <c r="I135" s="26">
        <v>51</v>
      </c>
      <c r="J135" s="22">
        <f>'Форма 2'!I480</f>
        <v>3275335.36</v>
      </c>
      <c r="K135" s="22">
        <v>0</v>
      </c>
      <c r="L135" s="22">
        <v>0</v>
      </c>
      <c r="M135" s="22">
        <v>0</v>
      </c>
      <c r="N135" s="22">
        <f t="shared" si="18"/>
        <v>3180952.69</v>
      </c>
      <c r="O135" s="22">
        <v>94382.67</v>
      </c>
      <c r="P135" s="22">
        <f t="shared" si="19"/>
        <v>2425.9899999999998</v>
      </c>
      <c r="Q135" s="22">
        <f>'Форма 2'!K480</f>
        <v>3640</v>
      </c>
      <c r="R135" s="38" t="s">
        <v>156</v>
      </c>
      <c r="S135" s="172">
        <v>1</v>
      </c>
      <c r="T135" s="24"/>
    </row>
    <row r="136" spans="1:20" s="33" customFormat="1" ht="15.75" customHeight="1" x14ac:dyDescent="0.35">
      <c r="A136" s="11">
        <f t="shared" si="20"/>
        <v>33</v>
      </c>
      <c r="B136" s="11">
        <v>566</v>
      </c>
      <c r="C136" s="37" t="s">
        <v>296</v>
      </c>
      <c r="D136" s="97">
        <v>1970</v>
      </c>
      <c r="E136" s="96" t="s">
        <v>75</v>
      </c>
      <c r="F136" s="96" t="s">
        <v>163</v>
      </c>
      <c r="G136" s="22">
        <v>3405.3</v>
      </c>
      <c r="H136" s="22">
        <v>3195.7</v>
      </c>
      <c r="I136" s="26">
        <v>149</v>
      </c>
      <c r="J136" s="22">
        <f>'Форма 2'!I487</f>
        <v>2099527.02</v>
      </c>
      <c r="K136" s="22">
        <v>0</v>
      </c>
      <c r="L136" s="22">
        <v>0</v>
      </c>
      <c r="M136" s="22">
        <v>0</v>
      </c>
      <c r="N136" s="22">
        <f t="shared" si="18"/>
        <v>1998389.23</v>
      </c>
      <c r="O136" s="22">
        <v>101137.79</v>
      </c>
      <c r="P136" s="22">
        <f t="shared" si="19"/>
        <v>656.99</v>
      </c>
      <c r="Q136" s="22">
        <f>'Форма 2'!K487</f>
        <v>2936</v>
      </c>
      <c r="R136" s="38" t="s">
        <v>164</v>
      </c>
      <c r="S136" s="172">
        <v>1</v>
      </c>
      <c r="T136" s="24"/>
    </row>
    <row r="137" spans="1:20" s="33" customFormat="1" ht="15.75" customHeight="1" x14ac:dyDescent="0.35">
      <c r="A137" s="11">
        <f t="shared" si="20"/>
        <v>34</v>
      </c>
      <c r="B137" s="11">
        <v>653</v>
      </c>
      <c r="C137" s="37" t="s">
        <v>297</v>
      </c>
      <c r="D137" s="97">
        <v>1978</v>
      </c>
      <c r="E137" s="96" t="s">
        <v>75</v>
      </c>
      <c r="F137" s="96" t="s">
        <v>163</v>
      </c>
      <c r="G137" s="22">
        <v>3299.15</v>
      </c>
      <c r="H137" s="22">
        <v>3054.95</v>
      </c>
      <c r="I137" s="26">
        <v>137</v>
      </c>
      <c r="J137" s="22">
        <f>'Форма 2'!I490</f>
        <v>2247604.9700000002</v>
      </c>
      <c r="K137" s="22">
        <v>0</v>
      </c>
      <c r="L137" s="22">
        <v>0</v>
      </c>
      <c r="M137" s="22">
        <v>0</v>
      </c>
      <c r="N137" s="22">
        <f t="shared" si="18"/>
        <v>2150921.65</v>
      </c>
      <c r="O137" s="22">
        <v>96683.32</v>
      </c>
      <c r="P137" s="22">
        <f t="shared" si="19"/>
        <v>735.73</v>
      </c>
      <c r="Q137" s="22">
        <f>'Форма 2'!K490</f>
        <v>2936</v>
      </c>
      <c r="R137" s="38" t="s">
        <v>164</v>
      </c>
      <c r="S137" s="172">
        <v>1</v>
      </c>
      <c r="T137" s="24"/>
    </row>
    <row r="138" spans="1:20" s="33" customFormat="1" ht="15.75" customHeight="1" x14ac:dyDescent="0.35">
      <c r="A138" s="11">
        <f t="shared" si="20"/>
        <v>35</v>
      </c>
      <c r="B138" s="11">
        <v>647</v>
      </c>
      <c r="C138" s="37" t="s">
        <v>298</v>
      </c>
      <c r="D138" s="97">
        <v>1976</v>
      </c>
      <c r="E138" s="96" t="s">
        <v>267</v>
      </c>
      <c r="F138" s="96" t="s">
        <v>155</v>
      </c>
      <c r="G138" s="22">
        <v>3582</v>
      </c>
      <c r="H138" s="22">
        <v>2026</v>
      </c>
      <c r="I138" s="26">
        <v>175</v>
      </c>
      <c r="J138" s="22">
        <f>'Форма 2'!I493</f>
        <v>314030</v>
      </c>
      <c r="K138" s="22">
        <v>0</v>
      </c>
      <c r="L138" s="22">
        <v>0</v>
      </c>
      <c r="M138" s="22">
        <v>0</v>
      </c>
      <c r="N138" s="22">
        <f t="shared" si="18"/>
        <v>265125.55</v>
      </c>
      <c r="O138" s="22">
        <v>48904.45</v>
      </c>
      <c r="P138" s="22">
        <f t="shared" si="19"/>
        <v>155</v>
      </c>
      <c r="Q138" s="22">
        <f>'Форма 2'!K493</f>
        <v>155</v>
      </c>
      <c r="R138" s="38" t="s">
        <v>156</v>
      </c>
      <c r="S138" s="172">
        <v>1</v>
      </c>
      <c r="T138" s="24"/>
    </row>
    <row r="139" spans="1:20" s="33" customFormat="1" ht="15.75" customHeight="1" x14ac:dyDescent="0.35">
      <c r="A139" s="11">
        <f t="shared" si="20"/>
        <v>36</v>
      </c>
      <c r="B139" s="11">
        <v>472</v>
      </c>
      <c r="C139" s="37" t="s">
        <v>299</v>
      </c>
      <c r="D139" s="97">
        <v>1964</v>
      </c>
      <c r="E139" s="96" t="s">
        <v>75</v>
      </c>
      <c r="F139" s="96" t="s">
        <v>158</v>
      </c>
      <c r="G139" s="22">
        <v>3606.43</v>
      </c>
      <c r="H139" s="22">
        <v>3361.23</v>
      </c>
      <c r="I139" s="26">
        <v>107</v>
      </c>
      <c r="J139" s="22">
        <f>'Форма 2'!I497</f>
        <v>5417303.2400000002</v>
      </c>
      <c r="K139" s="22">
        <v>0</v>
      </c>
      <c r="L139" s="22">
        <v>0</v>
      </c>
      <c r="M139" s="22">
        <v>0</v>
      </c>
      <c r="N139" s="22">
        <f t="shared" si="18"/>
        <v>5188276.04</v>
      </c>
      <c r="O139" s="22">
        <v>229027.20000000001</v>
      </c>
      <c r="P139" s="22">
        <f t="shared" si="19"/>
        <v>1611.7</v>
      </c>
      <c r="Q139" s="22">
        <f>'Форма 2'!K497</f>
        <v>2831</v>
      </c>
      <c r="R139" s="38" t="s">
        <v>156</v>
      </c>
      <c r="S139" s="172">
        <v>1</v>
      </c>
      <c r="T139" s="24"/>
    </row>
    <row r="140" spans="1:20" s="33" customFormat="1" ht="15.75" customHeight="1" x14ac:dyDescent="0.35">
      <c r="A140" s="11">
        <f t="shared" si="20"/>
        <v>37</v>
      </c>
      <c r="B140" s="11">
        <v>362</v>
      </c>
      <c r="C140" s="37" t="s">
        <v>300</v>
      </c>
      <c r="D140" s="97">
        <v>1961</v>
      </c>
      <c r="E140" s="96" t="s">
        <v>75</v>
      </c>
      <c r="F140" s="96" t="s">
        <v>158</v>
      </c>
      <c r="G140" s="22">
        <v>678.6</v>
      </c>
      <c r="H140" s="22">
        <v>632.6</v>
      </c>
      <c r="I140" s="26">
        <v>40</v>
      </c>
      <c r="J140" s="22">
        <f>'Форма 2'!I500</f>
        <v>2925112.4</v>
      </c>
      <c r="K140" s="22">
        <v>0</v>
      </c>
      <c r="L140" s="22">
        <v>0</v>
      </c>
      <c r="M140" s="22">
        <v>0</v>
      </c>
      <c r="N140" s="22">
        <f t="shared" si="18"/>
        <v>2821257.41</v>
      </c>
      <c r="O140" s="22">
        <v>103854.99</v>
      </c>
      <c r="P140" s="22">
        <f t="shared" si="19"/>
        <v>4623.95</v>
      </c>
      <c r="Q140" s="22">
        <f>'Форма 2'!K500</f>
        <v>7066</v>
      </c>
      <c r="R140" s="38" t="s">
        <v>156</v>
      </c>
      <c r="S140" s="172">
        <v>1</v>
      </c>
      <c r="T140" s="24"/>
    </row>
    <row r="141" spans="1:20" s="33" customFormat="1" ht="15.75" customHeight="1" x14ac:dyDescent="0.35">
      <c r="A141" s="11">
        <f t="shared" si="20"/>
        <v>38</v>
      </c>
      <c r="B141" s="11">
        <v>465</v>
      </c>
      <c r="C141" s="37" t="s">
        <v>301</v>
      </c>
      <c r="D141" s="97">
        <v>1964</v>
      </c>
      <c r="E141" s="96" t="s">
        <v>75</v>
      </c>
      <c r="F141" s="96" t="s">
        <v>158</v>
      </c>
      <c r="G141" s="22">
        <v>667</v>
      </c>
      <c r="H141" s="22">
        <v>620.79999999999995</v>
      </c>
      <c r="I141" s="26">
        <v>34</v>
      </c>
      <c r="J141" s="22">
        <f>'Форма 2'!I503</f>
        <v>2945000.09</v>
      </c>
      <c r="K141" s="22">
        <v>0</v>
      </c>
      <c r="L141" s="22">
        <v>0</v>
      </c>
      <c r="M141" s="22">
        <v>0</v>
      </c>
      <c r="N141" s="22">
        <f t="shared" si="18"/>
        <v>2841045.18</v>
      </c>
      <c r="O141" s="22">
        <v>103954.91</v>
      </c>
      <c r="P141" s="22">
        <f t="shared" si="19"/>
        <v>4743.88</v>
      </c>
      <c r="Q141" s="22">
        <f>'Форма 2'!K503</f>
        <v>7066</v>
      </c>
      <c r="R141" s="38" t="s">
        <v>156</v>
      </c>
      <c r="S141" s="172">
        <v>1</v>
      </c>
      <c r="T141" s="24"/>
    </row>
    <row r="142" spans="1:20" s="33" customFormat="1" ht="15.75" customHeight="1" x14ac:dyDescent="0.35">
      <c r="A142" s="11">
        <f t="shared" si="20"/>
        <v>39</v>
      </c>
      <c r="B142" s="11">
        <v>296</v>
      </c>
      <c r="C142" s="37" t="s">
        <v>302</v>
      </c>
      <c r="D142" s="97">
        <v>1958</v>
      </c>
      <c r="E142" s="96" t="s">
        <v>75</v>
      </c>
      <c r="F142" s="96" t="s">
        <v>158</v>
      </c>
      <c r="G142" s="22">
        <v>2415.8000000000002</v>
      </c>
      <c r="H142" s="22">
        <v>1337.8</v>
      </c>
      <c r="I142" s="26">
        <v>47</v>
      </c>
      <c r="J142" s="22">
        <f>'Форма 2'!I506</f>
        <v>6751531.5999999996</v>
      </c>
      <c r="K142" s="22">
        <v>0</v>
      </c>
      <c r="L142" s="22">
        <v>0</v>
      </c>
      <c r="M142" s="22">
        <v>0</v>
      </c>
      <c r="N142" s="22">
        <f t="shared" si="18"/>
        <v>6507404.2400000002</v>
      </c>
      <c r="O142" s="22">
        <v>244127.35999999999</v>
      </c>
      <c r="P142" s="22">
        <f t="shared" si="19"/>
        <v>5046.74</v>
      </c>
      <c r="Q142" s="22">
        <f>'Форма 2'!K506</f>
        <v>7066</v>
      </c>
      <c r="R142" s="38" t="s">
        <v>156</v>
      </c>
      <c r="S142" s="172">
        <v>1</v>
      </c>
      <c r="T142" s="24"/>
    </row>
    <row r="143" spans="1:20" s="33" customFormat="1" ht="15.75" customHeight="1" x14ac:dyDescent="0.35">
      <c r="A143" s="11">
        <f t="shared" si="20"/>
        <v>40</v>
      </c>
      <c r="B143" s="11">
        <v>532</v>
      </c>
      <c r="C143" s="37" t="s">
        <v>303</v>
      </c>
      <c r="D143" s="97">
        <v>1967</v>
      </c>
      <c r="E143" s="96" t="s">
        <v>75</v>
      </c>
      <c r="F143" s="96" t="s">
        <v>163</v>
      </c>
      <c r="G143" s="22">
        <v>3940.36</v>
      </c>
      <c r="H143" s="22">
        <v>3750.3</v>
      </c>
      <c r="I143" s="26">
        <v>228</v>
      </c>
      <c r="J143" s="22">
        <f>'Форма 2'!I509</f>
        <v>2934509.96</v>
      </c>
      <c r="K143" s="22">
        <v>0</v>
      </c>
      <c r="L143" s="22">
        <v>0</v>
      </c>
      <c r="M143" s="22">
        <v>0</v>
      </c>
      <c r="N143" s="22">
        <f t="shared" si="18"/>
        <v>2815820.14</v>
      </c>
      <c r="O143" s="22">
        <v>118689.82</v>
      </c>
      <c r="P143" s="22">
        <f t="shared" si="19"/>
        <v>782.47</v>
      </c>
      <c r="Q143" s="22">
        <f>'Форма 2'!K509</f>
        <v>2936</v>
      </c>
      <c r="R143" s="38" t="s">
        <v>164</v>
      </c>
      <c r="S143" s="172">
        <v>1</v>
      </c>
      <c r="T143" s="24"/>
    </row>
    <row r="144" spans="1:20" s="33" customFormat="1" ht="15.75" customHeight="1" x14ac:dyDescent="0.35">
      <c r="A144" s="11">
        <f t="shared" si="20"/>
        <v>41</v>
      </c>
      <c r="B144" s="11">
        <v>588</v>
      </c>
      <c r="C144" s="37" t="s">
        <v>304</v>
      </c>
      <c r="D144" s="97">
        <v>1972</v>
      </c>
      <c r="E144" s="96" t="s">
        <v>75</v>
      </c>
      <c r="F144" s="96" t="s">
        <v>163</v>
      </c>
      <c r="G144" s="22">
        <v>2356.1</v>
      </c>
      <c r="H144" s="22">
        <v>1171.8</v>
      </c>
      <c r="I144" s="26">
        <v>75</v>
      </c>
      <c r="J144" s="22">
        <f>'Форма 2'!I512</f>
        <v>1165275.05</v>
      </c>
      <c r="K144" s="22">
        <v>0</v>
      </c>
      <c r="L144" s="22">
        <v>0</v>
      </c>
      <c r="M144" s="22">
        <v>0</v>
      </c>
      <c r="N144" s="22">
        <f t="shared" si="18"/>
        <v>1128189.82</v>
      </c>
      <c r="O144" s="22">
        <v>37085.230000000003</v>
      </c>
      <c r="P144" s="22">
        <f t="shared" si="19"/>
        <v>994.43</v>
      </c>
      <c r="Q144" s="22">
        <f>'Форма 2'!K512</f>
        <v>2936</v>
      </c>
      <c r="R144" s="38" t="s">
        <v>164</v>
      </c>
      <c r="S144" s="172">
        <v>1</v>
      </c>
      <c r="T144" s="24"/>
    </row>
    <row r="145" spans="1:20" s="33" customFormat="1" ht="15.75" customHeight="1" x14ac:dyDescent="0.35">
      <c r="A145" s="11">
        <f t="shared" si="20"/>
        <v>42</v>
      </c>
      <c r="B145" s="11">
        <v>667</v>
      </c>
      <c r="C145" s="37" t="s">
        <v>305</v>
      </c>
      <c r="D145" s="97">
        <v>1978</v>
      </c>
      <c r="E145" s="96" t="s">
        <v>75</v>
      </c>
      <c r="F145" s="96" t="s">
        <v>155</v>
      </c>
      <c r="G145" s="22">
        <v>2576.64</v>
      </c>
      <c r="H145" s="22">
        <v>2331.8000000000002</v>
      </c>
      <c r="I145" s="26">
        <v>79</v>
      </c>
      <c r="J145" s="22">
        <f>'Форма 2'!I515</f>
        <v>373034.39</v>
      </c>
      <c r="K145" s="22">
        <v>0</v>
      </c>
      <c r="L145" s="22">
        <v>0</v>
      </c>
      <c r="M145" s="22">
        <v>0</v>
      </c>
      <c r="N145" s="22">
        <f t="shared" si="18"/>
        <v>359486.34</v>
      </c>
      <c r="O145" s="22">
        <v>13548.05</v>
      </c>
      <c r="P145" s="22">
        <f t="shared" si="19"/>
        <v>159.97999999999999</v>
      </c>
      <c r="Q145" s="22">
        <f>'Форма 2'!K515</f>
        <v>164</v>
      </c>
      <c r="R145" s="38" t="s">
        <v>156</v>
      </c>
      <c r="S145" s="172">
        <v>1</v>
      </c>
      <c r="T145" s="24"/>
    </row>
    <row r="146" spans="1:20" s="33" customFormat="1" ht="15.75" customHeight="1" x14ac:dyDescent="0.35">
      <c r="A146" s="11">
        <f t="shared" si="20"/>
        <v>43</v>
      </c>
      <c r="B146" s="11">
        <v>554</v>
      </c>
      <c r="C146" s="37" t="s">
        <v>306</v>
      </c>
      <c r="D146" s="97">
        <v>1969</v>
      </c>
      <c r="E146" s="96" t="s">
        <v>267</v>
      </c>
      <c r="F146" s="96" t="s">
        <v>163</v>
      </c>
      <c r="G146" s="22">
        <v>3834</v>
      </c>
      <c r="H146" s="22">
        <v>3545.5</v>
      </c>
      <c r="I146" s="26">
        <v>127</v>
      </c>
      <c r="J146" s="22">
        <f>'Форма 2'!I517</f>
        <v>3195891.68</v>
      </c>
      <c r="K146" s="22">
        <v>0</v>
      </c>
      <c r="L146" s="22">
        <v>0</v>
      </c>
      <c r="M146" s="22">
        <v>0</v>
      </c>
      <c r="N146" s="22">
        <f t="shared" si="18"/>
        <v>3114031.04</v>
      </c>
      <c r="O146" s="22">
        <v>81860.639999999999</v>
      </c>
      <c r="P146" s="22">
        <f t="shared" si="19"/>
        <v>901.39</v>
      </c>
      <c r="Q146" s="22">
        <f>'Форма 2'!K517</f>
        <v>3121</v>
      </c>
      <c r="R146" s="38" t="s">
        <v>164</v>
      </c>
      <c r="S146" s="172">
        <v>1</v>
      </c>
      <c r="T146" s="24"/>
    </row>
    <row r="147" spans="1:20" s="33" customFormat="1" ht="15.75" customHeight="1" x14ac:dyDescent="0.35">
      <c r="A147" s="11">
        <f t="shared" si="20"/>
        <v>44</v>
      </c>
      <c r="B147" s="11">
        <v>161</v>
      </c>
      <c r="C147" s="37" t="s">
        <v>307</v>
      </c>
      <c r="D147" s="97">
        <v>1951</v>
      </c>
      <c r="E147" s="96" t="s">
        <v>75</v>
      </c>
      <c r="F147" s="96" t="s">
        <v>158</v>
      </c>
      <c r="G147" s="22">
        <v>1853.8</v>
      </c>
      <c r="H147" s="22">
        <v>1724.6</v>
      </c>
      <c r="I147" s="26">
        <v>52</v>
      </c>
      <c r="J147" s="22">
        <f>'Форма 2'!I524</f>
        <v>3709868.22</v>
      </c>
      <c r="K147" s="22">
        <v>0</v>
      </c>
      <c r="L147" s="22">
        <v>0</v>
      </c>
      <c r="M147" s="22">
        <v>0</v>
      </c>
      <c r="N147" s="22">
        <f t="shared" si="18"/>
        <v>3579330.37</v>
      </c>
      <c r="O147" s="22">
        <v>130537.85</v>
      </c>
      <c r="P147" s="22">
        <f t="shared" si="19"/>
        <v>2151.15</v>
      </c>
      <c r="Q147" s="22">
        <f>'Форма 2'!K524</f>
        <v>4728</v>
      </c>
      <c r="R147" s="38" t="s">
        <v>156</v>
      </c>
      <c r="S147" s="172">
        <v>1</v>
      </c>
      <c r="T147" s="24"/>
    </row>
    <row r="148" spans="1:20" s="33" customFormat="1" ht="15.75" customHeight="1" x14ac:dyDescent="0.35">
      <c r="A148" s="11">
        <f t="shared" si="20"/>
        <v>45</v>
      </c>
      <c r="B148" s="11">
        <v>576</v>
      </c>
      <c r="C148" s="37" t="s">
        <v>308</v>
      </c>
      <c r="D148" s="97">
        <v>1970</v>
      </c>
      <c r="E148" s="96" t="s">
        <v>75</v>
      </c>
      <c r="F148" s="96" t="s">
        <v>163</v>
      </c>
      <c r="G148" s="22">
        <v>3161.6</v>
      </c>
      <c r="H148" s="22">
        <v>2984.6</v>
      </c>
      <c r="I148" s="26">
        <v>198</v>
      </c>
      <c r="J148" s="22">
        <f>'Форма 2'!I527</f>
        <v>2506567.7000000002</v>
      </c>
      <c r="K148" s="22">
        <v>0</v>
      </c>
      <c r="L148" s="22">
        <v>0</v>
      </c>
      <c r="M148" s="22">
        <v>0</v>
      </c>
      <c r="N148" s="22">
        <f t="shared" si="18"/>
        <v>2412110.8199999998</v>
      </c>
      <c r="O148" s="22">
        <v>94456.88</v>
      </c>
      <c r="P148" s="22">
        <f t="shared" si="19"/>
        <v>839.83</v>
      </c>
      <c r="Q148" s="22">
        <f>'Форма 2'!K527</f>
        <v>2936</v>
      </c>
      <c r="R148" s="38" t="s">
        <v>164</v>
      </c>
      <c r="S148" s="172">
        <v>1</v>
      </c>
      <c r="T148" s="24"/>
    </row>
    <row r="149" spans="1:20" s="33" customFormat="1" ht="15.75" customHeight="1" x14ac:dyDescent="0.35">
      <c r="A149" s="11">
        <f t="shared" si="20"/>
        <v>46</v>
      </c>
      <c r="B149" s="11">
        <v>587</v>
      </c>
      <c r="C149" s="37" t="s">
        <v>309</v>
      </c>
      <c r="D149" s="97">
        <v>1972</v>
      </c>
      <c r="E149" s="96" t="s">
        <v>75</v>
      </c>
      <c r="F149" s="96" t="s">
        <v>163</v>
      </c>
      <c r="G149" s="22">
        <v>1950</v>
      </c>
      <c r="H149" s="22">
        <v>1802</v>
      </c>
      <c r="I149" s="26">
        <v>84</v>
      </c>
      <c r="J149" s="22">
        <f>'Форма 2'!I530</f>
        <v>1706791.17</v>
      </c>
      <c r="K149" s="22">
        <v>0</v>
      </c>
      <c r="L149" s="22">
        <v>0</v>
      </c>
      <c r="M149" s="22">
        <v>0</v>
      </c>
      <c r="N149" s="22">
        <f t="shared" si="18"/>
        <v>1649761.32</v>
      </c>
      <c r="O149" s="22">
        <v>57029.85</v>
      </c>
      <c r="P149" s="22">
        <f t="shared" si="19"/>
        <v>947.16</v>
      </c>
      <c r="Q149" s="22">
        <f>'Форма 2'!K530</f>
        <v>2936</v>
      </c>
      <c r="R149" s="38" t="s">
        <v>164</v>
      </c>
      <c r="S149" s="172">
        <v>1</v>
      </c>
      <c r="T149" s="24"/>
    </row>
    <row r="150" spans="1:20" s="33" customFormat="1" ht="15.75" customHeight="1" x14ac:dyDescent="0.35">
      <c r="A150" s="11">
        <f t="shared" si="20"/>
        <v>47</v>
      </c>
      <c r="B150" s="11">
        <v>746</v>
      </c>
      <c r="C150" s="37" t="s">
        <v>310</v>
      </c>
      <c r="D150" s="97">
        <v>1982</v>
      </c>
      <c r="E150" s="96" t="s">
        <v>75</v>
      </c>
      <c r="F150" s="96" t="s">
        <v>155</v>
      </c>
      <c r="G150" s="22">
        <v>3456.7</v>
      </c>
      <c r="H150" s="22">
        <v>2801.8</v>
      </c>
      <c r="I150" s="26">
        <v>185</v>
      </c>
      <c r="J150" s="22">
        <f>'Форма 2'!I533</f>
        <v>251696.6</v>
      </c>
      <c r="K150" s="22">
        <v>0</v>
      </c>
      <c r="L150" s="22">
        <v>0</v>
      </c>
      <c r="M150" s="22">
        <v>0</v>
      </c>
      <c r="N150" s="22">
        <f t="shared" si="18"/>
        <v>236897.69</v>
      </c>
      <c r="O150" s="22">
        <v>14798.91</v>
      </c>
      <c r="P150" s="22">
        <f t="shared" si="19"/>
        <v>89.83</v>
      </c>
      <c r="Q150" s="22">
        <f>'Форма 2'!K533</f>
        <v>164</v>
      </c>
      <c r="R150" s="38" t="s">
        <v>156</v>
      </c>
      <c r="S150" s="172">
        <v>1</v>
      </c>
      <c r="T150" s="24"/>
    </row>
    <row r="151" spans="1:20" s="33" customFormat="1" ht="15.75" customHeight="1" x14ac:dyDescent="0.35">
      <c r="A151" s="11">
        <f t="shared" si="20"/>
        <v>48</v>
      </c>
      <c r="B151" s="11">
        <v>294</v>
      </c>
      <c r="C151" s="37" t="s">
        <v>311</v>
      </c>
      <c r="D151" s="97">
        <v>1958</v>
      </c>
      <c r="E151" s="96" t="s">
        <v>312</v>
      </c>
      <c r="F151" s="96" t="s">
        <v>158</v>
      </c>
      <c r="G151" s="22">
        <v>4068.1</v>
      </c>
      <c r="H151" s="22">
        <v>3808.2</v>
      </c>
      <c r="I151" s="26">
        <v>77</v>
      </c>
      <c r="J151" s="22">
        <f>'Форма 2'!I535</f>
        <v>13254816.98</v>
      </c>
      <c r="K151" s="22">
        <v>0</v>
      </c>
      <c r="L151" s="22">
        <v>0</v>
      </c>
      <c r="M151" s="22">
        <v>0</v>
      </c>
      <c r="N151" s="22">
        <f t="shared" si="18"/>
        <v>12813420.76</v>
      </c>
      <c r="O151" s="22">
        <v>441396.22</v>
      </c>
      <c r="P151" s="22">
        <f t="shared" si="19"/>
        <v>3480.6</v>
      </c>
      <c r="Q151" s="22">
        <f>'Форма 2'!K535</f>
        <v>5771</v>
      </c>
      <c r="R151" s="38" t="s">
        <v>156</v>
      </c>
      <c r="S151" s="172">
        <v>1</v>
      </c>
      <c r="T151" s="24"/>
    </row>
    <row r="152" spans="1:20" s="33" customFormat="1" ht="15.75" customHeight="1" x14ac:dyDescent="0.35">
      <c r="A152" s="11">
        <f t="shared" si="20"/>
        <v>49</v>
      </c>
      <c r="B152" s="11">
        <v>326</v>
      </c>
      <c r="C152" s="37" t="s">
        <v>313</v>
      </c>
      <c r="D152" s="97">
        <v>1959</v>
      </c>
      <c r="E152" s="96" t="s">
        <v>75</v>
      </c>
      <c r="F152" s="96" t="s">
        <v>158</v>
      </c>
      <c r="G152" s="22">
        <v>1992.7</v>
      </c>
      <c r="H152" s="22">
        <v>1786.7</v>
      </c>
      <c r="I152" s="26">
        <v>62</v>
      </c>
      <c r="J152" s="22">
        <f>'Форма 2'!I540</f>
        <v>2988763.42</v>
      </c>
      <c r="K152" s="22">
        <v>0</v>
      </c>
      <c r="L152" s="22">
        <v>0</v>
      </c>
      <c r="M152" s="22">
        <v>0</v>
      </c>
      <c r="N152" s="22">
        <f t="shared" si="18"/>
        <v>2872434.46</v>
      </c>
      <c r="O152" s="22">
        <v>116328.96000000001</v>
      </c>
      <c r="P152" s="22">
        <f t="shared" si="19"/>
        <v>1672.78</v>
      </c>
      <c r="Q152" s="22">
        <f>'Форма 2'!K540</f>
        <v>2831</v>
      </c>
      <c r="R152" s="38" t="s">
        <v>156</v>
      </c>
      <c r="S152" s="172">
        <v>1</v>
      </c>
      <c r="T152" s="24"/>
    </row>
    <row r="153" spans="1:20" s="33" customFormat="1" ht="46.5" x14ac:dyDescent="0.35">
      <c r="A153" s="11">
        <f t="shared" si="20"/>
        <v>50</v>
      </c>
      <c r="B153" s="11">
        <v>774</v>
      </c>
      <c r="C153" s="37" t="s">
        <v>314</v>
      </c>
      <c r="D153" s="96" t="s">
        <v>315</v>
      </c>
      <c r="E153" s="96" t="s">
        <v>267</v>
      </c>
      <c r="F153" s="96" t="s">
        <v>155</v>
      </c>
      <c r="G153" s="22">
        <v>15418.66</v>
      </c>
      <c r="H153" s="22">
        <v>14583.46</v>
      </c>
      <c r="I153" s="26">
        <v>518</v>
      </c>
      <c r="J153" s="22">
        <f>'Форма 2'!I543</f>
        <v>736161.9</v>
      </c>
      <c r="K153" s="22">
        <v>0</v>
      </c>
      <c r="L153" s="22">
        <v>0</v>
      </c>
      <c r="M153" s="22">
        <v>0</v>
      </c>
      <c r="N153" s="22">
        <f t="shared" si="18"/>
        <v>695381.93</v>
      </c>
      <c r="O153" s="22">
        <v>40779.97</v>
      </c>
      <c r="P153" s="22">
        <f t="shared" si="19"/>
        <v>50.48</v>
      </c>
      <c r="Q153" s="22">
        <f>'Форма 2'!K543</f>
        <v>92</v>
      </c>
      <c r="R153" s="38" t="s">
        <v>156</v>
      </c>
      <c r="S153" s="172">
        <v>1</v>
      </c>
      <c r="T153" s="24"/>
    </row>
    <row r="154" spans="1:20" s="33" customFormat="1" ht="15.75" customHeight="1" x14ac:dyDescent="0.35">
      <c r="A154" s="11">
        <f>A153+1</f>
        <v>51</v>
      </c>
      <c r="B154" s="11">
        <v>453</v>
      </c>
      <c r="C154" s="37" t="s">
        <v>317</v>
      </c>
      <c r="D154" s="97">
        <v>1963</v>
      </c>
      <c r="E154" s="96" t="s">
        <v>75</v>
      </c>
      <c r="F154" s="96" t="s">
        <v>155</v>
      </c>
      <c r="G154" s="22">
        <v>2714.9</v>
      </c>
      <c r="H154" s="22">
        <v>2382.92</v>
      </c>
      <c r="I154" s="26">
        <v>84</v>
      </c>
      <c r="J154" s="22">
        <f>'Форма 2'!I547</f>
        <v>218437.83</v>
      </c>
      <c r="K154" s="22">
        <v>0</v>
      </c>
      <c r="L154" s="22">
        <v>0</v>
      </c>
      <c r="M154" s="22">
        <v>0</v>
      </c>
      <c r="N154" s="22">
        <f t="shared" si="18"/>
        <v>204592.77</v>
      </c>
      <c r="O154" s="22">
        <v>13845.06</v>
      </c>
      <c r="P154" s="22">
        <f t="shared" si="19"/>
        <v>91.67</v>
      </c>
      <c r="Q154" s="22">
        <f>'Форма 2'!K547</f>
        <v>164</v>
      </c>
      <c r="R154" s="38" t="s">
        <v>156</v>
      </c>
      <c r="S154" s="172">
        <v>1</v>
      </c>
      <c r="T154" s="24"/>
    </row>
    <row r="155" spans="1:20" s="33" customFormat="1" ht="15.75" customHeight="1" x14ac:dyDescent="0.35">
      <c r="A155" s="11">
        <f t="shared" si="20"/>
        <v>52</v>
      </c>
      <c r="B155" s="11">
        <v>370</v>
      </c>
      <c r="C155" s="37" t="s">
        <v>318</v>
      </c>
      <c r="D155" s="97">
        <v>1961</v>
      </c>
      <c r="E155" s="96" t="s">
        <v>75</v>
      </c>
      <c r="F155" s="96" t="s">
        <v>158</v>
      </c>
      <c r="G155" s="22">
        <v>3478.4</v>
      </c>
      <c r="H155" s="22">
        <v>3194.4</v>
      </c>
      <c r="I155" s="26">
        <v>101</v>
      </c>
      <c r="J155" s="22">
        <f>'Форма 2'!I549</f>
        <v>6434047.6200000001</v>
      </c>
      <c r="K155" s="22">
        <v>0</v>
      </c>
      <c r="L155" s="22">
        <v>0</v>
      </c>
      <c r="M155" s="22">
        <v>0</v>
      </c>
      <c r="N155" s="22">
        <f t="shared" si="18"/>
        <v>6204978.8600000003</v>
      </c>
      <c r="O155" s="22">
        <v>229068.76</v>
      </c>
      <c r="P155" s="22">
        <f t="shared" si="19"/>
        <v>2014.16</v>
      </c>
      <c r="Q155" s="22">
        <f>'Форма 2'!K549</f>
        <v>2831</v>
      </c>
      <c r="R155" s="38" t="s">
        <v>156</v>
      </c>
      <c r="S155" s="172">
        <v>1</v>
      </c>
      <c r="T155" s="24"/>
    </row>
    <row r="156" spans="1:20" s="184" customFormat="1" ht="31" x14ac:dyDescent="0.35">
      <c r="A156" s="124">
        <f>A155+1</f>
        <v>53</v>
      </c>
      <c r="B156" s="124">
        <v>850</v>
      </c>
      <c r="C156" s="37" t="s">
        <v>319</v>
      </c>
      <c r="D156" s="96">
        <v>1989</v>
      </c>
      <c r="E156" s="96" t="s">
        <v>419</v>
      </c>
      <c r="F156" s="96" t="s">
        <v>155</v>
      </c>
      <c r="G156" s="86">
        <v>2018.5</v>
      </c>
      <c r="H156" s="86">
        <v>1771.5</v>
      </c>
      <c r="I156" s="99">
        <v>78</v>
      </c>
      <c r="J156" s="86">
        <f>'Форма 2'!I552</f>
        <v>364929</v>
      </c>
      <c r="K156" s="86">
        <v>0</v>
      </c>
      <c r="L156" s="86">
        <v>0</v>
      </c>
      <c r="M156" s="86">
        <v>0</v>
      </c>
      <c r="N156" s="86">
        <f t="shared" si="18"/>
        <v>357333.37</v>
      </c>
      <c r="O156" s="86">
        <v>7595.63</v>
      </c>
      <c r="P156" s="86">
        <f t="shared" si="19"/>
        <v>206</v>
      </c>
      <c r="Q156" s="86">
        <f>'Форма 2'!K552</f>
        <v>206</v>
      </c>
      <c r="R156" s="182" t="s">
        <v>156</v>
      </c>
      <c r="S156" s="183">
        <v>1</v>
      </c>
      <c r="T156" s="24"/>
    </row>
    <row r="157" spans="1:20" s="184" customFormat="1" ht="31" x14ac:dyDescent="0.35">
      <c r="A157" s="124">
        <f t="shared" si="20"/>
        <v>54</v>
      </c>
      <c r="B157" s="124">
        <v>544</v>
      </c>
      <c r="C157" s="37" t="s">
        <v>320</v>
      </c>
      <c r="D157" s="96" t="s">
        <v>321</v>
      </c>
      <c r="E157" s="96" t="s">
        <v>419</v>
      </c>
      <c r="F157" s="96" t="s">
        <v>158</v>
      </c>
      <c r="G157" s="86">
        <v>5336.62</v>
      </c>
      <c r="H157" s="86">
        <v>4948.3</v>
      </c>
      <c r="I157" s="99">
        <v>196</v>
      </c>
      <c r="J157" s="86">
        <f>'Форма 2'!I557</f>
        <v>13422957.84</v>
      </c>
      <c r="K157" s="86">
        <v>0</v>
      </c>
      <c r="L157" s="86">
        <v>0</v>
      </c>
      <c r="M157" s="86">
        <v>0</v>
      </c>
      <c r="N157" s="86">
        <f t="shared" si="18"/>
        <v>12878240.800000001</v>
      </c>
      <c r="O157" s="86">
        <v>544717.04</v>
      </c>
      <c r="P157" s="86">
        <f t="shared" si="19"/>
        <v>2712.64</v>
      </c>
      <c r="Q157" s="86">
        <f>'Форма 2'!K557</f>
        <v>4256</v>
      </c>
      <c r="R157" s="182" t="s">
        <v>156</v>
      </c>
      <c r="S157" s="183">
        <v>1</v>
      </c>
      <c r="T157" s="24"/>
    </row>
    <row r="158" spans="1:20" s="33" customFormat="1" x14ac:dyDescent="0.35">
      <c r="A158" s="11">
        <f t="shared" si="20"/>
        <v>55</v>
      </c>
      <c r="B158" s="11">
        <v>555</v>
      </c>
      <c r="C158" s="37" t="s">
        <v>322</v>
      </c>
      <c r="D158" s="97">
        <v>1969</v>
      </c>
      <c r="E158" s="96" t="s">
        <v>233</v>
      </c>
      <c r="F158" s="96" t="s">
        <v>155</v>
      </c>
      <c r="G158" s="22">
        <v>2721.2</v>
      </c>
      <c r="H158" s="22">
        <v>2510.5</v>
      </c>
      <c r="I158" s="26">
        <v>127</v>
      </c>
      <c r="J158" s="22">
        <f>'Форма 2'!I566</f>
        <v>90378</v>
      </c>
      <c r="K158" s="22">
        <v>0</v>
      </c>
      <c r="L158" s="22">
        <v>0</v>
      </c>
      <c r="M158" s="22">
        <v>0</v>
      </c>
      <c r="N158" s="22">
        <f t="shared" si="18"/>
        <v>20410.48</v>
      </c>
      <c r="O158" s="22">
        <v>69967.520000000004</v>
      </c>
      <c r="P158" s="22">
        <f t="shared" si="19"/>
        <v>36</v>
      </c>
      <c r="Q158" s="22">
        <f>'Форма 2'!K566</f>
        <v>36</v>
      </c>
      <c r="R158" s="38" t="s">
        <v>156</v>
      </c>
      <c r="S158" s="172">
        <v>1</v>
      </c>
      <c r="T158" s="24"/>
    </row>
    <row r="159" spans="1:20" s="33" customFormat="1" x14ac:dyDescent="0.35">
      <c r="A159" s="11">
        <f t="shared" si="20"/>
        <v>56</v>
      </c>
      <c r="B159" s="11">
        <v>508</v>
      </c>
      <c r="C159" s="37" t="s">
        <v>323</v>
      </c>
      <c r="D159" s="97">
        <v>1965</v>
      </c>
      <c r="E159" s="96" t="s">
        <v>75</v>
      </c>
      <c r="F159" s="96" t="s">
        <v>163</v>
      </c>
      <c r="G159" s="22">
        <v>2757.88</v>
      </c>
      <c r="H159" s="22">
        <v>2539.88</v>
      </c>
      <c r="I159" s="26">
        <v>116</v>
      </c>
      <c r="J159" s="22">
        <f>'Форма 2'!I568</f>
        <v>1757657.31</v>
      </c>
      <c r="K159" s="22">
        <v>0</v>
      </c>
      <c r="L159" s="22">
        <v>0</v>
      </c>
      <c r="M159" s="22">
        <v>0</v>
      </c>
      <c r="N159" s="22">
        <f t="shared" si="18"/>
        <v>1677274.97</v>
      </c>
      <c r="O159" s="22">
        <v>80382.34</v>
      </c>
      <c r="P159" s="22">
        <f t="shared" si="19"/>
        <v>692.02</v>
      </c>
      <c r="Q159" s="22">
        <f>'Форма 2'!K568</f>
        <v>2936</v>
      </c>
      <c r="R159" s="38" t="s">
        <v>164</v>
      </c>
      <c r="S159" s="172">
        <v>1</v>
      </c>
      <c r="T159" s="24"/>
    </row>
    <row r="160" spans="1:20" s="33" customFormat="1" x14ac:dyDescent="0.35">
      <c r="A160" s="11">
        <f t="shared" si="20"/>
        <v>57</v>
      </c>
      <c r="B160" s="11">
        <v>676</v>
      </c>
      <c r="C160" s="37" t="s">
        <v>324</v>
      </c>
      <c r="D160" s="97">
        <v>1979</v>
      </c>
      <c r="E160" s="96" t="s">
        <v>75</v>
      </c>
      <c r="F160" s="96" t="s">
        <v>155</v>
      </c>
      <c r="G160" s="22">
        <v>6618.3</v>
      </c>
      <c r="H160" s="22">
        <v>4445.2</v>
      </c>
      <c r="I160" s="26">
        <v>292</v>
      </c>
      <c r="J160" s="22">
        <f>'Форма 2'!I571</f>
        <v>305258.11</v>
      </c>
      <c r="K160" s="22">
        <v>0</v>
      </c>
      <c r="L160" s="22">
        <v>0</v>
      </c>
      <c r="M160" s="22">
        <v>0</v>
      </c>
      <c r="N160" s="22">
        <f t="shared" si="18"/>
        <v>281778.87</v>
      </c>
      <c r="O160" s="22">
        <v>23479.24</v>
      </c>
      <c r="P160" s="22">
        <f t="shared" si="19"/>
        <v>68.67</v>
      </c>
      <c r="Q160" s="22">
        <f>'Форма 2'!K571</f>
        <v>164</v>
      </c>
      <c r="R160" s="38" t="s">
        <v>156</v>
      </c>
      <c r="S160" s="172">
        <v>1</v>
      </c>
      <c r="T160" s="24"/>
    </row>
    <row r="161" spans="1:20" s="33" customFormat="1" x14ac:dyDescent="0.35">
      <c r="A161" s="11">
        <f t="shared" si="20"/>
        <v>58</v>
      </c>
      <c r="B161" s="11">
        <v>610</v>
      </c>
      <c r="C161" s="37" t="s">
        <v>325</v>
      </c>
      <c r="D161" s="97">
        <v>1973</v>
      </c>
      <c r="E161" s="96" t="s">
        <v>75</v>
      </c>
      <c r="F161" s="96" t="s">
        <v>163</v>
      </c>
      <c r="G161" s="22">
        <v>2230.1799999999998</v>
      </c>
      <c r="H161" s="22">
        <v>2077.6</v>
      </c>
      <c r="I161" s="26">
        <v>67</v>
      </c>
      <c r="J161" s="22">
        <f>'Форма 2'!I573</f>
        <v>1950407.41</v>
      </c>
      <c r="K161" s="22">
        <v>0</v>
      </c>
      <c r="L161" s="22">
        <v>0</v>
      </c>
      <c r="M161" s="22">
        <v>0</v>
      </c>
      <c r="N161" s="22">
        <f t="shared" si="18"/>
        <v>1884655.34</v>
      </c>
      <c r="O161" s="22">
        <v>65752.070000000007</v>
      </c>
      <c r="P161" s="22">
        <f t="shared" si="19"/>
        <v>938.78</v>
      </c>
      <c r="Q161" s="22">
        <f>'Форма 2'!K573</f>
        <v>2936</v>
      </c>
      <c r="R161" s="38" t="s">
        <v>164</v>
      </c>
      <c r="S161" s="172">
        <v>1</v>
      </c>
      <c r="T161" s="24"/>
    </row>
    <row r="162" spans="1:20" s="33" customFormat="1" x14ac:dyDescent="0.35">
      <c r="A162" s="11">
        <f>A161+1</f>
        <v>59</v>
      </c>
      <c r="B162" s="11">
        <v>352</v>
      </c>
      <c r="C162" s="37" t="s">
        <v>326</v>
      </c>
      <c r="D162" s="97">
        <v>1960</v>
      </c>
      <c r="E162" s="96" t="s">
        <v>75</v>
      </c>
      <c r="F162" s="96" t="s">
        <v>158</v>
      </c>
      <c r="G162" s="22">
        <v>1774.22</v>
      </c>
      <c r="H162" s="22">
        <v>1250.22</v>
      </c>
      <c r="I162" s="26">
        <v>50</v>
      </c>
      <c r="J162" s="22">
        <f>'Форма 2'!I576</f>
        <v>2813404.35</v>
      </c>
      <c r="K162" s="22">
        <v>0</v>
      </c>
      <c r="L162" s="22">
        <v>0</v>
      </c>
      <c r="M162" s="22">
        <v>0</v>
      </c>
      <c r="N162" s="22">
        <f t="shared" si="18"/>
        <v>2697365.8</v>
      </c>
      <c r="O162" s="22">
        <v>116038.55</v>
      </c>
      <c r="P162" s="22">
        <f t="shared" si="19"/>
        <v>2250.33</v>
      </c>
      <c r="Q162" s="22">
        <f>'Форма 2'!K576</f>
        <v>4728</v>
      </c>
      <c r="R162" s="38" t="s">
        <v>156</v>
      </c>
      <c r="S162" s="172">
        <v>1</v>
      </c>
      <c r="T162" s="24"/>
    </row>
    <row r="163" spans="1:20" s="33" customFormat="1" x14ac:dyDescent="0.35">
      <c r="A163" s="227" t="s">
        <v>327</v>
      </c>
      <c r="B163" s="227"/>
      <c r="C163" s="227"/>
      <c r="D163" s="97" t="s">
        <v>13</v>
      </c>
      <c r="E163" s="97" t="s">
        <v>13</v>
      </c>
      <c r="F163" s="97" t="s">
        <v>13</v>
      </c>
      <c r="G163" s="22">
        <f t="shared" ref="G163:O163" si="21">SUM(G164:G196)</f>
        <v>140435.29</v>
      </c>
      <c r="H163" s="22">
        <f t="shared" si="21"/>
        <v>126007.27</v>
      </c>
      <c r="I163" s="26">
        <f t="shared" si="21"/>
        <v>4683</v>
      </c>
      <c r="J163" s="22">
        <f t="shared" si="21"/>
        <v>102728498.3</v>
      </c>
      <c r="K163" s="22">
        <f t="shared" si="21"/>
        <v>0</v>
      </c>
      <c r="L163" s="22">
        <f t="shared" si="21"/>
        <v>0</v>
      </c>
      <c r="M163" s="22">
        <f t="shared" si="21"/>
        <v>0</v>
      </c>
      <c r="N163" s="22">
        <f t="shared" si="21"/>
        <v>99181621.939999998</v>
      </c>
      <c r="O163" s="22">
        <f t="shared" si="21"/>
        <v>3546876.36</v>
      </c>
      <c r="P163" s="97" t="s">
        <v>13</v>
      </c>
      <c r="Q163" s="97" t="s">
        <v>13</v>
      </c>
      <c r="R163" s="97" t="s">
        <v>13</v>
      </c>
      <c r="S163" s="97" t="s">
        <v>13</v>
      </c>
      <c r="T163" s="24"/>
    </row>
    <row r="164" spans="1:20" s="33" customFormat="1" x14ac:dyDescent="0.35">
      <c r="A164" s="11">
        <f>A162+1</f>
        <v>60</v>
      </c>
      <c r="B164" s="11">
        <v>1846</v>
      </c>
      <c r="C164" s="37" t="s">
        <v>328</v>
      </c>
      <c r="D164" s="97">
        <v>1972</v>
      </c>
      <c r="E164" s="96" t="s">
        <v>75</v>
      </c>
      <c r="F164" s="96" t="s">
        <v>163</v>
      </c>
      <c r="G164" s="22">
        <v>4294.7</v>
      </c>
      <c r="H164" s="22">
        <v>3875.5</v>
      </c>
      <c r="I164" s="26">
        <v>146</v>
      </c>
      <c r="J164" s="22">
        <f>'Форма 2'!I579</f>
        <v>4170881.81</v>
      </c>
      <c r="K164" s="22">
        <v>0</v>
      </c>
      <c r="L164" s="22">
        <v>0</v>
      </c>
      <c r="M164" s="22">
        <v>0</v>
      </c>
      <c r="N164" s="22">
        <f t="shared" ref="N164:N196" si="22">J164-K164-L164-M164-O164</f>
        <v>4027338.08</v>
      </c>
      <c r="O164" s="22">
        <v>143543.73000000001</v>
      </c>
      <c r="P164" s="22">
        <f t="shared" ref="P164:P196" si="23">J164/H164</f>
        <v>1076.22</v>
      </c>
      <c r="Q164" s="22">
        <f>'Форма 2'!K579</f>
        <v>3523</v>
      </c>
      <c r="R164" s="38" t="s">
        <v>164</v>
      </c>
      <c r="S164" s="172">
        <v>1</v>
      </c>
      <c r="T164" s="24"/>
    </row>
    <row r="165" spans="1:20" s="33" customFormat="1" x14ac:dyDescent="0.35">
      <c r="A165" s="11">
        <f t="shared" ref="A165:A196" si="24">A164+1</f>
        <v>61</v>
      </c>
      <c r="B165" s="11">
        <v>1938</v>
      </c>
      <c r="C165" s="37" t="s">
        <v>329</v>
      </c>
      <c r="D165" s="97">
        <v>1962</v>
      </c>
      <c r="E165" s="96" t="s">
        <v>75</v>
      </c>
      <c r="F165" s="96" t="s">
        <v>158</v>
      </c>
      <c r="G165" s="22">
        <v>1721.16</v>
      </c>
      <c r="H165" s="22">
        <v>1618</v>
      </c>
      <c r="I165" s="26">
        <v>48</v>
      </c>
      <c r="J165" s="22">
        <f>'Форма 2'!I582</f>
        <v>3557261.5</v>
      </c>
      <c r="K165" s="22">
        <v>0</v>
      </c>
      <c r="L165" s="22">
        <v>0</v>
      </c>
      <c r="M165" s="22">
        <v>0</v>
      </c>
      <c r="N165" s="22">
        <f t="shared" si="22"/>
        <v>3442088.4</v>
      </c>
      <c r="O165" s="22">
        <v>115173.1</v>
      </c>
      <c r="P165" s="22">
        <f t="shared" si="23"/>
        <v>2198.5500000000002</v>
      </c>
      <c r="Q165" s="22">
        <f>'Форма 2'!K582</f>
        <v>4728</v>
      </c>
      <c r="R165" s="38" t="s">
        <v>156</v>
      </c>
      <c r="S165" s="172">
        <v>1</v>
      </c>
      <c r="T165" s="24"/>
    </row>
    <row r="166" spans="1:20" s="33" customFormat="1" x14ac:dyDescent="0.35">
      <c r="A166" s="11">
        <f t="shared" si="24"/>
        <v>62</v>
      </c>
      <c r="B166" s="11">
        <v>1273</v>
      </c>
      <c r="C166" s="37" t="s">
        <v>330</v>
      </c>
      <c r="D166" s="97">
        <v>1961</v>
      </c>
      <c r="E166" s="96" t="s">
        <v>75</v>
      </c>
      <c r="F166" s="96" t="s">
        <v>158</v>
      </c>
      <c r="G166" s="22">
        <v>1375.1</v>
      </c>
      <c r="H166" s="22">
        <v>964</v>
      </c>
      <c r="I166" s="26">
        <v>6</v>
      </c>
      <c r="J166" s="22">
        <f>'Форма 2'!I585</f>
        <v>3115838.77</v>
      </c>
      <c r="K166" s="22">
        <v>0</v>
      </c>
      <c r="L166" s="22">
        <v>0</v>
      </c>
      <c r="M166" s="22">
        <v>0</v>
      </c>
      <c r="N166" s="22">
        <f t="shared" si="22"/>
        <v>3014213.3</v>
      </c>
      <c r="O166" s="22">
        <v>101625.47</v>
      </c>
      <c r="P166" s="22">
        <f t="shared" si="23"/>
        <v>3232.2</v>
      </c>
      <c r="Q166" s="22">
        <f>'Форма 2'!K585</f>
        <v>4728</v>
      </c>
      <c r="R166" s="38" t="s">
        <v>156</v>
      </c>
      <c r="S166" s="172">
        <v>1</v>
      </c>
      <c r="T166" s="24"/>
    </row>
    <row r="167" spans="1:20" s="33" customFormat="1" x14ac:dyDescent="0.35">
      <c r="A167" s="11">
        <f t="shared" si="24"/>
        <v>63</v>
      </c>
      <c r="B167" s="11">
        <v>1858</v>
      </c>
      <c r="C167" s="37" t="s">
        <v>331</v>
      </c>
      <c r="D167" s="97">
        <v>1974</v>
      </c>
      <c r="E167" s="96" t="s">
        <v>75</v>
      </c>
      <c r="F167" s="96" t="s">
        <v>163</v>
      </c>
      <c r="G167" s="22">
        <v>3716.4</v>
      </c>
      <c r="H167" s="22">
        <v>3498.4</v>
      </c>
      <c r="I167" s="26">
        <v>132</v>
      </c>
      <c r="J167" s="22">
        <f>'Форма 2'!I588</f>
        <v>3151244.99</v>
      </c>
      <c r="K167" s="22">
        <v>0</v>
      </c>
      <c r="L167" s="22">
        <v>0</v>
      </c>
      <c r="M167" s="22">
        <v>0</v>
      </c>
      <c r="N167" s="22">
        <f t="shared" si="22"/>
        <v>3040527.32</v>
      </c>
      <c r="O167" s="22">
        <v>110717.67</v>
      </c>
      <c r="P167" s="22">
        <f t="shared" si="23"/>
        <v>900.77</v>
      </c>
      <c r="Q167" s="22">
        <f>'Форма 2'!K588</f>
        <v>2936</v>
      </c>
      <c r="R167" s="38" t="s">
        <v>164</v>
      </c>
      <c r="S167" s="172">
        <v>1</v>
      </c>
      <c r="T167" s="24"/>
    </row>
    <row r="168" spans="1:20" s="33" customFormat="1" x14ac:dyDescent="0.35">
      <c r="A168" s="11">
        <f t="shared" si="24"/>
        <v>64</v>
      </c>
      <c r="B168" s="11">
        <v>1725</v>
      </c>
      <c r="C168" s="37" t="s">
        <v>332</v>
      </c>
      <c r="D168" s="97">
        <v>1832</v>
      </c>
      <c r="E168" s="96" t="s">
        <v>75</v>
      </c>
      <c r="F168" s="96" t="s">
        <v>163</v>
      </c>
      <c r="G168" s="22">
        <v>332.6</v>
      </c>
      <c r="H168" s="22">
        <v>299.2</v>
      </c>
      <c r="I168" s="26">
        <v>14</v>
      </c>
      <c r="J168" s="22">
        <f>'Форма 2'!I591</f>
        <v>661601.71</v>
      </c>
      <c r="K168" s="22">
        <v>0</v>
      </c>
      <c r="L168" s="22">
        <v>0</v>
      </c>
      <c r="M168" s="22">
        <v>0</v>
      </c>
      <c r="N168" s="22">
        <f t="shared" si="22"/>
        <v>644008.1</v>
      </c>
      <c r="O168" s="22">
        <v>17593.61</v>
      </c>
      <c r="P168" s="22">
        <f t="shared" si="23"/>
        <v>2211.2399999999998</v>
      </c>
      <c r="Q168" s="22">
        <f>'Форма 2'!K591</f>
        <v>7096</v>
      </c>
      <c r="R168" s="38" t="s">
        <v>164</v>
      </c>
      <c r="S168" s="172">
        <v>1</v>
      </c>
      <c r="T168" s="24"/>
    </row>
    <row r="169" spans="1:20" s="33" customFormat="1" x14ac:dyDescent="0.35">
      <c r="A169" s="11">
        <f t="shared" si="24"/>
        <v>65</v>
      </c>
      <c r="B169" s="11">
        <v>1557</v>
      </c>
      <c r="C169" s="37" t="s">
        <v>333</v>
      </c>
      <c r="D169" s="97">
        <v>1965</v>
      </c>
      <c r="E169" s="96" t="s">
        <v>293</v>
      </c>
      <c r="F169" s="96" t="s">
        <v>158</v>
      </c>
      <c r="G169" s="22">
        <v>2795.4</v>
      </c>
      <c r="H169" s="22">
        <v>2582.4</v>
      </c>
      <c r="I169" s="26">
        <v>98</v>
      </c>
      <c r="J169" s="22">
        <f>'Форма 2'!I594</f>
        <v>474541.47</v>
      </c>
      <c r="K169" s="22">
        <v>0</v>
      </c>
      <c r="L169" s="22">
        <v>0</v>
      </c>
      <c r="M169" s="22">
        <v>0</v>
      </c>
      <c r="N169" s="22">
        <f t="shared" si="22"/>
        <v>467240.03</v>
      </c>
      <c r="O169" s="22">
        <v>7301.44</v>
      </c>
      <c r="P169" s="22">
        <f t="shared" si="23"/>
        <v>183.76</v>
      </c>
      <c r="Q169" s="22">
        <f>'Форма 2'!K594</f>
        <v>277</v>
      </c>
      <c r="R169" s="38" t="s">
        <v>156</v>
      </c>
      <c r="S169" s="172">
        <v>1</v>
      </c>
      <c r="T169" s="24"/>
    </row>
    <row r="170" spans="1:20" s="184" customFormat="1" x14ac:dyDescent="0.35">
      <c r="A170" s="124">
        <f t="shared" si="24"/>
        <v>66</v>
      </c>
      <c r="B170" s="124">
        <v>1367</v>
      </c>
      <c r="C170" s="37" t="s">
        <v>334</v>
      </c>
      <c r="D170" s="96">
        <v>1978</v>
      </c>
      <c r="E170" s="96" t="s">
        <v>267</v>
      </c>
      <c r="F170" s="96" t="s">
        <v>163</v>
      </c>
      <c r="G170" s="86">
        <v>12315.6</v>
      </c>
      <c r="H170" s="86">
        <v>12279.6</v>
      </c>
      <c r="I170" s="99">
        <v>464</v>
      </c>
      <c r="J170" s="86">
        <f>'Форма 2'!I597</f>
        <v>7736167</v>
      </c>
      <c r="K170" s="86">
        <v>0</v>
      </c>
      <c r="L170" s="86">
        <v>0</v>
      </c>
      <c r="M170" s="86">
        <v>0</v>
      </c>
      <c r="N170" s="86">
        <f t="shared" si="22"/>
        <v>7615412.9500000002</v>
      </c>
      <c r="O170" s="86">
        <v>120754.05</v>
      </c>
      <c r="P170" s="86">
        <f t="shared" si="23"/>
        <v>630</v>
      </c>
      <c r="Q170" s="86">
        <f>'Форма 2'!K597</f>
        <v>2224</v>
      </c>
      <c r="R170" s="182" t="s">
        <v>164</v>
      </c>
      <c r="S170" s="183">
        <v>1</v>
      </c>
      <c r="T170" s="24"/>
    </row>
    <row r="171" spans="1:20" s="33" customFormat="1" x14ac:dyDescent="0.35">
      <c r="A171" s="11">
        <f t="shared" si="24"/>
        <v>67</v>
      </c>
      <c r="B171" s="11">
        <v>1456</v>
      </c>
      <c r="C171" s="37" t="s">
        <v>335</v>
      </c>
      <c r="D171" s="97">
        <v>1991</v>
      </c>
      <c r="E171" s="96" t="s">
        <v>185</v>
      </c>
      <c r="F171" s="96" t="s">
        <v>186</v>
      </c>
      <c r="G171" s="22">
        <v>5681.2</v>
      </c>
      <c r="H171" s="22">
        <v>5088.2</v>
      </c>
      <c r="I171" s="26">
        <v>174</v>
      </c>
      <c r="J171" s="22">
        <f>'Форма 2'!I604</f>
        <v>5352255</v>
      </c>
      <c r="K171" s="22">
        <v>0</v>
      </c>
      <c r="L171" s="22">
        <v>0</v>
      </c>
      <c r="M171" s="22">
        <v>0</v>
      </c>
      <c r="N171" s="22">
        <f t="shared" si="22"/>
        <v>5202791.71</v>
      </c>
      <c r="O171" s="22">
        <v>149463.29</v>
      </c>
      <c r="P171" s="22">
        <f t="shared" si="23"/>
        <v>1051.9000000000001</v>
      </c>
      <c r="Q171" s="22">
        <f>'Форма 2'!K604</f>
        <v>1061.56</v>
      </c>
      <c r="R171" s="38" t="s">
        <v>156</v>
      </c>
      <c r="S171" s="172">
        <v>1</v>
      </c>
      <c r="T171" s="24"/>
    </row>
    <row r="172" spans="1:20" s="33" customFormat="1" x14ac:dyDescent="0.35">
      <c r="A172" s="11">
        <f t="shared" si="24"/>
        <v>68</v>
      </c>
      <c r="B172" s="11">
        <v>1370</v>
      </c>
      <c r="C172" s="37" t="s">
        <v>336</v>
      </c>
      <c r="D172" s="97">
        <v>1972</v>
      </c>
      <c r="E172" s="96" t="s">
        <v>243</v>
      </c>
      <c r="F172" s="96" t="s">
        <v>163</v>
      </c>
      <c r="G172" s="22">
        <v>4603.3999999999996</v>
      </c>
      <c r="H172" s="22">
        <v>4201.3999999999996</v>
      </c>
      <c r="I172" s="26">
        <v>159</v>
      </c>
      <c r="J172" s="22">
        <f>'Форма 2'!I611</f>
        <v>704160.23</v>
      </c>
      <c r="K172" s="22">
        <v>0</v>
      </c>
      <c r="L172" s="22">
        <v>0</v>
      </c>
      <c r="M172" s="22">
        <v>0</v>
      </c>
      <c r="N172" s="22">
        <f t="shared" si="22"/>
        <v>677243.24</v>
      </c>
      <c r="O172" s="22">
        <v>26916.99</v>
      </c>
      <c r="P172" s="22">
        <f t="shared" si="23"/>
        <v>167.6</v>
      </c>
      <c r="Q172" s="22">
        <f>'Форма 2'!K611</f>
        <v>609</v>
      </c>
      <c r="R172" s="38" t="s">
        <v>164</v>
      </c>
      <c r="S172" s="172">
        <v>1</v>
      </c>
      <c r="T172" s="24"/>
    </row>
    <row r="173" spans="1:20" s="33" customFormat="1" x14ac:dyDescent="0.35">
      <c r="A173" s="11">
        <f t="shared" si="24"/>
        <v>69</v>
      </c>
      <c r="B173" s="11">
        <v>1445</v>
      </c>
      <c r="C173" s="37" t="s">
        <v>337</v>
      </c>
      <c r="D173" s="97">
        <v>1991</v>
      </c>
      <c r="E173" s="96" t="s">
        <v>75</v>
      </c>
      <c r="F173" s="96" t="s">
        <v>155</v>
      </c>
      <c r="G173" s="22">
        <v>1572.4</v>
      </c>
      <c r="H173" s="22">
        <v>1372.4</v>
      </c>
      <c r="I173" s="26">
        <v>52</v>
      </c>
      <c r="J173" s="22">
        <f>'Форма 2'!I614</f>
        <v>223790.41</v>
      </c>
      <c r="K173" s="22">
        <v>0</v>
      </c>
      <c r="L173" s="22">
        <v>0</v>
      </c>
      <c r="M173" s="22">
        <v>0</v>
      </c>
      <c r="N173" s="22">
        <f t="shared" si="22"/>
        <v>215816.6</v>
      </c>
      <c r="O173" s="22">
        <v>7973.81</v>
      </c>
      <c r="P173" s="22">
        <f t="shared" si="23"/>
        <v>163.07</v>
      </c>
      <c r="Q173" s="22">
        <f>'Форма 2'!K614</f>
        <v>164</v>
      </c>
      <c r="R173" s="38" t="s">
        <v>156</v>
      </c>
      <c r="S173" s="172">
        <v>1</v>
      </c>
      <c r="T173" s="24"/>
    </row>
    <row r="174" spans="1:20" s="33" customFormat="1" x14ac:dyDescent="0.35">
      <c r="A174" s="11">
        <f t="shared" si="24"/>
        <v>70</v>
      </c>
      <c r="B174" s="11">
        <v>1371</v>
      </c>
      <c r="C174" s="37" t="s">
        <v>338</v>
      </c>
      <c r="D174" s="97">
        <v>1972</v>
      </c>
      <c r="E174" s="96" t="s">
        <v>75</v>
      </c>
      <c r="F174" s="96" t="s">
        <v>158</v>
      </c>
      <c r="G174" s="22">
        <v>3759.3</v>
      </c>
      <c r="H174" s="22">
        <v>3039.3</v>
      </c>
      <c r="I174" s="26">
        <v>115</v>
      </c>
      <c r="J174" s="22">
        <f>'Форма 2'!I616</f>
        <v>6223360.8300000001</v>
      </c>
      <c r="K174" s="22">
        <v>0</v>
      </c>
      <c r="L174" s="22">
        <v>0</v>
      </c>
      <c r="M174" s="22">
        <v>0</v>
      </c>
      <c r="N174" s="22">
        <f t="shared" si="22"/>
        <v>5999623.9400000004</v>
      </c>
      <c r="O174" s="22">
        <v>223736.89</v>
      </c>
      <c r="P174" s="22">
        <f t="shared" si="23"/>
        <v>2047.63</v>
      </c>
      <c r="Q174" s="22">
        <f>'Форма 2'!K616</f>
        <v>2831</v>
      </c>
      <c r="R174" s="38" t="s">
        <v>156</v>
      </c>
      <c r="S174" s="172">
        <v>1</v>
      </c>
      <c r="T174" s="24"/>
    </row>
    <row r="175" spans="1:20" s="33" customFormat="1" x14ac:dyDescent="0.35">
      <c r="A175" s="11">
        <f t="shared" si="24"/>
        <v>71</v>
      </c>
      <c r="B175" s="11">
        <v>1372</v>
      </c>
      <c r="C175" s="37" t="s">
        <v>339</v>
      </c>
      <c r="D175" s="97">
        <v>1974</v>
      </c>
      <c r="E175" s="96" t="s">
        <v>75</v>
      </c>
      <c r="F175" s="96" t="s">
        <v>158</v>
      </c>
      <c r="G175" s="22">
        <v>2981.1</v>
      </c>
      <c r="H175" s="22">
        <v>2840.9</v>
      </c>
      <c r="I175" s="26">
        <v>107</v>
      </c>
      <c r="J175" s="22">
        <f>'Форма 2'!I619</f>
        <v>6264674.8200000003</v>
      </c>
      <c r="K175" s="22">
        <v>0</v>
      </c>
      <c r="L175" s="22">
        <v>0</v>
      </c>
      <c r="M175" s="22">
        <v>0</v>
      </c>
      <c r="N175" s="22">
        <f t="shared" si="22"/>
        <v>6039645.25</v>
      </c>
      <c r="O175" s="22">
        <v>225029.57</v>
      </c>
      <c r="P175" s="22">
        <f t="shared" si="23"/>
        <v>2205.17</v>
      </c>
      <c r="Q175" s="22">
        <f>'Форма 2'!K619</f>
        <v>2831</v>
      </c>
      <c r="R175" s="38" t="s">
        <v>156</v>
      </c>
      <c r="S175" s="172">
        <v>1</v>
      </c>
      <c r="T175" s="24"/>
    </row>
    <row r="176" spans="1:20" s="33" customFormat="1" x14ac:dyDescent="0.35">
      <c r="A176" s="11">
        <f t="shared" si="24"/>
        <v>72</v>
      </c>
      <c r="B176" s="11">
        <v>1373</v>
      </c>
      <c r="C176" s="37" t="s">
        <v>340</v>
      </c>
      <c r="D176" s="97">
        <v>1974</v>
      </c>
      <c r="E176" s="96" t="s">
        <v>75</v>
      </c>
      <c r="F176" s="96" t="s">
        <v>163</v>
      </c>
      <c r="G176" s="22">
        <v>3963.9</v>
      </c>
      <c r="H176" s="22">
        <v>3533.5</v>
      </c>
      <c r="I176" s="26">
        <v>133</v>
      </c>
      <c r="J176" s="22">
        <f>'Форма 2'!I622</f>
        <v>4071328.37</v>
      </c>
      <c r="K176" s="22">
        <v>0</v>
      </c>
      <c r="L176" s="22">
        <v>0</v>
      </c>
      <c r="M176" s="22">
        <v>0</v>
      </c>
      <c r="N176" s="22">
        <f t="shared" si="22"/>
        <v>3940451.9</v>
      </c>
      <c r="O176" s="22">
        <v>130876.47</v>
      </c>
      <c r="P176" s="22">
        <f t="shared" si="23"/>
        <v>1152.21</v>
      </c>
      <c r="Q176" s="22">
        <f>'Форма 2'!K622</f>
        <v>3523</v>
      </c>
      <c r="R176" s="38" t="s">
        <v>164</v>
      </c>
      <c r="S176" s="172">
        <v>1</v>
      </c>
      <c r="T176" s="24"/>
    </row>
    <row r="177" spans="1:20" s="33" customFormat="1" x14ac:dyDescent="0.35">
      <c r="A177" s="11">
        <f t="shared" si="24"/>
        <v>73</v>
      </c>
      <c r="B177" s="11">
        <v>1376</v>
      </c>
      <c r="C177" s="37" t="s">
        <v>341</v>
      </c>
      <c r="D177" s="97">
        <v>1974</v>
      </c>
      <c r="E177" s="96" t="s">
        <v>75</v>
      </c>
      <c r="F177" s="96" t="s">
        <v>163</v>
      </c>
      <c r="G177" s="22">
        <v>2661.35</v>
      </c>
      <c r="H177" s="22">
        <v>2451.35</v>
      </c>
      <c r="I177" s="26">
        <v>93</v>
      </c>
      <c r="J177" s="22">
        <f>'Форма 2'!I625</f>
        <v>2715275.2</v>
      </c>
      <c r="K177" s="22">
        <v>0</v>
      </c>
      <c r="L177" s="22">
        <v>0</v>
      </c>
      <c r="M177" s="22">
        <v>0</v>
      </c>
      <c r="N177" s="22">
        <f t="shared" si="22"/>
        <v>2624480.23</v>
      </c>
      <c r="O177" s="22">
        <v>90794.97</v>
      </c>
      <c r="P177" s="22">
        <f t="shared" si="23"/>
        <v>1107.67</v>
      </c>
      <c r="Q177" s="22">
        <f>'Форма 2'!K625</f>
        <v>3523</v>
      </c>
      <c r="R177" s="38" t="s">
        <v>164</v>
      </c>
      <c r="S177" s="172">
        <v>1</v>
      </c>
      <c r="T177" s="24"/>
    </row>
    <row r="178" spans="1:20" s="184" customFormat="1" x14ac:dyDescent="0.35">
      <c r="A178" s="124">
        <f t="shared" si="24"/>
        <v>74</v>
      </c>
      <c r="B178" s="124">
        <v>1377</v>
      </c>
      <c r="C178" s="37" t="s">
        <v>342</v>
      </c>
      <c r="D178" s="96">
        <v>1978</v>
      </c>
      <c r="E178" s="96" t="s">
        <v>267</v>
      </c>
      <c r="F178" s="96" t="s">
        <v>163</v>
      </c>
      <c r="G178" s="86">
        <v>16113.5</v>
      </c>
      <c r="H178" s="86">
        <v>14235.2</v>
      </c>
      <c r="I178" s="99">
        <v>466</v>
      </c>
      <c r="J178" s="86">
        <f>'Форма 2'!I628</f>
        <v>8946021.8100000005</v>
      </c>
      <c r="K178" s="86">
        <v>0</v>
      </c>
      <c r="L178" s="86">
        <v>0</v>
      </c>
      <c r="M178" s="86">
        <v>0</v>
      </c>
      <c r="N178" s="86">
        <f t="shared" si="22"/>
        <v>8824766.2400000002</v>
      </c>
      <c r="O178" s="86">
        <v>121255.57</v>
      </c>
      <c r="P178" s="86">
        <f t="shared" si="23"/>
        <v>628.44000000000005</v>
      </c>
      <c r="Q178" s="86">
        <f>'Форма 2'!K628</f>
        <v>2224</v>
      </c>
      <c r="R178" s="182" t="s">
        <v>164</v>
      </c>
      <c r="S178" s="183">
        <v>1</v>
      </c>
      <c r="T178" s="24"/>
    </row>
    <row r="179" spans="1:20" s="33" customFormat="1" x14ac:dyDescent="0.35">
      <c r="A179" s="11">
        <f t="shared" si="24"/>
        <v>75</v>
      </c>
      <c r="B179" s="11">
        <v>1378</v>
      </c>
      <c r="C179" s="37" t="s">
        <v>343</v>
      </c>
      <c r="D179" s="97">
        <v>1975</v>
      </c>
      <c r="E179" s="96" t="s">
        <v>75</v>
      </c>
      <c r="F179" s="96" t="s">
        <v>163</v>
      </c>
      <c r="G179" s="22">
        <v>5279.8</v>
      </c>
      <c r="H179" s="22">
        <v>4687.8</v>
      </c>
      <c r="I179" s="26">
        <v>177</v>
      </c>
      <c r="J179" s="22">
        <f>'Форма 2'!I635</f>
        <v>5356590.1500000004</v>
      </c>
      <c r="K179" s="22">
        <v>0</v>
      </c>
      <c r="L179" s="22">
        <v>0</v>
      </c>
      <c r="M179" s="22">
        <v>0</v>
      </c>
      <c r="N179" s="22">
        <f t="shared" si="22"/>
        <v>5182959.84</v>
      </c>
      <c r="O179" s="22">
        <v>173630.31</v>
      </c>
      <c r="P179" s="22">
        <f t="shared" si="23"/>
        <v>1142.67</v>
      </c>
      <c r="Q179" s="22">
        <f>'Форма 2'!K635</f>
        <v>3523</v>
      </c>
      <c r="R179" s="38" t="s">
        <v>164</v>
      </c>
      <c r="S179" s="172">
        <v>1</v>
      </c>
      <c r="T179" s="24"/>
    </row>
    <row r="180" spans="1:20" s="33" customFormat="1" x14ac:dyDescent="0.35">
      <c r="A180" s="11">
        <f t="shared" si="24"/>
        <v>76</v>
      </c>
      <c r="B180" s="11">
        <v>1379</v>
      </c>
      <c r="C180" s="37" t="s">
        <v>344</v>
      </c>
      <c r="D180" s="97">
        <v>1971</v>
      </c>
      <c r="E180" s="96" t="s">
        <v>75</v>
      </c>
      <c r="F180" s="96" t="s">
        <v>163</v>
      </c>
      <c r="G180" s="22">
        <v>2694</v>
      </c>
      <c r="H180" s="22">
        <v>2659.6</v>
      </c>
      <c r="I180" s="26">
        <v>100</v>
      </c>
      <c r="J180" s="22">
        <f>'Форма 2'!I638</f>
        <v>2745062.19</v>
      </c>
      <c r="K180" s="22">
        <v>0</v>
      </c>
      <c r="L180" s="22">
        <v>0</v>
      </c>
      <c r="M180" s="22">
        <v>0</v>
      </c>
      <c r="N180" s="22">
        <f t="shared" si="22"/>
        <v>2646553.9</v>
      </c>
      <c r="O180" s="22">
        <v>98508.29</v>
      </c>
      <c r="P180" s="22">
        <f t="shared" si="23"/>
        <v>1032.1300000000001</v>
      </c>
      <c r="Q180" s="22">
        <f>'Форма 2'!K638</f>
        <v>3523</v>
      </c>
      <c r="R180" s="38" t="s">
        <v>164</v>
      </c>
      <c r="S180" s="172">
        <v>1</v>
      </c>
      <c r="T180" s="24"/>
    </row>
    <row r="181" spans="1:20" s="33" customFormat="1" x14ac:dyDescent="0.35">
      <c r="A181" s="11">
        <f t="shared" si="24"/>
        <v>77</v>
      </c>
      <c r="B181" s="11">
        <v>1787</v>
      </c>
      <c r="C181" s="37" t="s">
        <v>345</v>
      </c>
      <c r="D181" s="97">
        <v>1973</v>
      </c>
      <c r="E181" s="96" t="s">
        <v>75</v>
      </c>
      <c r="F181" s="96" t="s">
        <v>163</v>
      </c>
      <c r="G181" s="22">
        <v>3254.1</v>
      </c>
      <c r="H181" s="22">
        <v>2886.9</v>
      </c>
      <c r="I181" s="26">
        <v>109</v>
      </c>
      <c r="J181" s="22">
        <f>'Форма 2'!I641</f>
        <v>2810735.09</v>
      </c>
      <c r="K181" s="22">
        <v>0</v>
      </c>
      <c r="L181" s="22">
        <v>0</v>
      </c>
      <c r="M181" s="22">
        <v>0</v>
      </c>
      <c r="N181" s="22">
        <f t="shared" si="22"/>
        <v>2719370.23</v>
      </c>
      <c r="O181" s="22">
        <v>91364.86</v>
      </c>
      <c r="P181" s="22">
        <f t="shared" si="23"/>
        <v>973.62</v>
      </c>
      <c r="Q181" s="22">
        <f>'Форма 2'!K641</f>
        <v>2936</v>
      </c>
      <c r="R181" s="38" t="s">
        <v>164</v>
      </c>
      <c r="S181" s="172">
        <v>1</v>
      </c>
      <c r="T181" s="24"/>
    </row>
    <row r="182" spans="1:20" s="33" customFormat="1" x14ac:dyDescent="0.35">
      <c r="A182" s="11">
        <f t="shared" si="24"/>
        <v>78</v>
      </c>
      <c r="B182" s="11">
        <v>1263</v>
      </c>
      <c r="C182" s="37" t="s">
        <v>88</v>
      </c>
      <c r="D182" s="97">
        <v>1960</v>
      </c>
      <c r="E182" s="96" t="s">
        <v>75</v>
      </c>
      <c r="F182" s="96" t="s">
        <v>158</v>
      </c>
      <c r="G182" s="22">
        <v>2225.4</v>
      </c>
      <c r="H182" s="22">
        <v>2040.56</v>
      </c>
      <c r="I182" s="26">
        <v>84</v>
      </c>
      <c r="J182" s="22">
        <f>'Форма 2'!I644</f>
        <v>4241742.1900000004</v>
      </c>
      <c r="K182" s="22">
        <v>0</v>
      </c>
      <c r="L182" s="22">
        <v>0</v>
      </c>
      <c r="M182" s="22">
        <v>0</v>
      </c>
      <c r="N182" s="22">
        <f t="shared" si="22"/>
        <v>3941984.3</v>
      </c>
      <c r="O182" s="22">
        <v>299757.89</v>
      </c>
      <c r="P182" s="22">
        <f t="shared" si="23"/>
        <v>2078.71</v>
      </c>
      <c r="Q182" s="22">
        <f>'Форма 2'!K644</f>
        <v>4728</v>
      </c>
      <c r="R182" s="38" t="s">
        <v>156</v>
      </c>
      <c r="S182" s="172">
        <v>1</v>
      </c>
      <c r="T182" s="24"/>
    </row>
    <row r="183" spans="1:20" s="33" customFormat="1" x14ac:dyDescent="0.35">
      <c r="A183" s="11">
        <f t="shared" si="24"/>
        <v>79</v>
      </c>
      <c r="B183" s="11">
        <v>1265</v>
      </c>
      <c r="C183" s="37" t="s">
        <v>346</v>
      </c>
      <c r="D183" s="97">
        <v>1995</v>
      </c>
      <c r="E183" s="96" t="s">
        <v>75</v>
      </c>
      <c r="F183" s="96" t="s">
        <v>155</v>
      </c>
      <c r="G183" s="22">
        <v>4827.8</v>
      </c>
      <c r="H183" s="22">
        <v>4275.8</v>
      </c>
      <c r="I183" s="26">
        <v>162</v>
      </c>
      <c r="J183" s="22">
        <f>'Форма 2'!I647</f>
        <v>387243.3</v>
      </c>
      <c r="K183" s="22">
        <v>0</v>
      </c>
      <c r="L183" s="22">
        <v>0</v>
      </c>
      <c r="M183" s="22">
        <v>0</v>
      </c>
      <c r="N183" s="22">
        <f t="shared" si="22"/>
        <v>362400.37</v>
      </c>
      <c r="O183" s="22">
        <v>24842.93</v>
      </c>
      <c r="P183" s="22">
        <f t="shared" si="23"/>
        <v>90.57</v>
      </c>
      <c r="Q183" s="22">
        <f>'Форма 2'!K647</f>
        <v>164</v>
      </c>
      <c r="R183" s="38" t="s">
        <v>156</v>
      </c>
      <c r="S183" s="172">
        <v>1</v>
      </c>
      <c r="T183" s="24"/>
    </row>
    <row r="184" spans="1:20" s="33" customFormat="1" x14ac:dyDescent="0.35">
      <c r="A184" s="11">
        <f>A183+1</f>
        <v>80</v>
      </c>
      <c r="B184" s="11">
        <v>1353</v>
      </c>
      <c r="C184" s="37" t="s">
        <v>89</v>
      </c>
      <c r="D184" s="97">
        <v>1970</v>
      </c>
      <c r="E184" s="96" t="s">
        <v>75</v>
      </c>
      <c r="F184" s="96" t="s">
        <v>158</v>
      </c>
      <c r="G184" s="22">
        <v>7408.5</v>
      </c>
      <c r="H184" s="22">
        <v>6993.5</v>
      </c>
      <c r="I184" s="26">
        <v>264</v>
      </c>
      <c r="J184" s="22">
        <f>'Форма 2'!I649</f>
        <v>10643470.74</v>
      </c>
      <c r="K184" s="22">
        <v>0</v>
      </c>
      <c r="L184" s="22">
        <v>0</v>
      </c>
      <c r="M184" s="22">
        <v>0</v>
      </c>
      <c r="N184" s="22">
        <f t="shared" si="22"/>
        <v>10250588.77</v>
      </c>
      <c r="O184" s="22">
        <v>392881.97</v>
      </c>
      <c r="P184" s="22">
        <f t="shared" si="23"/>
        <v>1521.91</v>
      </c>
      <c r="Q184" s="22">
        <f>'Форма 2'!K649</f>
        <v>2831</v>
      </c>
      <c r="R184" s="38" t="s">
        <v>156</v>
      </c>
      <c r="S184" s="172">
        <v>1</v>
      </c>
      <c r="T184" s="24"/>
    </row>
    <row r="185" spans="1:20" s="33" customFormat="1" x14ac:dyDescent="0.35">
      <c r="A185" s="11">
        <f t="shared" si="24"/>
        <v>81</v>
      </c>
      <c r="B185" s="11">
        <v>1421</v>
      </c>
      <c r="C185" s="37" t="s">
        <v>349</v>
      </c>
      <c r="D185" s="97">
        <v>1975</v>
      </c>
      <c r="E185" s="96" t="s">
        <v>75</v>
      </c>
      <c r="F185" s="96" t="s">
        <v>155</v>
      </c>
      <c r="G185" s="22">
        <v>4331.6000000000004</v>
      </c>
      <c r="H185" s="22">
        <v>3894.6</v>
      </c>
      <c r="I185" s="26">
        <v>147</v>
      </c>
      <c r="J185" s="22">
        <f>'Форма 2'!I652</f>
        <v>503076.85</v>
      </c>
      <c r="K185" s="22">
        <v>0</v>
      </c>
      <c r="L185" s="22">
        <v>0</v>
      </c>
      <c r="M185" s="22">
        <v>0</v>
      </c>
      <c r="N185" s="22">
        <f t="shared" si="22"/>
        <v>481416.79</v>
      </c>
      <c r="O185" s="22">
        <v>21660.06</v>
      </c>
      <c r="P185" s="22">
        <f t="shared" si="23"/>
        <v>129.16999999999999</v>
      </c>
      <c r="Q185" s="22">
        <f>'Форма 2'!K652</f>
        <v>146</v>
      </c>
      <c r="R185" s="38" t="s">
        <v>156</v>
      </c>
      <c r="S185" s="172">
        <v>1</v>
      </c>
      <c r="T185" s="24"/>
    </row>
    <row r="186" spans="1:20" s="33" customFormat="1" x14ac:dyDescent="0.35">
      <c r="A186" s="11">
        <f t="shared" si="24"/>
        <v>82</v>
      </c>
      <c r="B186" s="11">
        <v>1030</v>
      </c>
      <c r="C186" s="37" t="s">
        <v>350</v>
      </c>
      <c r="D186" s="97">
        <v>1985</v>
      </c>
      <c r="E186" s="96" t="s">
        <v>75</v>
      </c>
      <c r="F186" s="96" t="s">
        <v>155</v>
      </c>
      <c r="G186" s="22">
        <v>2705.2</v>
      </c>
      <c r="H186" s="22">
        <v>2345.1999999999998</v>
      </c>
      <c r="I186" s="26">
        <v>89</v>
      </c>
      <c r="J186" s="22">
        <f>'Форма 2'!I654</f>
        <v>313013.92</v>
      </c>
      <c r="K186" s="22">
        <v>0</v>
      </c>
      <c r="L186" s="22">
        <v>0</v>
      </c>
      <c r="M186" s="22">
        <v>0</v>
      </c>
      <c r="N186" s="22">
        <f t="shared" si="22"/>
        <v>299970.94</v>
      </c>
      <c r="O186" s="22">
        <v>13042.98</v>
      </c>
      <c r="P186" s="22">
        <f t="shared" si="23"/>
        <v>133.47</v>
      </c>
      <c r="Q186" s="22">
        <f>'Форма 2'!K654</f>
        <v>146</v>
      </c>
      <c r="R186" s="38" t="s">
        <v>156</v>
      </c>
      <c r="S186" s="172">
        <v>1</v>
      </c>
      <c r="T186" s="24"/>
    </row>
    <row r="187" spans="1:20" s="33" customFormat="1" x14ac:dyDescent="0.35">
      <c r="A187" s="11">
        <f t="shared" si="24"/>
        <v>83</v>
      </c>
      <c r="B187" s="11">
        <v>1354</v>
      </c>
      <c r="C187" s="37" t="s">
        <v>351</v>
      </c>
      <c r="D187" s="97">
        <v>1978</v>
      </c>
      <c r="E187" s="96" t="s">
        <v>243</v>
      </c>
      <c r="F187" s="96" t="s">
        <v>163</v>
      </c>
      <c r="G187" s="22">
        <v>4337</v>
      </c>
      <c r="H187" s="22">
        <v>3816</v>
      </c>
      <c r="I187" s="26">
        <v>144</v>
      </c>
      <c r="J187" s="22">
        <f>'Форма 2'!I656</f>
        <v>429381.4</v>
      </c>
      <c r="K187" s="22">
        <v>0</v>
      </c>
      <c r="L187" s="22">
        <v>0</v>
      </c>
      <c r="M187" s="22">
        <v>0</v>
      </c>
      <c r="N187" s="22">
        <f t="shared" si="22"/>
        <v>404933.54</v>
      </c>
      <c r="O187" s="22">
        <v>24447.86</v>
      </c>
      <c r="P187" s="22">
        <f t="shared" si="23"/>
        <v>112.52</v>
      </c>
      <c r="Q187" s="22">
        <f>'Форма 2'!K656</f>
        <v>609</v>
      </c>
      <c r="R187" s="38" t="s">
        <v>164</v>
      </c>
      <c r="S187" s="172">
        <v>1</v>
      </c>
      <c r="T187" s="24"/>
    </row>
    <row r="188" spans="1:20" s="33" customFormat="1" x14ac:dyDescent="0.35">
      <c r="A188" s="11">
        <f t="shared" si="24"/>
        <v>84</v>
      </c>
      <c r="B188" s="11">
        <v>1357</v>
      </c>
      <c r="C188" s="37" t="s">
        <v>352</v>
      </c>
      <c r="D188" s="97">
        <v>1982</v>
      </c>
      <c r="E188" s="96" t="s">
        <v>243</v>
      </c>
      <c r="F188" s="96" t="s">
        <v>163</v>
      </c>
      <c r="G188" s="22">
        <v>4117.8999999999996</v>
      </c>
      <c r="H188" s="22">
        <v>3930.8</v>
      </c>
      <c r="I188" s="26">
        <v>148</v>
      </c>
      <c r="J188" s="22">
        <f>'Форма 2'!I659</f>
        <v>508104.81</v>
      </c>
      <c r="K188" s="22">
        <v>0</v>
      </c>
      <c r="L188" s="22">
        <v>0</v>
      </c>
      <c r="M188" s="22">
        <v>0</v>
      </c>
      <c r="N188" s="22">
        <f t="shared" si="22"/>
        <v>482921.47</v>
      </c>
      <c r="O188" s="22">
        <v>25183.34</v>
      </c>
      <c r="P188" s="22">
        <f t="shared" si="23"/>
        <v>129.26</v>
      </c>
      <c r="Q188" s="22">
        <f>'Форма 2'!K659</f>
        <v>609</v>
      </c>
      <c r="R188" s="38" t="s">
        <v>164</v>
      </c>
      <c r="S188" s="172">
        <v>1</v>
      </c>
      <c r="T188" s="24"/>
    </row>
    <row r="189" spans="1:20" s="33" customFormat="1" x14ac:dyDescent="0.35">
      <c r="A189" s="11">
        <f t="shared" si="24"/>
        <v>85</v>
      </c>
      <c r="B189" s="11">
        <v>1358</v>
      </c>
      <c r="C189" s="37" t="s">
        <v>353</v>
      </c>
      <c r="D189" s="97">
        <v>1985</v>
      </c>
      <c r="E189" s="96" t="s">
        <v>243</v>
      </c>
      <c r="F189" s="96" t="s">
        <v>155</v>
      </c>
      <c r="G189" s="22">
        <f>69.65*14.46*5</f>
        <v>5035.7</v>
      </c>
      <c r="H189" s="22">
        <v>3186.9</v>
      </c>
      <c r="I189" s="26">
        <v>101</v>
      </c>
      <c r="J189" s="22">
        <f>'Форма 2'!I662</f>
        <v>67015</v>
      </c>
      <c r="K189" s="22">
        <v>0</v>
      </c>
      <c r="L189" s="22">
        <v>0</v>
      </c>
      <c r="M189" s="22">
        <v>0</v>
      </c>
      <c r="N189" s="22">
        <f t="shared" si="22"/>
        <v>64433.11</v>
      </c>
      <c r="O189" s="22">
        <v>2581.89</v>
      </c>
      <c r="P189" s="22">
        <f t="shared" si="23"/>
        <v>21.03</v>
      </c>
      <c r="Q189" s="22">
        <f>'Форма 2'!K662</f>
        <v>25</v>
      </c>
      <c r="R189" s="38" t="s">
        <v>156</v>
      </c>
      <c r="S189" s="172">
        <v>1</v>
      </c>
      <c r="T189" s="24"/>
    </row>
    <row r="190" spans="1:20" s="33" customFormat="1" x14ac:dyDescent="0.35">
      <c r="A190" s="11">
        <f t="shared" si="24"/>
        <v>86</v>
      </c>
      <c r="B190" s="11">
        <v>1361</v>
      </c>
      <c r="C190" s="37" t="s">
        <v>354</v>
      </c>
      <c r="D190" s="97">
        <v>1976</v>
      </c>
      <c r="E190" s="96" t="s">
        <v>75</v>
      </c>
      <c r="F190" s="96" t="s">
        <v>163</v>
      </c>
      <c r="G190" s="22">
        <v>5398.8</v>
      </c>
      <c r="H190" s="22">
        <v>4296</v>
      </c>
      <c r="I190" s="26">
        <v>162</v>
      </c>
      <c r="J190" s="22">
        <f>'Форма 2'!I664</f>
        <v>4979493.59</v>
      </c>
      <c r="K190" s="22">
        <v>0</v>
      </c>
      <c r="L190" s="22">
        <v>0</v>
      </c>
      <c r="M190" s="22">
        <v>0</v>
      </c>
      <c r="N190" s="22">
        <f t="shared" si="22"/>
        <v>4820375.0599999996</v>
      </c>
      <c r="O190" s="22">
        <v>159118.53</v>
      </c>
      <c r="P190" s="22">
        <f t="shared" si="23"/>
        <v>1159.0999999999999</v>
      </c>
      <c r="Q190" s="22">
        <f>'Форма 2'!K664</f>
        <v>3523</v>
      </c>
      <c r="R190" s="38" t="s">
        <v>164</v>
      </c>
      <c r="S190" s="172">
        <v>1</v>
      </c>
      <c r="T190" s="24"/>
    </row>
    <row r="191" spans="1:20" s="33" customFormat="1" x14ac:dyDescent="0.35">
      <c r="A191" s="11">
        <f t="shared" si="24"/>
        <v>87</v>
      </c>
      <c r="B191" s="11">
        <v>1818</v>
      </c>
      <c r="C191" s="37" t="s">
        <v>355</v>
      </c>
      <c r="D191" s="97">
        <v>1961</v>
      </c>
      <c r="E191" s="96" t="s">
        <v>75</v>
      </c>
      <c r="F191" s="96" t="s">
        <v>158</v>
      </c>
      <c r="G191" s="22">
        <v>1384.48</v>
      </c>
      <c r="H191" s="22">
        <v>1284.2</v>
      </c>
      <c r="I191" s="26">
        <v>73</v>
      </c>
      <c r="J191" s="22">
        <f>'Форма 2'!I667</f>
        <v>3070049.02</v>
      </c>
      <c r="K191" s="22">
        <v>0</v>
      </c>
      <c r="L191" s="22">
        <v>0</v>
      </c>
      <c r="M191" s="22">
        <v>0</v>
      </c>
      <c r="N191" s="22">
        <f t="shared" si="22"/>
        <v>2950601.25</v>
      </c>
      <c r="O191" s="22">
        <v>119447.77</v>
      </c>
      <c r="P191" s="22">
        <f t="shared" si="23"/>
        <v>2390.63</v>
      </c>
      <c r="Q191" s="22">
        <f>'Форма 2'!K667</f>
        <v>4728</v>
      </c>
      <c r="R191" s="38" t="s">
        <v>156</v>
      </c>
      <c r="S191" s="172">
        <v>1</v>
      </c>
      <c r="T191" s="24"/>
    </row>
    <row r="192" spans="1:20" s="33" customFormat="1" x14ac:dyDescent="0.35">
      <c r="A192" s="11">
        <f t="shared" si="24"/>
        <v>88</v>
      </c>
      <c r="B192" s="11">
        <v>1271</v>
      </c>
      <c r="C192" s="37" t="s">
        <v>356</v>
      </c>
      <c r="D192" s="97">
        <v>1977</v>
      </c>
      <c r="E192" s="96" t="s">
        <v>75</v>
      </c>
      <c r="F192" s="96" t="s">
        <v>155</v>
      </c>
      <c r="G192" s="22">
        <v>5773.6</v>
      </c>
      <c r="H192" s="22">
        <v>5305.3</v>
      </c>
      <c r="I192" s="26">
        <v>200</v>
      </c>
      <c r="J192" s="22">
        <f>'Форма 2'!I670</f>
        <v>185002.91</v>
      </c>
      <c r="K192" s="22">
        <v>0</v>
      </c>
      <c r="L192" s="22">
        <v>0</v>
      </c>
      <c r="M192" s="22">
        <v>0</v>
      </c>
      <c r="N192" s="22">
        <f t="shared" si="22"/>
        <v>154178.46</v>
      </c>
      <c r="O192" s="22">
        <v>30824.45</v>
      </c>
      <c r="P192" s="22">
        <f t="shared" si="23"/>
        <v>34.869999999999997</v>
      </c>
      <c r="Q192" s="22">
        <f>'Форма 2'!K670</f>
        <v>164</v>
      </c>
      <c r="R192" s="38" t="s">
        <v>156</v>
      </c>
      <c r="S192" s="172">
        <v>1</v>
      </c>
      <c r="T192" s="24"/>
    </row>
    <row r="193" spans="1:20" s="184" customFormat="1" ht="46.5" x14ac:dyDescent="0.35">
      <c r="A193" s="124">
        <f t="shared" si="24"/>
        <v>89</v>
      </c>
      <c r="B193" s="124">
        <v>1296</v>
      </c>
      <c r="C193" s="37" t="s">
        <v>357</v>
      </c>
      <c r="D193" s="96">
        <v>1963</v>
      </c>
      <c r="E193" s="96" t="s">
        <v>738</v>
      </c>
      <c r="F193" s="96" t="s">
        <v>158</v>
      </c>
      <c r="G193" s="86">
        <v>1477.4</v>
      </c>
      <c r="H193" s="86">
        <v>1278.3</v>
      </c>
      <c r="I193" s="99">
        <v>34</v>
      </c>
      <c r="J193" s="86">
        <f>'Форма 2'!I672</f>
        <v>3442319.11</v>
      </c>
      <c r="K193" s="86">
        <v>0</v>
      </c>
      <c r="L193" s="86">
        <v>0</v>
      </c>
      <c r="M193" s="86">
        <v>0</v>
      </c>
      <c r="N193" s="86">
        <f t="shared" si="22"/>
        <v>3302860</v>
      </c>
      <c r="O193" s="86">
        <v>139459.10999999999</v>
      </c>
      <c r="P193" s="86">
        <f t="shared" si="23"/>
        <v>2692.89</v>
      </c>
      <c r="Q193" s="86">
        <f>'Форма 2'!K672</f>
        <v>5895</v>
      </c>
      <c r="R193" s="182" t="s">
        <v>156</v>
      </c>
      <c r="S193" s="183">
        <v>1</v>
      </c>
      <c r="T193" s="24"/>
    </row>
    <row r="194" spans="1:20" s="33" customFormat="1" x14ac:dyDescent="0.35">
      <c r="A194" s="11">
        <f t="shared" si="24"/>
        <v>90</v>
      </c>
      <c r="B194" s="11">
        <v>1628</v>
      </c>
      <c r="C194" s="37" t="s">
        <v>358</v>
      </c>
      <c r="D194" s="97">
        <v>1978</v>
      </c>
      <c r="E194" s="96" t="s">
        <v>741</v>
      </c>
      <c r="F194" s="96" t="s">
        <v>158</v>
      </c>
      <c r="G194" s="22">
        <v>6619.2</v>
      </c>
      <c r="H194" s="22">
        <v>6113.76</v>
      </c>
      <c r="I194" s="26">
        <v>288</v>
      </c>
      <c r="J194" s="22">
        <f>'Форма 2'!I685</f>
        <v>210346.09</v>
      </c>
      <c r="K194" s="22">
        <v>0</v>
      </c>
      <c r="L194" s="22">
        <v>0</v>
      </c>
      <c r="M194" s="22">
        <v>0</v>
      </c>
      <c r="N194" s="22">
        <f t="shared" si="22"/>
        <v>128475.21</v>
      </c>
      <c r="O194" s="22">
        <v>81870.880000000005</v>
      </c>
      <c r="P194" s="22">
        <f t="shared" si="23"/>
        <v>34.409999999999997</v>
      </c>
      <c r="Q194" s="22">
        <f>'Форма 2'!K685</f>
        <v>1201</v>
      </c>
      <c r="R194" s="38" t="s">
        <v>156</v>
      </c>
      <c r="S194" s="172">
        <v>1</v>
      </c>
      <c r="T194" s="24"/>
    </row>
    <row r="195" spans="1:20" s="33" customFormat="1" x14ac:dyDescent="0.35">
      <c r="A195" s="11">
        <f t="shared" si="24"/>
        <v>91</v>
      </c>
      <c r="B195" s="11">
        <v>1630</v>
      </c>
      <c r="C195" s="37" t="s">
        <v>359</v>
      </c>
      <c r="D195" s="97">
        <v>1980</v>
      </c>
      <c r="E195" s="96" t="s">
        <v>75</v>
      </c>
      <c r="F195" s="96" t="s">
        <v>155</v>
      </c>
      <c r="G195" s="22">
        <v>2355</v>
      </c>
      <c r="H195" s="22">
        <v>2043</v>
      </c>
      <c r="I195" s="26">
        <v>77</v>
      </c>
      <c r="J195" s="22">
        <f>'Форма 2'!I688</f>
        <v>234912.75</v>
      </c>
      <c r="K195" s="22">
        <v>0</v>
      </c>
      <c r="L195" s="22">
        <v>0</v>
      </c>
      <c r="M195" s="22">
        <v>0</v>
      </c>
      <c r="N195" s="22">
        <f t="shared" si="22"/>
        <v>223042.67</v>
      </c>
      <c r="O195" s="22">
        <v>11870.08</v>
      </c>
      <c r="P195" s="22">
        <f t="shared" si="23"/>
        <v>114.98</v>
      </c>
      <c r="Q195" s="22">
        <f>'Форма 2'!K688</f>
        <v>164</v>
      </c>
      <c r="R195" s="38" t="s">
        <v>156</v>
      </c>
      <c r="S195" s="172">
        <v>1</v>
      </c>
      <c r="T195" s="24"/>
    </row>
    <row r="196" spans="1:20" s="33" customFormat="1" x14ac:dyDescent="0.35">
      <c r="A196" s="11">
        <f t="shared" si="24"/>
        <v>92</v>
      </c>
      <c r="B196" s="11">
        <v>1468</v>
      </c>
      <c r="C196" s="37" t="s">
        <v>360</v>
      </c>
      <c r="D196" s="97">
        <v>1962</v>
      </c>
      <c r="E196" s="96" t="s">
        <v>75</v>
      </c>
      <c r="F196" s="96" t="s">
        <v>158</v>
      </c>
      <c r="G196" s="22">
        <v>3322.7</v>
      </c>
      <c r="H196" s="22">
        <v>3089.7</v>
      </c>
      <c r="I196" s="26">
        <v>117</v>
      </c>
      <c r="J196" s="22">
        <f>'Форма 2'!I690</f>
        <v>5232535.2699999996</v>
      </c>
      <c r="K196" s="22">
        <v>0</v>
      </c>
      <c r="L196" s="22">
        <v>0</v>
      </c>
      <c r="M196" s="22">
        <v>0</v>
      </c>
      <c r="N196" s="22">
        <f t="shared" si="22"/>
        <v>4988908.74</v>
      </c>
      <c r="O196" s="22">
        <v>243626.53</v>
      </c>
      <c r="P196" s="22">
        <f t="shared" si="23"/>
        <v>1693.54</v>
      </c>
      <c r="Q196" s="22">
        <f>'Форма 2'!K690</f>
        <v>2831</v>
      </c>
      <c r="R196" s="38" t="s">
        <v>156</v>
      </c>
      <c r="S196" s="172">
        <v>1</v>
      </c>
      <c r="T196" s="24"/>
    </row>
    <row r="197" spans="1:20" s="33" customFormat="1" x14ac:dyDescent="0.35">
      <c r="A197" s="227" t="s">
        <v>361</v>
      </c>
      <c r="B197" s="227"/>
      <c r="C197" s="227"/>
      <c r="D197" s="97" t="s">
        <v>13</v>
      </c>
      <c r="E197" s="97" t="s">
        <v>13</v>
      </c>
      <c r="F197" s="97" t="s">
        <v>13</v>
      </c>
      <c r="G197" s="22">
        <f t="shared" ref="G197:O197" si="25">SUM(G198:G228)</f>
        <v>185983.68</v>
      </c>
      <c r="H197" s="22">
        <f t="shared" si="25"/>
        <v>161817.53</v>
      </c>
      <c r="I197" s="26">
        <f t="shared" si="25"/>
        <v>7290</v>
      </c>
      <c r="J197" s="22">
        <f t="shared" si="25"/>
        <v>196011306.69</v>
      </c>
      <c r="K197" s="22">
        <f t="shared" si="25"/>
        <v>0</v>
      </c>
      <c r="L197" s="22">
        <f t="shared" si="25"/>
        <v>0</v>
      </c>
      <c r="M197" s="22">
        <f t="shared" si="25"/>
        <v>0</v>
      </c>
      <c r="N197" s="22">
        <f t="shared" si="25"/>
        <v>189124037.09</v>
      </c>
      <c r="O197" s="22">
        <f t="shared" si="25"/>
        <v>6887269.5999999996</v>
      </c>
      <c r="P197" s="97" t="s">
        <v>13</v>
      </c>
      <c r="Q197" s="97" t="s">
        <v>13</v>
      </c>
      <c r="R197" s="97" t="s">
        <v>13</v>
      </c>
      <c r="S197" s="97" t="s">
        <v>13</v>
      </c>
      <c r="T197" s="24"/>
    </row>
    <row r="198" spans="1:20" s="33" customFormat="1" x14ac:dyDescent="0.35">
      <c r="A198" s="11">
        <f>A196+1</f>
        <v>93</v>
      </c>
      <c r="B198" s="11">
        <v>4282</v>
      </c>
      <c r="C198" s="37" t="s">
        <v>362</v>
      </c>
      <c r="D198" s="97">
        <v>1992</v>
      </c>
      <c r="E198" s="96" t="s">
        <v>185</v>
      </c>
      <c r="F198" s="96" t="s">
        <v>186</v>
      </c>
      <c r="G198" s="22">
        <v>5243.02</v>
      </c>
      <c r="H198" s="22">
        <v>4517.62</v>
      </c>
      <c r="I198" s="26">
        <v>184</v>
      </c>
      <c r="J198" s="22">
        <f>'Форма 2'!I693</f>
        <v>3445996.26</v>
      </c>
      <c r="K198" s="22">
        <v>0</v>
      </c>
      <c r="L198" s="22">
        <v>0</v>
      </c>
      <c r="M198" s="22">
        <v>0</v>
      </c>
      <c r="N198" s="22">
        <f t="shared" ref="N198:N228" si="26">J198-K198-L198-M198-O198</f>
        <v>3335972.21</v>
      </c>
      <c r="O198" s="22">
        <v>110024.05</v>
      </c>
      <c r="P198" s="22">
        <f t="shared" ref="P198:P228" si="27">J198/H198</f>
        <v>762.79</v>
      </c>
      <c r="Q198" s="22">
        <f>'Форма 2'!K693</f>
        <v>783.59</v>
      </c>
      <c r="R198" s="38" t="s">
        <v>156</v>
      </c>
      <c r="S198" s="172">
        <v>1</v>
      </c>
      <c r="T198" s="24"/>
    </row>
    <row r="199" spans="1:20" s="33" customFormat="1" x14ac:dyDescent="0.35">
      <c r="A199" s="11">
        <f t="shared" ref="A199:A227" si="28">A198+1</f>
        <v>94</v>
      </c>
      <c r="B199" s="11">
        <v>4285</v>
      </c>
      <c r="C199" s="37" t="s">
        <v>363</v>
      </c>
      <c r="D199" s="97">
        <v>1989</v>
      </c>
      <c r="E199" s="96" t="s">
        <v>185</v>
      </c>
      <c r="F199" s="96" t="s">
        <v>186</v>
      </c>
      <c r="G199" s="22">
        <v>3329.76</v>
      </c>
      <c r="H199" s="22">
        <v>2969.76</v>
      </c>
      <c r="I199" s="26">
        <v>118</v>
      </c>
      <c r="J199" s="22">
        <f>'Форма 2'!I700</f>
        <v>1721904.68</v>
      </c>
      <c r="K199" s="22">
        <v>0</v>
      </c>
      <c r="L199" s="22">
        <v>0</v>
      </c>
      <c r="M199" s="22">
        <v>0</v>
      </c>
      <c r="N199" s="22">
        <f t="shared" si="26"/>
        <v>1666892.66</v>
      </c>
      <c r="O199" s="22">
        <v>55012.02</v>
      </c>
      <c r="P199" s="22">
        <f t="shared" si="27"/>
        <v>579.80999999999995</v>
      </c>
      <c r="Q199" s="22">
        <f>'Форма 2'!K700</f>
        <v>596</v>
      </c>
      <c r="R199" s="38" t="s">
        <v>156</v>
      </c>
      <c r="S199" s="172">
        <v>1</v>
      </c>
      <c r="T199" s="24"/>
    </row>
    <row r="200" spans="1:20" s="33" customFormat="1" x14ac:dyDescent="0.35">
      <c r="A200" s="11">
        <f t="shared" si="28"/>
        <v>95</v>
      </c>
      <c r="B200" s="11">
        <v>3514</v>
      </c>
      <c r="C200" s="37" t="s">
        <v>364</v>
      </c>
      <c r="D200" s="97">
        <v>1990</v>
      </c>
      <c r="E200" s="96" t="s">
        <v>185</v>
      </c>
      <c r="F200" s="96" t="s">
        <v>186</v>
      </c>
      <c r="G200" s="22">
        <v>16173.4</v>
      </c>
      <c r="H200" s="22">
        <v>13650.4</v>
      </c>
      <c r="I200" s="26">
        <v>376</v>
      </c>
      <c r="J200" s="22">
        <f>'Форма 2'!I704</f>
        <v>6942406.0800000001</v>
      </c>
      <c r="K200" s="22">
        <v>0</v>
      </c>
      <c r="L200" s="22">
        <v>0</v>
      </c>
      <c r="M200" s="22">
        <v>0</v>
      </c>
      <c r="N200" s="22">
        <f t="shared" si="26"/>
        <v>6722357.9800000004</v>
      </c>
      <c r="O200" s="22">
        <v>220048.1</v>
      </c>
      <c r="P200" s="22">
        <f t="shared" si="27"/>
        <v>508.59</v>
      </c>
      <c r="Q200" s="22">
        <f>'Форма 2'!K704</f>
        <v>518.66</v>
      </c>
      <c r="R200" s="38" t="s">
        <v>156</v>
      </c>
      <c r="S200" s="172">
        <v>1</v>
      </c>
      <c r="T200" s="24"/>
    </row>
    <row r="201" spans="1:20" s="33" customFormat="1" x14ac:dyDescent="0.35">
      <c r="A201" s="11">
        <f>A200+1</f>
        <v>96</v>
      </c>
      <c r="B201" s="11">
        <v>3060</v>
      </c>
      <c r="C201" s="37" t="s">
        <v>366</v>
      </c>
      <c r="D201" s="97">
        <v>1966</v>
      </c>
      <c r="E201" s="96" t="s">
        <v>75</v>
      </c>
      <c r="F201" s="96" t="s">
        <v>158</v>
      </c>
      <c r="G201" s="22">
        <v>3436.7</v>
      </c>
      <c r="H201" s="22">
        <v>3179.5</v>
      </c>
      <c r="I201" s="26">
        <v>119</v>
      </c>
      <c r="J201" s="22">
        <f>'Форма 2'!I717</f>
        <v>7672501.5899999999</v>
      </c>
      <c r="K201" s="22">
        <v>0</v>
      </c>
      <c r="L201" s="22">
        <v>0</v>
      </c>
      <c r="M201" s="22">
        <v>0</v>
      </c>
      <c r="N201" s="22">
        <f t="shared" si="26"/>
        <v>7392833.7800000003</v>
      </c>
      <c r="O201" s="22">
        <v>279667.81</v>
      </c>
      <c r="P201" s="22">
        <f t="shared" si="27"/>
        <v>2413.12</v>
      </c>
      <c r="Q201" s="22">
        <f>'Форма 2'!K717</f>
        <v>2831</v>
      </c>
      <c r="R201" s="38" t="s">
        <v>156</v>
      </c>
      <c r="S201" s="172">
        <v>1</v>
      </c>
      <c r="T201" s="24"/>
    </row>
    <row r="202" spans="1:20" s="33" customFormat="1" x14ac:dyDescent="0.35">
      <c r="A202" s="11">
        <f t="shared" si="28"/>
        <v>97</v>
      </c>
      <c r="B202" s="11">
        <v>3061</v>
      </c>
      <c r="C202" s="37" t="s">
        <v>367</v>
      </c>
      <c r="D202" s="97">
        <v>1965</v>
      </c>
      <c r="E202" s="96" t="s">
        <v>75</v>
      </c>
      <c r="F202" s="96" t="s">
        <v>158</v>
      </c>
      <c r="G202" s="22">
        <v>4073.9</v>
      </c>
      <c r="H202" s="22">
        <v>3146.9</v>
      </c>
      <c r="I202" s="26">
        <v>128</v>
      </c>
      <c r="J202" s="22">
        <f>'Форма 2'!I720</f>
        <v>8861987.0899999999</v>
      </c>
      <c r="K202" s="22">
        <v>0</v>
      </c>
      <c r="L202" s="22">
        <v>0</v>
      </c>
      <c r="M202" s="22">
        <v>0</v>
      </c>
      <c r="N202" s="22">
        <f t="shared" si="26"/>
        <v>8585186.7599999998</v>
      </c>
      <c r="O202" s="22">
        <v>276800.33</v>
      </c>
      <c r="P202" s="22">
        <f t="shared" si="27"/>
        <v>2816.1</v>
      </c>
      <c r="Q202" s="22">
        <f>'Форма 2'!K720</f>
        <v>2831</v>
      </c>
      <c r="R202" s="38" t="s">
        <v>156</v>
      </c>
      <c r="S202" s="172">
        <v>1</v>
      </c>
      <c r="T202" s="24"/>
    </row>
    <row r="203" spans="1:20" s="33" customFormat="1" x14ac:dyDescent="0.35">
      <c r="A203" s="11">
        <f t="shared" si="28"/>
        <v>98</v>
      </c>
      <c r="B203" s="11">
        <v>3199</v>
      </c>
      <c r="C203" s="37" t="s">
        <v>368</v>
      </c>
      <c r="D203" s="97">
        <v>1964</v>
      </c>
      <c r="E203" s="96" t="s">
        <v>75</v>
      </c>
      <c r="F203" s="96" t="s">
        <v>158</v>
      </c>
      <c r="G203" s="22">
        <v>1756.1</v>
      </c>
      <c r="H203" s="22">
        <v>1522.1</v>
      </c>
      <c r="I203" s="26">
        <v>61</v>
      </c>
      <c r="J203" s="22">
        <f>'Форма 2'!I723</f>
        <v>3728232.76</v>
      </c>
      <c r="K203" s="22">
        <v>0</v>
      </c>
      <c r="L203" s="22">
        <v>0</v>
      </c>
      <c r="M203" s="22">
        <v>0</v>
      </c>
      <c r="N203" s="22">
        <f t="shared" si="26"/>
        <v>3601140.45</v>
      </c>
      <c r="O203" s="22">
        <v>127092.31</v>
      </c>
      <c r="P203" s="22">
        <f t="shared" si="27"/>
        <v>2449.4</v>
      </c>
      <c r="Q203" s="22">
        <f>'Форма 2'!K723</f>
        <v>2831</v>
      </c>
      <c r="R203" s="38" t="s">
        <v>156</v>
      </c>
      <c r="S203" s="172">
        <v>1</v>
      </c>
      <c r="T203" s="24"/>
    </row>
    <row r="204" spans="1:20" s="33" customFormat="1" x14ac:dyDescent="0.35">
      <c r="A204" s="11">
        <f t="shared" si="28"/>
        <v>99</v>
      </c>
      <c r="B204" s="11">
        <v>3342</v>
      </c>
      <c r="C204" s="37" t="s">
        <v>369</v>
      </c>
      <c r="D204" s="97">
        <v>1989</v>
      </c>
      <c r="E204" s="96" t="s">
        <v>185</v>
      </c>
      <c r="F204" s="96" t="s">
        <v>186</v>
      </c>
      <c r="G204" s="22">
        <v>14643.6</v>
      </c>
      <c r="H204" s="22">
        <v>12396.3</v>
      </c>
      <c r="I204" s="26">
        <v>594</v>
      </c>
      <c r="J204" s="22">
        <f>'Форма 2'!I726</f>
        <v>10470157.859999999</v>
      </c>
      <c r="K204" s="22">
        <v>0</v>
      </c>
      <c r="L204" s="22">
        <v>0</v>
      </c>
      <c r="M204" s="22">
        <v>0</v>
      </c>
      <c r="N204" s="22">
        <f t="shared" si="26"/>
        <v>10140085.710000001</v>
      </c>
      <c r="O204" s="22">
        <v>330072.15000000002</v>
      </c>
      <c r="P204" s="22">
        <f t="shared" si="27"/>
        <v>844.62</v>
      </c>
      <c r="Q204" s="22">
        <f>'Форма 2'!K726</f>
        <v>856.69</v>
      </c>
      <c r="R204" s="38" t="s">
        <v>156</v>
      </c>
      <c r="S204" s="172">
        <v>1</v>
      </c>
      <c r="T204" s="24"/>
    </row>
    <row r="205" spans="1:20" s="184" customFormat="1" ht="31" x14ac:dyDescent="0.35">
      <c r="A205" s="124">
        <f t="shared" si="28"/>
        <v>100</v>
      </c>
      <c r="B205" s="124">
        <v>3278</v>
      </c>
      <c r="C205" s="37" t="s">
        <v>370</v>
      </c>
      <c r="D205" s="96">
        <v>1978</v>
      </c>
      <c r="E205" s="96" t="s">
        <v>371</v>
      </c>
      <c r="F205" s="96" t="s">
        <v>163</v>
      </c>
      <c r="G205" s="86">
        <v>4824.5</v>
      </c>
      <c r="H205" s="86">
        <v>4404.5</v>
      </c>
      <c r="I205" s="99">
        <v>224</v>
      </c>
      <c r="J205" s="86">
        <f>'Форма 2'!I745</f>
        <v>4285929.38</v>
      </c>
      <c r="K205" s="86">
        <v>0</v>
      </c>
      <c r="L205" s="86">
        <v>0</v>
      </c>
      <c r="M205" s="86">
        <v>0</v>
      </c>
      <c r="N205" s="86">
        <f t="shared" si="26"/>
        <v>4157934.87</v>
      </c>
      <c r="O205" s="86">
        <v>127994.51</v>
      </c>
      <c r="P205" s="86">
        <f t="shared" si="27"/>
        <v>973.08</v>
      </c>
      <c r="Q205" s="86">
        <f>'Форма 2'!K745</f>
        <v>3589</v>
      </c>
      <c r="R205" s="182" t="s">
        <v>164</v>
      </c>
      <c r="S205" s="183">
        <v>1</v>
      </c>
      <c r="T205" s="24"/>
    </row>
    <row r="206" spans="1:20" s="184" customFormat="1" ht="31" x14ac:dyDescent="0.35">
      <c r="A206" s="124">
        <f t="shared" si="28"/>
        <v>101</v>
      </c>
      <c r="B206" s="124">
        <v>3280</v>
      </c>
      <c r="C206" s="37" t="s">
        <v>372</v>
      </c>
      <c r="D206" s="96">
        <v>1978</v>
      </c>
      <c r="E206" s="96" t="s">
        <v>371</v>
      </c>
      <c r="F206" s="96" t="s">
        <v>155</v>
      </c>
      <c r="G206" s="86">
        <v>4732.6000000000004</v>
      </c>
      <c r="H206" s="86">
        <v>4328.8</v>
      </c>
      <c r="I206" s="99">
        <v>224</v>
      </c>
      <c r="J206" s="86">
        <f>'Форма 2'!I754</f>
        <v>408759.43</v>
      </c>
      <c r="K206" s="86">
        <v>0</v>
      </c>
      <c r="L206" s="86">
        <v>0</v>
      </c>
      <c r="M206" s="86">
        <v>0</v>
      </c>
      <c r="N206" s="86">
        <f t="shared" si="26"/>
        <v>282964.76</v>
      </c>
      <c r="O206" s="86">
        <v>125794.67</v>
      </c>
      <c r="P206" s="86">
        <f t="shared" si="27"/>
        <v>94.43</v>
      </c>
      <c r="Q206" s="86">
        <f>'Форма 2'!K754</f>
        <v>150</v>
      </c>
      <c r="R206" s="182" t="s">
        <v>164</v>
      </c>
      <c r="S206" s="183">
        <v>1</v>
      </c>
      <c r="T206" s="24"/>
    </row>
    <row r="207" spans="1:20" s="184" customFormat="1" ht="31" x14ac:dyDescent="0.35">
      <c r="A207" s="124">
        <f t="shared" si="28"/>
        <v>102</v>
      </c>
      <c r="B207" s="124">
        <v>3281</v>
      </c>
      <c r="C207" s="37" t="s">
        <v>373</v>
      </c>
      <c r="D207" s="96">
        <v>1971</v>
      </c>
      <c r="E207" s="96" t="s">
        <v>371</v>
      </c>
      <c r="F207" s="96" t="s">
        <v>155</v>
      </c>
      <c r="G207" s="86">
        <v>4719</v>
      </c>
      <c r="H207" s="86">
        <v>4302</v>
      </c>
      <c r="I207" s="99">
        <v>220</v>
      </c>
      <c r="J207" s="86">
        <f>'Форма 2'!I759</f>
        <v>408076.74</v>
      </c>
      <c r="K207" s="86">
        <v>0</v>
      </c>
      <c r="L207" s="86">
        <v>0</v>
      </c>
      <c r="M207" s="86">
        <v>0</v>
      </c>
      <c r="N207" s="86">
        <f t="shared" si="26"/>
        <v>283060.88</v>
      </c>
      <c r="O207" s="86">
        <v>125015.86</v>
      </c>
      <c r="P207" s="86">
        <f t="shared" si="27"/>
        <v>94.86</v>
      </c>
      <c r="Q207" s="86">
        <f>'Форма 2'!K759</f>
        <v>150</v>
      </c>
      <c r="R207" s="182" t="s">
        <v>164</v>
      </c>
      <c r="S207" s="183">
        <v>1</v>
      </c>
      <c r="T207" s="24"/>
    </row>
    <row r="208" spans="1:20" s="33" customFormat="1" x14ac:dyDescent="0.35">
      <c r="A208" s="11">
        <f t="shared" si="28"/>
        <v>103</v>
      </c>
      <c r="B208" s="11">
        <v>4053</v>
      </c>
      <c r="C208" s="37" t="s">
        <v>374</v>
      </c>
      <c r="D208" s="97">
        <v>1972</v>
      </c>
      <c r="E208" s="96" t="s">
        <v>75</v>
      </c>
      <c r="F208" s="96" t="s">
        <v>163</v>
      </c>
      <c r="G208" s="22">
        <v>2862.3</v>
      </c>
      <c r="H208" s="22">
        <v>2642</v>
      </c>
      <c r="I208" s="26">
        <v>116</v>
      </c>
      <c r="J208" s="22">
        <f>'Форма 2'!I764</f>
        <v>2706613.74</v>
      </c>
      <c r="K208" s="22">
        <v>0</v>
      </c>
      <c r="L208" s="22">
        <v>0</v>
      </c>
      <c r="M208" s="22">
        <v>0</v>
      </c>
      <c r="N208" s="22">
        <f t="shared" si="26"/>
        <v>2608757.33</v>
      </c>
      <c r="O208" s="22">
        <v>97856.41</v>
      </c>
      <c r="P208" s="22">
        <f t="shared" si="27"/>
        <v>1024.46</v>
      </c>
      <c r="Q208" s="22">
        <f>'Форма 2'!K764</f>
        <v>3523</v>
      </c>
      <c r="R208" s="38" t="s">
        <v>164</v>
      </c>
      <c r="S208" s="172">
        <v>1</v>
      </c>
      <c r="T208" s="24"/>
    </row>
    <row r="209" spans="1:20" s="33" customFormat="1" x14ac:dyDescent="0.35">
      <c r="A209" s="11">
        <f t="shared" si="28"/>
        <v>104</v>
      </c>
      <c r="B209" s="11">
        <v>4058</v>
      </c>
      <c r="C209" s="37" t="s">
        <v>375</v>
      </c>
      <c r="D209" s="97">
        <v>1987</v>
      </c>
      <c r="E209" s="96" t="s">
        <v>185</v>
      </c>
      <c r="F209" s="96" t="s">
        <v>186</v>
      </c>
      <c r="G209" s="22">
        <v>9554.2000000000007</v>
      </c>
      <c r="H209" s="22">
        <v>8847.6</v>
      </c>
      <c r="I209" s="26">
        <v>454</v>
      </c>
      <c r="J209" s="22">
        <f>'Форма 2'!I767</f>
        <v>8592843.0800000001</v>
      </c>
      <c r="K209" s="22">
        <v>0</v>
      </c>
      <c r="L209" s="22">
        <v>0</v>
      </c>
      <c r="M209" s="22">
        <v>0</v>
      </c>
      <c r="N209" s="22">
        <f t="shared" si="26"/>
        <v>8317782.96</v>
      </c>
      <c r="O209" s="22">
        <v>275060.12</v>
      </c>
      <c r="P209" s="22">
        <f t="shared" si="27"/>
        <v>971.21</v>
      </c>
      <c r="Q209" s="22">
        <f>'Форма 2'!K767</f>
        <v>1000.26</v>
      </c>
      <c r="R209" s="38" t="s">
        <v>156</v>
      </c>
      <c r="S209" s="172">
        <v>1</v>
      </c>
      <c r="T209" s="24"/>
    </row>
    <row r="210" spans="1:20" s="33" customFormat="1" x14ac:dyDescent="0.35">
      <c r="A210" s="11">
        <f t="shared" si="28"/>
        <v>105</v>
      </c>
      <c r="B210" s="11">
        <v>4059</v>
      </c>
      <c r="C210" s="37" t="s">
        <v>376</v>
      </c>
      <c r="D210" s="97">
        <v>1990</v>
      </c>
      <c r="E210" s="96" t="s">
        <v>185</v>
      </c>
      <c r="F210" s="96" t="s">
        <v>186</v>
      </c>
      <c r="G210" s="22">
        <v>18818</v>
      </c>
      <c r="H210" s="22">
        <v>17452.2</v>
      </c>
      <c r="I210" s="26">
        <v>787</v>
      </c>
      <c r="J210" s="22">
        <f>'Форма 2'!I783</f>
        <v>13705848.02</v>
      </c>
      <c r="K210" s="22">
        <v>0</v>
      </c>
      <c r="L210" s="22">
        <v>0</v>
      </c>
      <c r="M210" s="22">
        <v>0</v>
      </c>
      <c r="N210" s="22">
        <f t="shared" si="26"/>
        <v>13210739.800000001</v>
      </c>
      <c r="O210" s="22">
        <v>495108.22</v>
      </c>
      <c r="P210" s="22">
        <f t="shared" si="27"/>
        <v>785.34</v>
      </c>
      <c r="Q210" s="22">
        <f>'Форма 2'!K783</f>
        <v>912.76</v>
      </c>
      <c r="R210" s="38" t="s">
        <v>156</v>
      </c>
      <c r="S210" s="172">
        <v>1</v>
      </c>
      <c r="T210" s="24"/>
    </row>
    <row r="211" spans="1:20" s="33" customFormat="1" x14ac:dyDescent="0.35">
      <c r="A211" s="11">
        <f t="shared" si="28"/>
        <v>106</v>
      </c>
      <c r="B211" s="11">
        <v>4371</v>
      </c>
      <c r="C211" s="37" t="s">
        <v>377</v>
      </c>
      <c r="D211" s="97">
        <v>1988</v>
      </c>
      <c r="E211" s="96" t="s">
        <v>185</v>
      </c>
      <c r="F211" s="96" t="s">
        <v>186</v>
      </c>
      <c r="G211" s="22">
        <v>11211.5</v>
      </c>
      <c r="H211" s="22">
        <v>9043.4</v>
      </c>
      <c r="I211" s="26">
        <v>359</v>
      </c>
      <c r="J211" s="22">
        <f>'Форма 2'!I811</f>
        <v>7610421.6299999999</v>
      </c>
      <c r="K211" s="22">
        <v>0</v>
      </c>
      <c r="L211" s="22">
        <v>0</v>
      </c>
      <c r="M211" s="22">
        <v>0</v>
      </c>
      <c r="N211" s="22">
        <f t="shared" si="26"/>
        <v>7335361.5099999998</v>
      </c>
      <c r="O211" s="22">
        <v>275060.12</v>
      </c>
      <c r="P211" s="22">
        <f t="shared" si="27"/>
        <v>841.54</v>
      </c>
      <c r="Q211" s="22">
        <f>'Форма 2'!K811</f>
        <v>978.6</v>
      </c>
      <c r="R211" s="38" t="s">
        <v>156</v>
      </c>
      <c r="S211" s="172">
        <v>1</v>
      </c>
      <c r="T211" s="24"/>
    </row>
    <row r="212" spans="1:20" s="33" customFormat="1" x14ac:dyDescent="0.35">
      <c r="A212" s="11">
        <f t="shared" si="28"/>
        <v>107</v>
      </c>
      <c r="B212" s="11">
        <v>4329</v>
      </c>
      <c r="C212" s="37" t="s">
        <v>378</v>
      </c>
      <c r="D212" s="97">
        <v>1989</v>
      </c>
      <c r="E212" s="96" t="s">
        <v>185</v>
      </c>
      <c r="F212" s="96" t="s">
        <v>186</v>
      </c>
      <c r="G212" s="22">
        <v>8517.23</v>
      </c>
      <c r="H212" s="22">
        <v>6684.43</v>
      </c>
      <c r="I212" s="26">
        <v>273</v>
      </c>
      <c r="J212" s="22">
        <f>'Форма 2'!I827</f>
        <v>5094901</v>
      </c>
      <c r="K212" s="22">
        <v>0</v>
      </c>
      <c r="L212" s="22">
        <v>0</v>
      </c>
      <c r="M212" s="22">
        <v>0</v>
      </c>
      <c r="N212" s="22">
        <f t="shared" si="26"/>
        <v>4929864.93</v>
      </c>
      <c r="O212" s="22">
        <v>165036.07</v>
      </c>
      <c r="P212" s="22">
        <f t="shared" si="27"/>
        <v>762.2</v>
      </c>
      <c r="Q212" s="22">
        <f>'Форма 2'!K827</f>
        <v>794.37</v>
      </c>
      <c r="R212" s="38" t="s">
        <v>156</v>
      </c>
      <c r="S212" s="172">
        <v>1</v>
      </c>
      <c r="T212" s="24"/>
    </row>
    <row r="213" spans="1:20" s="33" customFormat="1" x14ac:dyDescent="0.35">
      <c r="A213" s="11">
        <f t="shared" si="28"/>
        <v>108</v>
      </c>
      <c r="B213" s="11">
        <v>3367</v>
      </c>
      <c r="C213" s="37" t="s">
        <v>379</v>
      </c>
      <c r="D213" s="97">
        <v>1966</v>
      </c>
      <c r="E213" s="96" t="s">
        <v>75</v>
      </c>
      <c r="F213" s="96" t="s">
        <v>158</v>
      </c>
      <c r="G213" s="22">
        <v>2945.15</v>
      </c>
      <c r="H213" s="22">
        <v>2875.15</v>
      </c>
      <c r="I213" s="26">
        <v>132</v>
      </c>
      <c r="J213" s="22">
        <f>'Форма 2'!I837</f>
        <v>5335146.21</v>
      </c>
      <c r="K213" s="22">
        <v>0</v>
      </c>
      <c r="L213" s="22">
        <v>0</v>
      </c>
      <c r="M213" s="22">
        <v>0</v>
      </c>
      <c r="N213" s="22">
        <f t="shared" si="26"/>
        <v>5125997.2300000004</v>
      </c>
      <c r="O213" s="22">
        <v>209148.98</v>
      </c>
      <c r="P213" s="22">
        <f t="shared" si="27"/>
        <v>1855.61</v>
      </c>
      <c r="Q213" s="22">
        <f>'Форма 2'!K837</f>
        <v>2831</v>
      </c>
      <c r="R213" s="38" t="s">
        <v>156</v>
      </c>
      <c r="S213" s="172">
        <v>1</v>
      </c>
      <c r="T213" s="24"/>
    </row>
    <row r="214" spans="1:20" s="33" customFormat="1" x14ac:dyDescent="0.35">
      <c r="A214" s="11">
        <f t="shared" si="28"/>
        <v>109</v>
      </c>
      <c r="B214" s="11">
        <v>8192</v>
      </c>
      <c r="C214" s="37" t="s">
        <v>380</v>
      </c>
      <c r="D214" s="97">
        <v>1970</v>
      </c>
      <c r="E214" s="96" t="s">
        <v>75</v>
      </c>
      <c r="F214" s="96" t="s">
        <v>158</v>
      </c>
      <c r="G214" s="22">
        <v>3834.35</v>
      </c>
      <c r="H214" s="22">
        <v>3552.8</v>
      </c>
      <c r="I214" s="26">
        <v>194</v>
      </c>
      <c r="J214" s="22">
        <f>'Форма 2'!I840</f>
        <v>7833565.3399999999</v>
      </c>
      <c r="K214" s="22">
        <v>0</v>
      </c>
      <c r="L214" s="22">
        <v>0</v>
      </c>
      <c r="M214" s="22">
        <v>0</v>
      </c>
      <c r="N214" s="22">
        <f t="shared" si="26"/>
        <v>7589797.71</v>
      </c>
      <c r="O214" s="22">
        <v>243767.63</v>
      </c>
      <c r="P214" s="22">
        <f t="shared" si="27"/>
        <v>2204.9</v>
      </c>
      <c r="Q214" s="22">
        <f>'Форма 2'!K840</f>
        <v>2831</v>
      </c>
      <c r="R214" s="38" t="s">
        <v>156</v>
      </c>
      <c r="S214" s="172">
        <v>1</v>
      </c>
      <c r="T214" s="24"/>
    </row>
    <row r="215" spans="1:20" s="33" customFormat="1" x14ac:dyDescent="0.35">
      <c r="A215" s="11">
        <f t="shared" si="28"/>
        <v>110</v>
      </c>
      <c r="B215" s="11">
        <v>3297</v>
      </c>
      <c r="C215" s="37" t="s">
        <v>381</v>
      </c>
      <c r="D215" s="97">
        <v>1970</v>
      </c>
      <c r="E215" s="96" t="s">
        <v>75</v>
      </c>
      <c r="F215" s="96" t="s">
        <v>158</v>
      </c>
      <c r="G215" s="22">
        <v>3818.6</v>
      </c>
      <c r="H215" s="22">
        <v>3538.6</v>
      </c>
      <c r="I215" s="26">
        <v>147</v>
      </c>
      <c r="J215" s="22">
        <f>'Форма 2'!I843</f>
        <v>7152676.7699999996</v>
      </c>
      <c r="K215" s="22">
        <v>0</v>
      </c>
      <c r="L215" s="22">
        <v>0</v>
      </c>
      <c r="M215" s="22">
        <v>0</v>
      </c>
      <c r="N215" s="22">
        <f t="shared" si="26"/>
        <v>6908909.1399999997</v>
      </c>
      <c r="O215" s="22">
        <v>243767.63</v>
      </c>
      <c r="P215" s="22">
        <f t="shared" si="27"/>
        <v>2021.33</v>
      </c>
      <c r="Q215" s="22">
        <f>'Форма 2'!K843</f>
        <v>2831</v>
      </c>
      <c r="R215" s="38" t="s">
        <v>156</v>
      </c>
      <c r="S215" s="172">
        <v>1</v>
      </c>
      <c r="T215" s="24"/>
    </row>
    <row r="216" spans="1:20" s="33" customFormat="1" x14ac:dyDescent="0.35">
      <c r="A216" s="11">
        <f t="shared" si="28"/>
        <v>111</v>
      </c>
      <c r="B216" s="11">
        <v>4341</v>
      </c>
      <c r="C216" s="37" t="s">
        <v>382</v>
      </c>
      <c r="D216" s="97">
        <v>1968</v>
      </c>
      <c r="E216" s="96" t="s">
        <v>75</v>
      </c>
      <c r="F216" s="96" t="s">
        <v>158</v>
      </c>
      <c r="G216" s="22">
        <v>4652.6000000000004</v>
      </c>
      <c r="H216" s="22">
        <v>3554.2</v>
      </c>
      <c r="I216" s="26">
        <v>191</v>
      </c>
      <c r="J216" s="22">
        <f>'Форма 2'!I846</f>
        <v>8160654.8899999997</v>
      </c>
      <c r="K216" s="22">
        <v>0</v>
      </c>
      <c r="L216" s="22">
        <v>0</v>
      </c>
      <c r="M216" s="22">
        <v>0</v>
      </c>
      <c r="N216" s="22">
        <f t="shared" si="26"/>
        <v>7896668.4400000004</v>
      </c>
      <c r="O216" s="22">
        <v>263986.45</v>
      </c>
      <c r="P216" s="22">
        <f t="shared" si="27"/>
        <v>2296.06</v>
      </c>
      <c r="Q216" s="22">
        <f>'Форма 2'!K846</f>
        <v>3449</v>
      </c>
      <c r="R216" s="38" t="s">
        <v>156</v>
      </c>
      <c r="S216" s="172">
        <v>1</v>
      </c>
      <c r="T216" s="24"/>
    </row>
    <row r="217" spans="1:20" s="33" customFormat="1" x14ac:dyDescent="0.35">
      <c r="A217" s="11">
        <f t="shared" si="28"/>
        <v>112</v>
      </c>
      <c r="B217" s="11">
        <v>3134</v>
      </c>
      <c r="C217" s="37" t="s">
        <v>383</v>
      </c>
      <c r="D217" s="97">
        <v>1960</v>
      </c>
      <c r="E217" s="96" t="s">
        <v>75</v>
      </c>
      <c r="F217" s="96" t="s">
        <v>158</v>
      </c>
      <c r="G217" s="22">
        <v>1110.4000000000001</v>
      </c>
      <c r="H217" s="22">
        <v>1040.0999999999999</v>
      </c>
      <c r="I217" s="26">
        <v>44</v>
      </c>
      <c r="J217" s="22">
        <f>'Форма 2'!I849</f>
        <v>3190320.79</v>
      </c>
      <c r="K217" s="22">
        <v>0</v>
      </c>
      <c r="L217" s="22">
        <v>0</v>
      </c>
      <c r="M217" s="22">
        <v>0</v>
      </c>
      <c r="N217" s="22">
        <f t="shared" si="26"/>
        <v>3077939.39</v>
      </c>
      <c r="O217" s="22">
        <v>112381.4</v>
      </c>
      <c r="P217" s="22">
        <f t="shared" si="27"/>
        <v>3067.32</v>
      </c>
      <c r="Q217" s="22">
        <f>'Форма 2'!K849</f>
        <v>4728</v>
      </c>
      <c r="R217" s="38" t="s">
        <v>156</v>
      </c>
      <c r="S217" s="172">
        <v>1</v>
      </c>
      <c r="T217" s="24"/>
    </row>
    <row r="218" spans="1:20" s="33" customFormat="1" x14ac:dyDescent="0.35">
      <c r="A218" s="11">
        <f t="shared" si="28"/>
        <v>113</v>
      </c>
      <c r="B218" s="11">
        <v>3178</v>
      </c>
      <c r="C218" s="37" t="s">
        <v>384</v>
      </c>
      <c r="D218" s="97">
        <v>1970</v>
      </c>
      <c r="E218" s="96" t="s">
        <v>75</v>
      </c>
      <c r="F218" s="96" t="s">
        <v>158</v>
      </c>
      <c r="G218" s="22">
        <v>9174.2000000000007</v>
      </c>
      <c r="H218" s="22">
        <v>7031.9</v>
      </c>
      <c r="I218" s="26">
        <v>332</v>
      </c>
      <c r="J218" s="22">
        <f>'Форма 2'!I852</f>
        <v>14383585.99</v>
      </c>
      <c r="K218" s="22">
        <v>0</v>
      </c>
      <c r="L218" s="22">
        <v>0</v>
      </c>
      <c r="M218" s="22">
        <v>0</v>
      </c>
      <c r="N218" s="22">
        <f t="shared" si="26"/>
        <v>13870577.24</v>
      </c>
      <c r="O218" s="22">
        <v>513008.75</v>
      </c>
      <c r="P218" s="22">
        <f t="shared" si="27"/>
        <v>2045.48</v>
      </c>
      <c r="Q218" s="22">
        <f>'Форма 2'!K852</f>
        <v>2831</v>
      </c>
      <c r="R218" s="38" t="s">
        <v>156</v>
      </c>
      <c r="S218" s="172">
        <v>1</v>
      </c>
      <c r="T218" s="24"/>
    </row>
    <row r="219" spans="1:20" s="33" customFormat="1" x14ac:dyDescent="0.35">
      <c r="A219" s="11">
        <f t="shared" si="28"/>
        <v>114</v>
      </c>
      <c r="B219" s="11">
        <v>3179</v>
      </c>
      <c r="C219" s="37" t="s">
        <v>385</v>
      </c>
      <c r="D219" s="97">
        <v>1970</v>
      </c>
      <c r="E219" s="96" t="s">
        <v>75</v>
      </c>
      <c r="F219" s="96" t="s">
        <v>158</v>
      </c>
      <c r="G219" s="22">
        <v>3074.4</v>
      </c>
      <c r="H219" s="22">
        <v>2834.4</v>
      </c>
      <c r="I219" s="26">
        <v>139</v>
      </c>
      <c r="J219" s="22">
        <f>'Форма 2'!I855</f>
        <v>5798671.0700000003</v>
      </c>
      <c r="K219" s="22">
        <v>0</v>
      </c>
      <c r="L219" s="22">
        <v>0</v>
      </c>
      <c r="M219" s="22">
        <v>0</v>
      </c>
      <c r="N219" s="22">
        <f t="shared" si="26"/>
        <v>5593009.8300000001</v>
      </c>
      <c r="O219" s="22">
        <v>205661.24</v>
      </c>
      <c r="P219" s="22">
        <f t="shared" si="27"/>
        <v>2045.82</v>
      </c>
      <c r="Q219" s="22">
        <f>'Форма 2'!K855</f>
        <v>2831</v>
      </c>
      <c r="R219" s="38" t="s">
        <v>156</v>
      </c>
      <c r="S219" s="172">
        <v>1</v>
      </c>
      <c r="T219" s="24"/>
    </row>
    <row r="220" spans="1:20" s="33" customFormat="1" x14ac:dyDescent="0.35">
      <c r="A220" s="11">
        <f t="shared" si="28"/>
        <v>115</v>
      </c>
      <c r="B220" s="11">
        <v>3182</v>
      </c>
      <c r="C220" s="37" t="s">
        <v>386</v>
      </c>
      <c r="D220" s="97">
        <v>1970</v>
      </c>
      <c r="E220" s="96" t="s">
        <v>75</v>
      </c>
      <c r="F220" s="96" t="s">
        <v>158</v>
      </c>
      <c r="G220" s="22">
        <v>4631.3</v>
      </c>
      <c r="H220" s="22">
        <v>3552.6</v>
      </c>
      <c r="I220" s="26">
        <v>174</v>
      </c>
      <c r="J220" s="22">
        <f>'Форма 2'!I858</f>
        <v>8031131.5599999996</v>
      </c>
      <c r="K220" s="22">
        <v>0</v>
      </c>
      <c r="L220" s="22">
        <v>0</v>
      </c>
      <c r="M220" s="22">
        <v>0</v>
      </c>
      <c r="N220" s="22">
        <f t="shared" si="26"/>
        <v>7771913.0899999999</v>
      </c>
      <c r="O220" s="22">
        <v>259218.47</v>
      </c>
      <c r="P220" s="22">
        <f t="shared" si="27"/>
        <v>2260.63</v>
      </c>
      <c r="Q220" s="22">
        <f>'Форма 2'!K858</f>
        <v>2831</v>
      </c>
      <c r="R220" s="38" t="s">
        <v>156</v>
      </c>
      <c r="S220" s="172">
        <v>1</v>
      </c>
      <c r="T220" s="24"/>
    </row>
    <row r="221" spans="1:20" s="33" customFormat="1" x14ac:dyDescent="0.35">
      <c r="A221" s="11">
        <f t="shared" si="28"/>
        <v>116</v>
      </c>
      <c r="B221" s="11">
        <v>3185</v>
      </c>
      <c r="C221" s="37" t="s">
        <v>387</v>
      </c>
      <c r="D221" s="97">
        <v>1970</v>
      </c>
      <c r="E221" s="96" t="s">
        <v>75</v>
      </c>
      <c r="F221" s="96" t="s">
        <v>158</v>
      </c>
      <c r="G221" s="22">
        <v>7718.6</v>
      </c>
      <c r="H221" s="22">
        <v>7158.6</v>
      </c>
      <c r="I221" s="26">
        <v>359</v>
      </c>
      <c r="J221" s="22">
        <f>'Форма 2'!I861</f>
        <v>18369514</v>
      </c>
      <c r="K221" s="22">
        <v>0</v>
      </c>
      <c r="L221" s="22">
        <v>0</v>
      </c>
      <c r="M221" s="22">
        <v>0</v>
      </c>
      <c r="N221" s="22">
        <f t="shared" si="26"/>
        <v>17790314.120000001</v>
      </c>
      <c r="O221" s="22">
        <v>579199.88</v>
      </c>
      <c r="P221" s="22">
        <f t="shared" si="27"/>
        <v>2566.08</v>
      </c>
      <c r="Q221" s="22">
        <f>'Форма 2'!K861</f>
        <v>2831</v>
      </c>
      <c r="R221" s="38" t="s">
        <v>156</v>
      </c>
      <c r="S221" s="172">
        <v>1</v>
      </c>
      <c r="T221" s="24"/>
    </row>
    <row r="222" spans="1:20" s="33" customFormat="1" x14ac:dyDescent="0.35">
      <c r="A222" s="11">
        <f t="shared" si="28"/>
        <v>117</v>
      </c>
      <c r="B222" s="11">
        <v>3138</v>
      </c>
      <c r="C222" s="37" t="s">
        <v>388</v>
      </c>
      <c r="D222" s="97">
        <v>1971</v>
      </c>
      <c r="E222" s="96" t="s">
        <v>75</v>
      </c>
      <c r="F222" s="96" t="s">
        <v>163</v>
      </c>
      <c r="G222" s="22">
        <v>3540</v>
      </c>
      <c r="H222" s="22">
        <v>3244</v>
      </c>
      <c r="I222" s="26">
        <v>174</v>
      </c>
      <c r="J222" s="22">
        <f>'Форма 2'!I864</f>
        <v>3206403.31</v>
      </c>
      <c r="K222" s="22">
        <v>0</v>
      </c>
      <c r="L222" s="22">
        <v>0</v>
      </c>
      <c r="M222" s="22">
        <v>0</v>
      </c>
      <c r="N222" s="22">
        <f t="shared" si="26"/>
        <v>3103736.92</v>
      </c>
      <c r="O222" s="22">
        <v>102666.39</v>
      </c>
      <c r="P222" s="22">
        <f t="shared" si="27"/>
        <v>988.41</v>
      </c>
      <c r="Q222" s="22">
        <f>'Форма 2'!K864</f>
        <v>2936</v>
      </c>
      <c r="R222" s="38" t="s">
        <v>164</v>
      </c>
      <c r="S222" s="172">
        <v>1</v>
      </c>
      <c r="T222" s="24"/>
    </row>
    <row r="223" spans="1:20" s="33" customFormat="1" x14ac:dyDescent="0.35">
      <c r="A223" s="11">
        <f t="shared" si="28"/>
        <v>118</v>
      </c>
      <c r="B223" s="11">
        <v>3139</v>
      </c>
      <c r="C223" s="37" t="s">
        <v>389</v>
      </c>
      <c r="D223" s="97">
        <v>1970</v>
      </c>
      <c r="E223" s="96" t="s">
        <v>75</v>
      </c>
      <c r="F223" s="96" t="s">
        <v>163</v>
      </c>
      <c r="G223" s="22">
        <v>3566</v>
      </c>
      <c r="H223" s="22">
        <v>3270</v>
      </c>
      <c r="I223" s="26">
        <v>191</v>
      </c>
      <c r="J223" s="22">
        <f>'Форма 2'!I867</f>
        <v>3255612</v>
      </c>
      <c r="K223" s="22">
        <v>0</v>
      </c>
      <c r="L223" s="22">
        <v>0</v>
      </c>
      <c r="M223" s="22">
        <v>0</v>
      </c>
      <c r="N223" s="22">
        <f t="shared" si="26"/>
        <v>3152122.76</v>
      </c>
      <c r="O223" s="22">
        <v>103489.24</v>
      </c>
      <c r="P223" s="22">
        <f t="shared" si="27"/>
        <v>995.6</v>
      </c>
      <c r="Q223" s="22">
        <f>'Форма 2'!K867</f>
        <v>2936</v>
      </c>
      <c r="R223" s="38" t="s">
        <v>164</v>
      </c>
      <c r="S223" s="172">
        <v>1</v>
      </c>
      <c r="T223" s="24"/>
    </row>
    <row r="224" spans="1:20" s="33" customFormat="1" x14ac:dyDescent="0.35">
      <c r="A224" s="11">
        <f t="shared" si="28"/>
        <v>119</v>
      </c>
      <c r="B224" s="11">
        <v>3140</v>
      </c>
      <c r="C224" s="37" t="s">
        <v>390</v>
      </c>
      <c r="D224" s="97">
        <v>1970</v>
      </c>
      <c r="E224" s="96" t="s">
        <v>75</v>
      </c>
      <c r="F224" s="96" t="s">
        <v>163</v>
      </c>
      <c r="G224" s="22">
        <v>3562</v>
      </c>
      <c r="H224" s="22">
        <v>3278</v>
      </c>
      <c r="I224" s="26">
        <v>153</v>
      </c>
      <c r="J224" s="22">
        <f>'Форма 2'!I870</f>
        <v>3260428.43</v>
      </c>
      <c r="K224" s="22">
        <v>0</v>
      </c>
      <c r="L224" s="22">
        <v>0</v>
      </c>
      <c r="M224" s="22">
        <v>0</v>
      </c>
      <c r="N224" s="22">
        <f t="shared" si="26"/>
        <v>3156686</v>
      </c>
      <c r="O224" s="22">
        <v>103742.43</v>
      </c>
      <c r="P224" s="22">
        <f t="shared" si="27"/>
        <v>994.64</v>
      </c>
      <c r="Q224" s="22">
        <f>'Форма 2'!K870</f>
        <v>2936</v>
      </c>
      <c r="R224" s="38" t="s">
        <v>164</v>
      </c>
      <c r="S224" s="172">
        <v>1</v>
      </c>
      <c r="T224" s="24"/>
    </row>
    <row r="225" spans="1:20" s="33" customFormat="1" x14ac:dyDescent="0.35">
      <c r="A225" s="11">
        <f t="shared" si="28"/>
        <v>120</v>
      </c>
      <c r="B225" s="11">
        <v>3192</v>
      </c>
      <c r="C225" s="37" t="s">
        <v>391</v>
      </c>
      <c r="D225" s="97">
        <v>1971</v>
      </c>
      <c r="E225" s="96" t="s">
        <v>75</v>
      </c>
      <c r="F225" s="96" t="s">
        <v>163</v>
      </c>
      <c r="G225" s="22">
        <v>6233</v>
      </c>
      <c r="H225" s="22">
        <v>5806.9</v>
      </c>
      <c r="I225" s="26">
        <v>295</v>
      </c>
      <c r="J225" s="22">
        <f>'Форма 2'!I873</f>
        <v>5732656.8600000003</v>
      </c>
      <c r="K225" s="22">
        <v>0</v>
      </c>
      <c r="L225" s="22">
        <v>0</v>
      </c>
      <c r="M225" s="22">
        <v>0</v>
      </c>
      <c r="N225" s="22">
        <f t="shared" si="26"/>
        <v>5548879.5899999999</v>
      </c>
      <c r="O225" s="22">
        <v>183777.27</v>
      </c>
      <c r="P225" s="22">
        <f t="shared" si="27"/>
        <v>987.21</v>
      </c>
      <c r="Q225" s="22">
        <f>'Форма 2'!K873</f>
        <v>2936</v>
      </c>
      <c r="R225" s="38" t="s">
        <v>164</v>
      </c>
      <c r="S225" s="172">
        <v>1</v>
      </c>
      <c r="T225" s="24"/>
    </row>
    <row r="226" spans="1:20" s="33" customFormat="1" x14ac:dyDescent="0.35">
      <c r="A226" s="11">
        <f t="shared" si="28"/>
        <v>121</v>
      </c>
      <c r="B226" s="11">
        <v>4350</v>
      </c>
      <c r="C226" s="37" t="s">
        <v>392</v>
      </c>
      <c r="D226" s="97">
        <v>1963</v>
      </c>
      <c r="E226" s="96" t="s">
        <v>75</v>
      </c>
      <c r="F226" s="96" t="s">
        <v>158</v>
      </c>
      <c r="G226" s="22">
        <v>3804</v>
      </c>
      <c r="H226" s="22">
        <v>3201.6</v>
      </c>
      <c r="I226" s="26">
        <v>134</v>
      </c>
      <c r="J226" s="22">
        <f>'Форма 2'!I876</f>
        <v>6185776.1200000001</v>
      </c>
      <c r="K226" s="22">
        <v>0</v>
      </c>
      <c r="L226" s="22">
        <v>0</v>
      </c>
      <c r="M226" s="22">
        <v>0</v>
      </c>
      <c r="N226" s="22">
        <f t="shared" si="26"/>
        <v>5967631.71</v>
      </c>
      <c r="O226" s="22">
        <v>218144.41</v>
      </c>
      <c r="P226" s="22">
        <f t="shared" si="27"/>
        <v>1932.09</v>
      </c>
      <c r="Q226" s="22">
        <f>'Форма 2'!K876</f>
        <v>2831</v>
      </c>
      <c r="R226" s="38" t="s">
        <v>156</v>
      </c>
      <c r="S226" s="172">
        <v>1</v>
      </c>
      <c r="T226" s="24"/>
    </row>
    <row r="227" spans="1:20" s="33" customFormat="1" x14ac:dyDescent="0.35">
      <c r="A227" s="11">
        <f t="shared" si="28"/>
        <v>122</v>
      </c>
      <c r="B227" s="11">
        <v>3389</v>
      </c>
      <c r="C227" s="37" t="s">
        <v>393</v>
      </c>
      <c r="D227" s="97">
        <v>1945</v>
      </c>
      <c r="E227" s="96" t="s">
        <v>75</v>
      </c>
      <c r="F227" s="96" t="s">
        <v>158</v>
      </c>
      <c r="G227" s="22">
        <v>1837.27</v>
      </c>
      <c r="H227" s="22">
        <v>1631.17</v>
      </c>
      <c r="I227" s="26">
        <v>47</v>
      </c>
      <c r="J227" s="22">
        <f>'Форма 2'!I879</f>
        <v>3682203.18</v>
      </c>
      <c r="K227" s="22">
        <v>0</v>
      </c>
      <c r="L227" s="22">
        <v>0</v>
      </c>
      <c r="M227" s="22">
        <v>0</v>
      </c>
      <c r="N227" s="22">
        <f t="shared" si="26"/>
        <v>3442584.6</v>
      </c>
      <c r="O227" s="22">
        <v>239618.58</v>
      </c>
      <c r="P227" s="22">
        <f t="shared" si="27"/>
        <v>2257.4</v>
      </c>
      <c r="Q227" s="22">
        <f>'Форма 2'!K879</f>
        <v>4728</v>
      </c>
      <c r="R227" s="38" t="s">
        <v>156</v>
      </c>
      <c r="S227" s="172">
        <v>1</v>
      </c>
      <c r="T227" s="24"/>
    </row>
    <row r="228" spans="1:20" s="33" customFormat="1" x14ac:dyDescent="0.35">
      <c r="A228" s="11">
        <f>A227+1</f>
        <v>123</v>
      </c>
      <c r="B228" s="11">
        <v>3147</v>
      </c>
      <c r="C228" s="37" t="s">
        <v>397</v>
      </c>
      <c r="D228" s="97">
        <v>1988</v>
      </c>
      <c r="E228" s="96" t="s">
        <v>185</v>
      </c>
      <c r="F228" s="96" t="s">
        <v>186</v>
      </c>
      <c r="G228" s="22">
        <v>8586</v>
      </c>
      <c r="H228" s="22">
        <v>7160</v>
      </c>
      <c r="I228" s="26">
        <v>347</v>
      </c>
      <c r="J228" s="22">
        <f>'Форма 2'!I882</f>
        <v>6776380.8300000001</v>
      </c>
      <c r="K228" s="22">
        <v>0</v>
      </c>
      <c r="L228" s="22">
        <v>0</v>
      </c>
      <c r="M228" s="22">
        <v>0</v>
      </c>
      <c r="N228" s="22">
        <f t="shared" si="26"/>
        <v>6556332.7300000004</v>
      </c>
      <c r="O228" s="22">
        <v>220048.1</v>
      </c>
      <c r="P228" s="22">
        <f t="shared" si="27"/>
        <v>946.42</v>
      </c>
      <c r="Q228" s="22">
        <f>'Форма 2'!K882</f>
        <v>988.81</v>
      </c>
      <c r="R228" s="38" t="s">
        <v>156</v>
      </c>
      <c r="S228" s="172">
        <v>1</v>
      </c>
      <c r="T228" s="24"/>
    </row>
    <row r="229" spans="1:20" s="33" customFormat="1" x14ac:dyDescent="0.35">
      <c r="A229" s="227" t="s">
        <v>398</v>
      </c>
      <c r="B229" s="227"/>
      <c r="C229" s="227"/>
      <c r="D229" s="97" t="s">
        <v>13</v>
      </c>
      <c r="E229" s="97" t="s">
        <v>13</v>
      </c>
      <c r="F229" s="97" t="s">
        <v>13</v>
      </c>
      <c r="G229" s="22">
        <f>SUM(G230:G262)</f>
        <v>159304.29999999999</v>
      </c>
      <c r="H229" s="22">
        <f t="shared" ref="H229:O229" si="29">SUM(H230:H262)</f>
        <v>135648</v>
      </c>
      <c r="I229" s="26">
        <f t="shared" si="29"/>
        <v>6490</v>
      </c>
      <c r="J229" s="22">
        <f t="shared" si="29"/>
        <v>93050202.370000005</v>
      </c>
      <c r="K229" s="22">
        <f t="shared" si="29"/>
        <v>0</v>
      </c>
      <c r="L229" s="22">
        <f t="shared" si="29"/>
        <v>0</v>
      </c>
      <c r="M229" s="22">
        <f t="shared" si="29"/>
        <v>0</v>
      </c>
      <c r="N229" s="22">
        <f t="shared" si="29"/>
        <v>89982720.200000003</v>
      </c>
      <c r="O229" s="22">
        <f t="shared" si="29"/>
        <v>3067482.17</v>
      </c>
      <c r="P229" s="97" t="s">
        <v>13</v>
      </c>
      <c r="Q229" s="97" t="s">
        <v>13</v>
      </c>
      <c r="R229" s="97" t="s">
        <v>13</v>
      </c>
      <c r="S229" s="97" t="s">
        <v>13</v>
      </c>
      <c r="T229" s="24"/>
    </row>
    <row r="230" spans="1:20" s="33" customFormat="1" x14ac:dyDescent="0.35">
      <c r="A230" s="11">
        <f>A228+1</f>
        <v>124</v>
      </c>
      <c r="B230" s="11">
        <v>2258</v>
      </c>
      <c r="C230" s="37" t="s">
        <v>399</v>
      </c>
      <c r="D230" s="97">
        <v>1968</v>
      </c>
      <c r="E230" s="96" t="s">
        <v>75</v>
      </c>
      <c r="F230" s="96" t="s">
        <v>163</v>
      </c>
      <c r="G230" s="22">
        <v>4958.3</v>
      </c>
      <c r="H230" s="22">
        <v>4516</v>
      </c>
      <c r="I230" s="26">
        <v>193</v>
      </c>
      <c r="J230" s="22">
        <f>'Форма 2'!I895</f>
        <v>3265963.02</v>
      </c>
      <c r="K230" s="22">
        <v>0</v>
      </c>
      <c r="L230" s="22">
        <v>0</v>
      </c>
      <c r="M230" s="22">
        <v>0</v>
      </c>
      <c r="N230" s="22">
        <f t="shared" ref="N230:N262" si="30">J230-K230-L230-M230-O230</f>
        <v>3121033.77</v>
      </c>
      <c r="O230" s="22">
        <v>144929.25</v>
      </c>
      <c r="P230" s="22">
        <f t="shared" ref="P230:P262" si="31">J230/H230</f>
        <v>723.2</v>
      </c>
      <c r="Q230" s="22">
        <f>'Форма 2'!K895</f>
        <v>2936</v>
      </c>
      <c r="R230" s="38" t="s">
        <v>164</v>
      </c>
      <c r="S230" s="172">
        <v>1</v>
      </c>
      <c r="T230" s="24"/>
    </row>
    <row r="231" spans="1:20" s="33" customFormat="1" x14ac:dyDescent="0.35">
      <c r="A231" s="11">
        <f t="shared" ref="A231:A262" si="32">A230+1</f>
        <v>125</v>
      </c>
      <c r="B231" s="11">
        <v>2333</v>
      </c>
      <c r="C231" s="37" t="s">
        <v>400</v>
      </c>
      <c r="D231" s="97">
        <v>1988</v>
      </c>
      <c r="E231" s="96" t="s">
        <v>185</v>
      </c>
      <c r="F231" s="96" t="s">
        <v>186</v>
      </c>
      <c r="G231" s="22">
        <v>5724.4</v>
      </c>
      <c r="H231" s="22">
        <v>4882.3999999999996</v>
      </c>
      <c r="I231" s="26">
        <v>230</v>
      </c>
      <c r="J231" s="22">
        <f>'Форма 2'!I898</f>
        <v>1671941.4</v>
      </c>
      <c r="K231" s="22">
        <v>0</v>
      </c>
      <c r="L231" s="22">
        <v>0</v>
      </c>
      <c r="M231" s="22">
        <v>0</v>
      </c>
      <c r="N231" s="22">
        <f t="shared" si="30"/>
        <v>1616929.38</v>
      </c>
      <c r="O231" s="22">
        <v>55012.02</v>
      </c>
      <c r="P231" s="22">
        <f t="shared" si="31"/>
        <v>342.44</v>
      </c>
      <c r="Q231" s="22">
        <f>'Форма 2'!K898</f>
        <v>362.52</v>
      </c>
      <c r="R231" s="38" t="s">
        <v>156</v>
      </c>
      <c r="S231" s="172">
        <v>1</v>
      </c>
      <c r="T231" s="24"/>
    </row>
    <row r="232" spans="1:20" s="33" customFormat="1" x14ac:dyDescent="0.35">
      <c r="A232" s="11">
        <f t="shared" si="32"/>
        <v>126</v>
      </c>
      <c r="B232" s="11">
        <v>2343</v>
      </c>
      <c r="C232" s="37" t="s">
        <v>401</v>
      </c>
      <c r="D232" s="97">
        <v>1989</v>
      </c>
      <c r="E232" s="96" t="s">
        <v>185</v>
      </c>
      <c r="F232" s="96" t="s">
        <v>186</v>
      </c>
      <c r="G232" s="22">
        <v>9379.9</v>
      </c>
      <c r="H232" s="22">
        <v>8262.9</v>
      </c>
      <c r="I232" s="26">
        <v>362</v>
      </c>
      <c r="J232" s="22">
        <f>'Форма 2'!I902</f>
        <v>3420199.9</v>
      </c>
      <c r="K232" s="22">
        <v>0</v>
      </c>
      <c r="L232" s="22">
        <v>0</v>
      </c>
      <c r="M232" s="22">
        <v>0</v>
      </c>
      <c r="N232" s="22">
        <f t="shared" si="30"/>
        <v>3310175.85</v>
      </c>
      <c r="O232" s="22">
        <v>110024.05</v>
      </c>
      <c r="P232" s="22">
        <f t="shared" si="31"/>
        <v>413.92</v>
      </c>
      <c r="Q232" s="22">
        <f>'Форма 2'!K902</f>
        <v>428.41</v>
      </c>
      <c r="R232" s="38" t="s">
        <v>156</v>
      </c>
      <c r="S232" s="172">
        <v>1</v>
      </c>
      <c r="T232" s="24"/>
    </row>
    <row r="233" spans="1:20" s="33" customFormat="1" x14ac:dyDescent="0.35">
      <c r="A233" s="11">
        <f t="shared" si="32"/>
        <v>127</v>
      </c>
      <c r="B233" s="11">
        <v>2345</v>
      </c>
      <c r="C233" s="37" t="s">
        <v>402</v>
      </c>
      <c r="D233" s="97">
        <v>1966</v>
      </c>
      <c r="E233" s="96" t="s">
        <v>75</v>
      </c>
      <c r="F233" s="96" t="s">
        <v>163</v>
      </c>
      <c r="G233" s="22">
        <v>3070.7</v>
      </c>
      <c r="H233" s="22">
        <v>2866.7</v>
      </c>
      <c r="I233" s="26">
        <v>128</v>
      </c>
      <c r="J233" s="22">
        <f>'Форма 2'!I909</f>
        <v>2887711.15</v>
      </c>
      <c r="K233" s="22">
        <v>0</v>
      </c>
      <c r="L233" s="22">
        <v>0</v>
      </c>
      <c r="M233" s="22">
        <v>0</v>
      </c>
      <c r="N233" s="22">
        <f t="shared" si="30"/>
        <v>2781532.13</v>
      </c>
      <c r="O233" s="22">
        <v>106179.02</v>
      </c>
      <c r="P233" s="22">
        <f t="shared" si="31"/>
        <v>1007.33</v>
      </c>
      <c r="Q233" s="22">
        <f>'Форма 2'!K909</f>
        <v>3523</v>
      </c>
      <c r="R233" s="38" t="s">
        <v>164</v>
      </c>
      <c r="S233" s="172">
        <v>1</v>
      </c>
      <c r="T233" s="24"/>
    </row>
    <row r="234" spans="1:20" s="33" customFormat="1" x14ac:dyDescent="0.35">
      <c r="A234" s="11">
        <f t="shared" si="32"/>
        <v>128</v>
      </c>
      <c r="B234" s="11">
        <v>2213</v>
      </c>
      <c r="C234" s="37" t="s">
        <v>403</v>
      </c>
      <c r="D234" s="97">
        <v>1967</v>
      </c>
      <c r="E234" s="96" t="s">
        <v>75</v>
      </c>
      <c r="F234" s="96" t="s">
        <v>163</v>
      </c>
      <c r="G234" s="22">
        <v>3514</v>
      </c>
      <c r="H234" s="22">
        <v>3314</v>
      </c>
      <c r="I234" s="26">
        <v>120</v>
      </c>
      <c r="J234" s="22">
        <f>'Форма 2'!I912</f>
        <v>3681292.09</v>
      </c>
      <c r="K234" s="22">
        <v>0</v>
      </c>
      <c r="L234" s="22">
        <v>0</v>
      </c>
      <c r="M234" s="22">
        <v>0</v>
      </c>
      <c r="N234" s="22">
        <f t="shared" si="30"/>
        <v>3558545.63</v>
      </c>
      <c r="O234" s="22">
        <v>122746.46</v>
      </c>
      <c r="P234" s="22">
        <f t="shared" si="31"/>
        <v>1110.83</v>
      </c>
      <c r="Q234" s="22">
        <f>'Форма 2'!K912</f>
        <v>3523</v>
      </c>
      <c r="R234" s="38" t="s">
        <v>164</v>
      </c>
      <c r="S234" s="172">
        <v>1</v>
      </c>
      <c r="T234" s="24"/>
    </row>
    <row r="235" spans="1:20" s="33" customFormat="1" x14ac:dyDescent="0.35">
      <c r="A235" s="11">
        <f t="shared" si="32"/>
        <v>129</v>
      </c>
      <c r="B235" s="11">
        <v>2215</v>
      </c>
      <c r="C235" s="37" t="s">
        <v>404</v>
      </c>
      <c r="D235" s="97">
        <v>1967</v>
      </c>
      <c r="E235" s="97" t="s">
        <v>75</v>
      </c>
      <c r="F235" s="97" t="s">
        <v>163</v>
      </c>
      <c r="G235" s="22">
        <v>3903.5</v>
      </c>
      <c r="H235" s="22">
        <v>3550.3</v>
      </c>
      <c r="I235" s="26">
        <v>178</v>
      </c>
      <c r="J235" s="22">
        <f>'Форма 2'!I915</f>
        <v>3415959.86</v>
      </c>
      <c r="K235" s="22">
        <v>0</v>
      </c>
      <c r="L235" s="22">
        <v>0</v>
      </c>
      <c r="M235" s="22">
        <v>0</v>
      </c>
      <c r="N235" s="22">
        <f t="shared" si="30"/>
        <v>3316258.89</v>
      </c>
      <c r="O235" s="22">
        <v>99700.97</v>
      </c>
      <c r="P235" s="22">
        <f t="shared" si="31"/>
        <v>962.16</v>
      </c>
      <c r="Q235" s="22">
        <f>'Форма 2'!K915</f>
        <v>2936</v>
      </c>
      <c r="R235" s="38" t="s">
        <v>164</v>
      </c>
      <c r="S235" s="172">
        <v>1</v>
      </c>
      <c r="T235" s="24"/>
    </row>
    <row r="236" spans="1:20" s="33" customFormat="1" x14ac:dyDescent="0.35">
      <c r="A236" s="11">
        <f t="shared" si="32"/>
        <v>130</v>
      </c>
      <c r="B236" s="11">
        <v>2217</v>
      </c>
      <c r="C236" s="37" t="s">
        <v>405</v>
      </c>
      <c r="D236" s="97">
        <v>1967</v>
      </c>
      <c r="E236" s="97" t="s">
        <v>75</v>
      </c>
      <c r="F236" s="97" t="s">
        <v>163</v>
      </c>
      <c r="G236" s="22">
        <v>3899.4</v>
      </c>
      <c r="H236" s="22">
        <v>3563</v>
      </c>
      <c r="I236" s="26">
        <v>172</v>
      </c>
      <c r="J236" s="22">
        <f>'Форма 2'!I918</f>
        <v>3418118.17</v>
      </c>
      <c r="K236" s="22">
        <v>0</v>
      </c>
      <c r="L236" s="22">
        <v>0</v>
      </c>
      <c r="M236" s="22">
        <v>0</v>
      </c>
      <c r="N236" s="22">
        <f t="shared" si="30"/>
        <v>3317999.45</v>
      </c>
      <c r="O236" s="22">
        <v>100118.72</v>
      </c>
      <c r="P236" s="22">
        <f t="shared" si="31"/>
        <v>959.34</v>
      </c>
      <c r="Q236" s="22">
        <f>'Форма 2'!K918</f>
        <v>2936</v>
      </c>
      <c r="R236" s="38" t="s">
        <v>164</v>
      </c>
      <c r="S236" s="172">
        <v>1</v>
      </c>
      <c r="T236" s="24"/>
    </row>
    <row r="237" spans="1:20" s="33" customFormat="1" x14ac:dyDescent="0.35">
      <c r="A237" s="11">
        <f t="shared" si="32"/>
        <v>131</v>
      </c>
      <c r="B237" s="11">
        <v>2479</v>
      </c>
      <c r="C237" s="37" t="s">
        <v>406</v>
      </c>
      <c r="D237" s="97">
        <v>1962</v>
      </c>
      <c r="E237" s="96" t="s">
        <v>407</v>
      </c>
      <c r="F237" s="96" t="s">
        <v>158</v>
      </c>
      <c r="G237" s="22">
        <v>2781.13</v>
      </c>
      <c r="H237" s="22">
        <v>2528.3000000000002</v>
      </c>
      <c r="I237" s="26">
        <v>117</v>
      </c>
      <c r="J237" s="22">
        <f>'Форма 2'!I921</f>
        <v>1026256.84</v>
      </c>
      <c r="K237" s="22">
        <v>0</v>
      </c>
      <c r="L237" s="22">
        <v>0</v>
      </c>
      <c r="M237" s="22">
        <v>0</v>
      </c>
      <c r="N237" s="22">
        <f t="shared" si="30"/>
        <v>994367.5</v>
      </c>
      <c r="O237" s="22">
        <v>31889.34</v>
      </c>
      <c r="P237" s="22">
        <f t="shared" si="31"/>
        <v>405.91</v>
      </c>
      <c r="Q237" s="22">
        <f>'Форма 2'!K921</f>
        <v>891</v>
      </c>
      <c r="R237" s="38" t="s">
        <v>156</v>
      </c>
      <c r="S237" s="172">
        <v>1</v>
      </c>
      <c r="T237" s="24"/>
    </row>
    <row r="238" spans="1:20" s="33" customFormat="1" x14ac:dyDescent="0.35">
      <c r="A238" s="11">
        <f t="shared" si="32"/>
        <v>132</v>
      </c>
      <c r="B238" s="11">
        <v>2222</v>
      </c>
      <c r="C238" s="37" t="s">
        <v>408</v>
      </c>
      <c r="D238" s="97">
        <v>1974</v>
      </c>
      <c r="E238" s="96" t="s">
        <v>75</v>
      </c>
      <c r="F238" s="96" t="s">
        <v>163</v>
      </c>
      <c r="G238" s="22">
        <v>6206.42</v>
      </c>
      <c r="H238" s="22">
        <v>5780.42</v>
      </c>
      <c r="I238" s="26">
        <v>271</v>
      </c>
      <c r="J238" s="22">
        <f>'Форма 2'!I926</f>
        <v>6625388.1399999997</v>
      </c>
      <c r="K238" s="22">
        <v>0</v>
      </c>
      <c r="L238" s="22">
        <v>0</v>
      </c>
      <c r="M238" s="22">
        <v>0</v>
      </c>
      <c r="N238" s="22">
        <f t="shared" si="30"/>
        <v>6411288.5300000003</v>
      </c>
      <c r="O238" s="22">
        <v>214099.61</v>
      </c>
      <c r="P238" s="22">
        <f t="shared" si="31"/>
        <v>1146.18</v>
      </c>
      <c r="Q238" s="22">
        <f>'Форма 2'!K926</f>
        <v>3523</v>
      </c>
      <c r="R238" s="38" t="s">
        <v>164</v>
      </c>
      <c r="S238" s="172">
        <v>1</v>
      </c>
      <c r="T238" s="24"/>
    </row>
    <row r="239" spans="1:20" s="33" customFormat="1" x14ac:dyDescent="0.35">
      <c r="A239" s="11">
        <f t="shared" si="32"/>
        <v>133</v>
      </c>
      <c r="B239" s="11">
        <v>2223</v>
      </c>
      <c r="C239" s="37" t="s">
        <v>409</v>
      </c>
      <c r="D239" s="97">
        <v>1971</v>
      </c>
      <c r="E239" s="96" t="s">
        <v>75</v>
      </c>
      <c r="F239" s="96" t="s">
        <v>163</v>
      </c>
      <c r="G239" s="22">
        <v>4950.6000000000004</v>
      </c>
      <c r="H239" s="22">
        <v>4630</v>
      </c>
      <c r="I239" s="26">
        <v>232</v>
      </c>
      <c r="J239" s="22">
        <f>'Форма 2'!I929</f>
        <v>4169451.01</v>
      </c>
      <c r="K239" s="22">
        <v>0</v>
      </c>
      <c r="L239" s="22">
        <v>0</v>
      </c>
      <c r="M239" s="22">
        <v>0</v>
      </c>
      <c r="N239" s="22">
        <f t="shared" si="30"/>
        <v>4022920.37</v>
      </c>
      <c r="O239" s="22">
        <v>146530.64000000001</v>
      </c>
      <c r="P239" s="22">
        <f t="shared" si="31"/>
        <v>900.53</v>
      </c>
      <c r="Q239" s="22">
        <f>'Форма 2'!K929</f>
        <v>2936</v>
      </c>
      <c r="R239" s="38" t="s">
        <v>164</v>
      </c>
      <c r="S239" s="172">
        <v>1</v>
      </c>
      <c r="T239" s="24"/>
    </row>
    <row r="240" spans="1:20" s="33" customFormat="1" x14ac:dyDescent="0.35">
      <c r="A240" s="11">
        <f t="shared" si="32"/>
        <v>134</v>
      </c>
      <c r="B240" s="11">
        <v>2103</v>
      </c>
      <c r="C240" s="37" t="s">
        <v>410</v>
      </c>
      <c r="D240" s="97">
        <v>1967</v>
      </c>
      <c r="E240" s="97" t="s">
        <v>75</v>
      </c>
      <c r="F240" s="97" t="s">
        <v>163</v>
      </c>
      <c r="G240" s="22">
        <f>3273.5+249.6</f>
        <v>3523.1</v>
      </c>
      <c r="H240" s="22">
        <v>3273.5</v>
      </c>
      <c r="I240" s="26">
        <v>137</v>
      </c>
      <c r="J240" s="22">
        <f>'Форма 2'!I932</f>
        <v>3159344.49</v>
      </c>
      <c r="K240" s="22">
        <v>0</v>
      </c>
      <c r="L240" s="22">
        <v>0</v>
      </c>
      <c r="M240" s="22">
        <v>0</v>
      </c>
      <c r="N240" s="22">
        <f t="shared" si="30"/>
        <v>3077840.69</v>
      </c>
      <c r="O240" s="22">
        <v>81503.8</v>
      </c>
      <c r="P240" s="22">
        <f t="shared" si="31"/>
        <v>965.13</v>
      </c>
      <c r="Q240" s="22">
        <f>'Форма 2'!K932</f>
        <v>3523</v>
      </c>
      <c r="R240" s="38" t="s">
        <v>164</v>
      </c>
      <c r="S240" s="172">
        <v>1</v>
      </c>
      <c r="T240" s="24"/>
    </row>
    <row r="241" spans="1:20" s="33" customFormat="1" x14ac:dyDescent="0.35">
      <c r="A241" s="11">
        <f t="shared" si="32"/>
        <v>135</v>
      </c>
      <c r="B241" s="11">
        <v>2367</v>
      </c>
      <c r="C241" s="37" t="s">
        <v>411</v>
      </c>
      <c r="D241" s="97">
        <v>1971</v>
      </c>
      <c r="E241" s="96" t="s">
        <v>293</v>
      </c>
      <c r="F241" s="96" t="s">
        <v>158</v>
      </c>
      <c r="G241" s="22">
        <v>2670.7</v>
      </c>
      <c r="H241" s="22">
        <v>1819.1</v>
      </c>
      <c r="I241" s="26">
        <v>145</v>
      </c>
      <c r="J241" s="22">
        <f>'Форма 2'!I935</f>
        <v>468192.44</v>
      </c>
      <c r="K241" s="22">
        <v>0</v>
      </c>
      <c r="L241" s="22">
        <v>0</v>
      </c>
      <c r="M241" s="22">
        <v>0</v>
      </c>
      <c r="N241" s="22">
        <f t="shared" si="30"/>
        <v>463049.14</v>
      </c>
      <c r="O241" s="22">
        <v>5143.3</v>
      </c>
      <c r="P241" s="22">
        <f t="shared" si="31"/>
        <v>257.38</v>
      </c>
      <c r="Q241" s="22">
        <f>'Форма 2'!K935</f>
        <v>277</v>
      </c>
      <c r="R241" s="38" t="s">
        <v>156</v>
      </c>
      <c r="S241" s="172">
        <v>1</v>
      </c>
      <c r="T241" s="24"/>
    </row>
    <row r="242" spans="1:20" s="33" customFormat="1" x14ac:dyDescent="0.35">
      <c r="A242" s="11">
        <f t="shared" si="32"/>
        <v>136</v>
      </c>
      <c r="B242" s="11">
        <v>2368</v>
      </c>
      <c r="C242" s="37" t="s">
        <v>412</v>
      </c>
      <c r="D242" s="97">
        <v>1975</v>
      </c>
      <c r="E242" s="97" t="s">
        <v>75</v>
      </c>
      <c r="F242" s="97" t="s">
        <v>163</v>
      </c>
      <c r="G242" s="22">
        <f>4326+870.7+(82.8)*5</f>
        <v>5610.7</v>
      </c>
      <c r="H242" s="22">
        <v>4326</v>
      </c>
      <c r="I242" s="26">
        <v>211</v>
      </c>
      <c r="J242" s="22">
        <f>'Форма 2'!I938</f>
        <v>4603652.2300000004</v>
      </c>
      <c r="K242" s="22">
        <v>0</v>
      </c>
      <c r="L242" s="22">
        <v>0</v>
      </c>
      <c r="M242" s="22">
        <v>0</v>
      </c>
      <c r="N242" s="22">
        <f t="shared" si="30"/>
        <v>4493143.38</v>
      </c>
      <c r="O242" s="22">
        <v>110508.85</v>
      </c>
      <c r="P242" s="22">
        <f t="shared" si="31"/>
        <v>1064.18</v>
      </c>
      <c r="Q242" s="22">
        <f>'Форма 2'!K938</f>
        <v>3523</v>
      </c>
      <c r="R242" s="38" t="s">
        <v>164</v>
      </c>
      <c r="S242" s="172">
        <v>1</v>
      </c>
      <c r="T242" s="24"/>
    </row>
    <row r="243" spans="1:20" s="33" customFormat="1" x14ac:dyDescent="0.35">
      <c r="A243" s="11">
        <f t="shared" si="32"/>
        <v>137</v>
      </c>
      <c r="B243" s="11">
        <v>2486</v>
      </c>
      <c r="C243" s="37" t="s">
        <v>413</v>
      </c>
      <c r="D243" s="97">
        <v>1961</v>
      </c>
      <c r="E243" s="96" t="s">
        <v>243</v>
      </c>
      <c r="F243" s="96" t="s">
        <v>158</v>
      </c>
      <c r="G243" s="22">
        <v>1423.59</v>
      </c>
      <c r="H243" s="22">
        <v>1314</v>
      </c>
      <c r="I243" s="26">
        <v>46</v>
      </c>
      <c r="J243" s="22">
        <f>'Форма 2'!I941</f>
        <v>457100.01</v>
      </c>
      <c r="K243" s="22">
        <v>0</v>
      </c>
      <c r="L243" s="22">
        <v>0</v>
      </c>
      <c r="M243" s="22">
        <v>0</v>
      </c>
      <c r="N243" s="22">
        <f t="shared" si="30"/>
        <v>441552.03</v>
      </c>
      <c r="O243" s="22">
        <v>15547.98</v>
      </c>
      <c r="P243" s="22">
        <f t="shared" si="31"/>
        <v>347.87</v>
      </c>
      <c r="Q243" s="22">
        <f>'Форма 2'!K941</f>
        <v>596</v>
      </c>
      <c r="R243" s="38" t="s">
        <v>156</v>
      </c>
      <c r="S243" s="172">
        <v>1</v>
      </c>
      <c r="T243" s="24"/>
    </row>
    <row r="244" spans="1:20" s="184" customFormat="1" x14ac:dyDescent="0.35">
      <c r="A244" s="124">
        <f t="shared" si="32"/>
        <v>138</v>
      </c>
      <c r="B244" s="124">
        <v>2236</v>
      </c>
      <c r="C244" s="37" t="s">
        <v>414</v>
      </c>
      <c r="D244" s="96">
        <v>1992</v>
      </c>
      <c r="E244" s="96" t="s">
        <v>239</v>
      </c>
      <c r="F244" s="96" t="s">
        <v>155</v>
      </c>
      <c r="G244" s="86">
        <v>1955.2</v>
      </c>
      <c r="H244" s="86">
        <v>1767.2</v>
      </c>
      <c r="I244" s="99">
        <v>90</v>
      </c>
      <c r="J244" s="86">
        <f>'Форма 2'!I944</f>
        <v>206762.4</v>
      </c>
      <c r="K244" s="86">
        <v>0</v>
      </c>
      <c r="L244" s="86">
        <v>0</v>
      </c>
      <c r="M244" s="86">
        <v>0</v>
      </c>
      <c r="N244" s="86">
        <f t="shared" si="30"/>
        <v>202699.27</v>
      </c>
      <c r="O244" s="86">
        <v>4063.13</v>
      </c>
      <c r="P244" s="86">
        <f t="shared" si="31"/>
        <v>117</v>
      </c>
      <c r="Q244" s="86">
        <f>'Форма 2'!K944</f>
        <v>117</v>
      </c>
      <c r="R244" s="182" t="s">
        <v>156</v>
      </c>
      <c r="S244" s="183">
        <v>1</v>
      </c>
      <c r="T244" s="24"/>
    </row>
    <row r="245" spans="1:20" s="33" customFormat="1" x14ac:dyDescent="0.35">
      <c r="A245" s="11">
        <f t="shared" si="32"/>
        <v>139</v>
      </c>
      <c r="B245" s="11">
        <v>2488</v>
      </c>
      <c r="C245" s="37" t="s">
        <v>415</v>
      </c>
      <c r="D245" s="97">
        <v>1990</v>
      </c>
      <c r="E245" s="96" t="s">
        <v>185</v>
      </c>
      <c r="F245" s="96" t="s">
        <v>186</v>
      </c>
      <c r="G245" s="22">
        <v>5457.63</v>
      </c>
      <c r="H245" s="22">
        <v>5037.5</v>
      </c>
      <c r="I245" s="26">
        <v>229</v>
      </c>
      <c r="J245" s="22">
        <f>'Форма 2'!I946</f>
        <v>3454215</v>
      </c>
      <c r="K245" s="22">
        <v>0</v>
      </c>
      <c r="L245" s="22">
        <v>0</v>
      </c>
      <c r="M245" s="22">
        <v>0</v>
      </c>
      <c r="N245" s="22">
        <f t="shared" si="30"/>
        <v>3344190.95</v>
      </c>
      <c r="O245" s="22">
        <v>110024.05</v>
      </c>
      <c r="P245" s="22">
        <f t="shared" si="31"/>
        <v>685.7</v>
      </c>
      <c r="Q245" s="22">
        <f>'Форма 2'!K946</f>
        <v>702.72</v>
      </c>
      <c r="R245" s="38" t="s">
        <v>156</v>
      </c>
      <c r="S245" s="172">
        <v>1</v>
      </c>
      <c r="T245" s="24"/>
    </row>
    <row r="246" spans="1:20" s="33" customFormat="1" x14ac:dyDescent="0.35">
      <c r="A246" s="11">
        <f t="shared" si="32"/>
        <v>140</v>
      </c>
      <c r="B246" s="11">
        <v>2138</v>
      </c>
      <c r="C246" s="37" t="s">
        <v>416</v>
      </c>
      <c r="D246" s="97">
        <v>1989</v>
      </c>
      <c r="E246" s="96" t="s">
        <v>185</v>
      </c>
      <c r="F246" s="96" t="s">
        <v>186</v>
      </c>
      <c r="G246" s="22">
        <v>6360.61</v>
      </c>
      <c r="H246" s="22">
        <v>6167</v>
      </c>
      <c r="I246" s="26">
        <v>105</v>
      </c>
      <c r="J246" s="22">
        <f>'Форма 2'!I953</f>
        <v>6849690</v>
      </c>
      <c r="K246" s="22">
        <v>0</v>
      </c>
      <c r="L246" s="22">
        <v>0</v>
      </c>
      <c r="M246" s="22">
        <v>0</v>
      </c>
      <c r="N246" s="22">
        <f t="shared" si="30"/>
        <v>6629641.9000000004</v>
      </c>
      <c r="O246" s="22">
        <v>220048.1</v>
      </c>
      <c r="P246" s="22">
        <f t="shared" si="31"/>
        <v>1110.7</v>
      </c>
      <c r="Q246" s="22">
        <f>'Форма 2'!K953</f>
        <v>1148.03</v>
      </c>
      <c r="R246" s="38" t="s">
        <v>156</v>
      </c>
      <c r="S246" s="172">
        <v>1</v>
      </c>
      <c r="T246" s="24"/>
    </row>
    <row r="247" spans="1:20" s="33" customFormat="1" x14ac:dyDescent="0.35">
      <c r="A247" s="11">
        <f t="shared" si="32"/>
        <v>141</v>
      </c>
      <c r="B247" s="11">
        <v>8060</v>
      </c>
      <c r="C247" s="37" t="s">
        <v>417</v>
      </c>
      <c r="D247" s="97">
        <v>1987</v>
      </c>
      <c r="E247" s="96" t="s">
        <v>185</v>
      </c>
      <c r="F247" s="96" t="s">
        <v>186</v>
      </c>
      <c r="G247" s="22">
        <v>3304.81</v>
      </c>
      <c r="H247" s="22">
        <v>3009.11</v>
      </c>
      <c r="I247" s="26">
        <v>210</v>
      </c>
      <c r="J247" s="22">
        <f>'Форма 2'!I966</f>
        <v>1718556.24</v>
      </c>
      <c r="K247" s="22">
        <v>0</v>
      </c>
      <c r="L247" s="22">
        <v>0</v>
      </c>
      <c r="M247" s="22">
        <v>0</v>
      </c>
      <c r="N247" s="22">
        <f t="shared" si="30"/>
        <v>1663544.22</v>
      </c>
      <c r="O247" s="22">
        <v>55012.02</v>
      </c>
      <c r="P247" s="22">
        <f t="shared" si="31"/>
        <v>571.12</v>
      </c>
      <c r="Q247" s="22">
        <f>'Форма 2'!K966</f>
        <v>588.20000000000005</v>
      </c>
      <c r="R247" s="38" t="s">
        <v>156</v>
      </c>
      <c r="S247" s="172">
        <v>1</v>
      </c>
      <c r="T247" s="24"/>
    </row>
    <row r="248" spans="1:20" s="184" customFormat="1" ht="31" x14ac:dyDescent="0.35">
      <c r="A248" s="124">
        <f t="shared" si="32"/>
        <v>142</v>
      </c>
      <c r="B248" s="124">
        <v>2654</v>
      </c>
      <c r="C248" s="37" t="s">
        <v>418</v>
      </c>
      <c r="D248" s="96">
        <v>1900</v>
      </c>
      <c r="E248" s="96" t="s">
        <v>419</v>
      </c>
      <c r="F248" s="96" t="s">
        <v>158</v>
      </c>
      <c r="G248" s="86">
        <v>659.7</v>
      </c>
      <c r="H248" s="86">
        <v>619.4</v>
      </c>
      <c r="I248" s="99">
        <v>20</v>
      </c>
      <c r="J248" s="86">
        <f>'Форма 2'!I970</f>
        <v>2213895.79</v>
      </c>
      <c r="K248" s="86">
        <v>0</v>
      </c>
      <c r="L248" s="86">
        <v>0</v>
      </c>
      <c r="M248" s="86">
        <v>0</v>
      </c>
      <c r="N248" s="86">
        <f t="shared" si="30"/>
        <v>2115939.4</v>
      </c>
      <c r="O248" s="86">
        <v>97956.39</v>
      </c>
      <c r="P248" s="86">
        <f t="shared" si="31"/>
        <v>3574.26</v>
      </c>
      <c r="Q248" s="86">
        <f>'Форма 2'!K970</f>
        <v>7245</v>
      </c>
      <c r="R248" s="182" t="s">
        <v>156</v>
      </c>
      <c r="S248" s="183">
        <v>1</v>
      </c>
      <c r="T248" s="24"/>
    </row>
    <row r="249" spans="1:20" s="33" customFormat="1" ht="31" x14ac:dyDescent="0.35">
      <c r="A249" s="11">
        <f t="shared" si="32"/>
        <v>143</v>
      </c>
      <c r="B249" s="11">
        <v>2247</v>
      </c>
      <c r="C249" s="37" t="s">
        <v>420</v>
      </c>
      <c r="D249" s="96" t="s">
        <v>421</v>
      </c>
      <c r="E249" s="96" t="s">
        <v>185</v>
      </c>
      <c r="F249" s="96" t="s">
        <v>186</v>
      </c>
      <c r="G249" s="22">
        <v>10762.5</v>
      </c>
      <c r="H249" s="22">
        <v>8946.5</v>
      </c>
      <c r="I249" s="26">
        <v>356</v>
      </c>
      <c r="J249" s="22">
        <f>'Форма 2'!I979</f>
        <v>2635380.86</v>
      </c>
      <c r="K249" s="22">
        <v>0</v>
      </c>
      <c r="L249" s="22">
        <v>0</v>
      </c>
      <c r="M249" s="22">
        <v>0</v>
      </c>
      <c r="N249" s="22">
        <f t="shared" si="30"/>
        <v>2525356.81</v>
      </c>
      <c r="O249" s="22">
        <v>110024.05</v>
      </c>
      <c r="P249" s="22">
        <f t="shared" si="31"/>
        <v>294.57</v>
      </c>
      <c r="Q249" s="22">
        <f>'Форма 2'!K979</f>
        <v>395.68</v>
      </c>
      <c r="R249" s="38" t="s">
        <v>156</v>
      </c>
      <c r="S249" s="172">
        <v>1</v>
      </c>
      <c r="T249" s="24"/>
    </row>
    <row r="250" spans="1:20" s="33" customFormat="1" x14ac:dyDescent="0.35">
      <c r="A250" s="11">
        <f t="shared" si="32"/>
        <v>144</v>
      </c>
      <c r="B250" s="11">
        <v>2733</v>
      </c>
      <c r="C250" s="37" t="s">
        <v>422</v>
      </c>
      <c r="D250" s="97">
        <v>1910</v>
      </c>
      <c r="E250" s="96" t="s">
        <v>75</v>
      </c>
      <c r="F250" s="96" t="s">
        <v>155</v>
      </c>
      <c r="G250" s="22">
        <v>906.2</v>
      </c>
      <c r="H250" s="22">
        <v>822.4</v>
      </c>
      <c r="I250" s="26">
        <v>55</v>
      </c>
      <c r="J250" s="22">
        <f>'Форма 2'!I986</f>
        <v>914508.80000000005</v>
      </c>
      <c r="K250" s="22">
        <v>0</v>
      </c>
      <c r="L250" s="22">
        <v>0</v>
      </c>
      <c r="M250" s="22">
        <v>0</v>
      </c>
      <c r="N250" s="22">
        <f t="shared" si="30"/>
        <v>872329.92</v>
      </c>
      <c r="O250" s="22">
        <v>42178.879999999997</v>
      </c>
      <c r="P250" s="22">
        <f t="shared" si="31"/>
        <v>1112</v>
      </c>
      <c r="Q250" s="22">
        <f>'Форма 2'!K986</f>
        <v>1112</v>
      </c>
      <c r="R250" s="38" t="s">
        <v>156</v>
      </c>
      <c r="S250" s="172">
        <v>1</v>
      </c>
      <c r="T250" s="24"/>
    </row>
    <row r="251" spans="1:20" s="33" customFormat="1" x14ac:dyDescent="0.35">
      <c r="A251" s="11">
        <f t="shared" si="32"/>
        <v>145</v>
      </c>
      <c r="B251" s="11">
        <v>2268</v>
      </c>
      <c r="C251" s="37" t="s">
        <v>423</v>
      </c>
      <c r="D251" s="97">
        <v>1967</v>
      </c>
      <c r="E251" s="96" t="s">
        <v>75</v>
      </c>
      <c r="F251" s="96" t="s">
        <v>163</v>
      </c>
      <c r="G251" s="22">
        <v>3783.2</v>
      </c>
      <c r="H251" s="22">
        <v>3547.2</v>
      </c>
      <c r="I251" s="26">
        <v>180</v>
      </c>
      <c r="J251" s="22">
        <f>'Форма 2'!I989</f>
        <v>3632456.97</v>
      </c>
      <c r="K251" s="22">
        <v>0</v>
      </c>
      <c r="L251" s="22">
        <v>0</v>
      </c>
      <c r="M251" s="22">
        <v>0</v>
      </c>
      <c r="N251" s="22">
        <f t="shared" si="30"/>
        <v>3501073.07</v>
      </c>
      <c r="O251" s="22">
        <v>131383.9</v>
      </c>
      <c r="P251" s="22">
        <f t="shared" si="31"/>
        <v>1024.04</v>
      </c>
      <c r="Q251" s="22">
        <f>'Форма 2'!K989</f>
        <v>3523</v>
      </c>
      <c r="R251" s="38" t="s">
        <v>164</v>
      </c>
      <c r="S251" s="172">
        <v>1</v>
      </c>
      <c r="T251" s="24"/>
    </row>
    <row r="252" spans="1:20" s="33" customFormat="1" x14ac:dyDescent="0.35">
      <c r="A252" s="11">
        <f t="shared" si="32"/>
        <v>146</v>
      </c>
      <c r="B252" s="11">
        <v>2269</v>
      </c>
      <c r="C252" s="37" t="s">
        <v>424</v>
      </c>
      <c r="D252" s="97">
        <v>1969</v>
      </c>
      <c r="E252" s="96" t="s">
        <v>75</v>
      </c>
      <c r="F252" s="96" t="s">
        <v>163</v>
      </c>
      <c r="G252" s="22">
        <v>3904.87</v>
      </c>
      <c r="H252" s="22">
        <v>3668.87</v>
      </c>
      <c r="I252" s="26">
        <v>164</v>
      </c>
      <c r="J252" s="22">
        <f>'Форма 2'!I992</f>
        <v>2503295.39</v>
      </c>
      <c r="K252" s="22">
        <v>0</v>
      </c>
      <c r="L252" s="22">
        <v>0</v>
      </c>
      <c r="M252" s="22">
        <v>0</v>
      </c>
      <c r="N252" s="22">
        <f t="shared" si="30"/>
        <v>2367404.98</v>
      </c>
      <c r="O252" s="22">
        <v>135890.41</v>
      </c>
      <c r="P252" s="22">
        <f t="shared" si="31"/>
        <v>682.31</v>
      </c>
      <c r="Q252" s="22">
        <f>'Форма 2'!K992</f>
        <v>2936</v>
      </c>
      <c r="R252" s="38" t="s">
        <v>164</v>
      </c>
      <c r="S252" s="172">
        <v>1</v>
      </c>
      <c r="T252" s="24"/>
    </row>
    <row r="253" spans="1:20" s="33" customFormat="1" x14ac:dyDescent="0.35">
      <c r="A253" s="11">
        <f>A252+1</f>
        <v>147</v>
      </c>
      <c r="B253" s="11">
        <v>2285</v>
      </c>
      <c r="C253" s="37" t="s">
        <v>426</v>
      </c>
      <c r="D253" s="97">
        <v>1990</v>
      </c>
      <c r="E253" s="96" t="s">
        <v>185</v>
      </c>
      <c r="F253" s="96" t="s">
        <v>186</v>
      </c>
      <c r="G253" s="22">
        <v>22289.7</v>
      </c>
      <c r="H253" s="22">
        <v>18629</v>
      </c>
      <c r="I253" s="26">
        <v>866</v>
      </c>
      <c r="J253" s="22">
        <f>'Форма 2'!I995</f>
        <v>6864616.1299999999</v>
      </c>
      <c r="K253" s="22">
        <v>0</v>
      </c>
      <c r="L253" s="22">
        <v>0</v>
      </c>
      <c r="M253" s="22">
        <v>0</v>
      </c>
      <c r="N253" s="22">
        <f t="shared" si="30"/>
        <v>6644568.0300000003</v>
      </c>
      <c r="O253" s="22">
        <v>220048.1</v>
      </c>
      <c r="P253" s="22">
        <f t="shared" si="31"/>
        <v>368.49</v>
      </c>
      <c r="Q253" s="22">
        <f>'Форма 2'!K995</f>
        <v>380.05</v>
      </c>
      <c r="R253" s="38" t="s">
        <v>156</v>
      </c>
      <c r="S253" s="172">
        <v>1</v>
      </c>
      <c r="T253" s="24"/>
    </row>
    <row r="254" spans="1:20" s="33" customFormat="1" x14ac:dyDescent="0.35">
      <c r="A254" s="11">
        <f t="shared" si="32"/>
        <v>148</v>
      </c>
      <c r="B254" s="11">
        <v>2449</v>
      </c>
      <c r="C254" s="37" t="s">
        <v>427</v>
      </c>
      <c r="D254" s="97">
        <v>1972</v>
      </c>
      <c r="E254" s="96" t="s">
        <v>75</v>
      </c>
      <c r="F254" s="96" t="s">
        <v>163</v>
      </c>
      <c r="G254" s="22">
        <v>3264.3</v>
      </c>
      <c r="H254" s="22">
        <v>2723.4</v>
      </c>
      <c r="I254" s="26">
        <v>145</v>
      </c>
      <c r="J254" s="22">
        <f>'Форма 2'!I1008</f>
        <v>2467782</v>
      </c>
      <c r="K254" s="22">
        <v>0</v>
      </c>
      <c r="L254" s="22">
        <v>0</v>
      </c>
      <c r="M254" s="22">
        <v>0</v>
      </c>
      <c r="N254" s="22">
        <f t="shared" si="30"/>
        <v>2381591.6</v>
      </c>
      <c r="O254" s="22">
        <v>86190.399999999994</v>
      </c>
      <c r="P254" s="22">
        <f t="shared" si="31"/>
        <v>906.14</v>
      </c>
      <c r="Q254" s="22">
        <f>'Форма 2'!K1008</f>
        <v>2936</v>
      </c>
      <c r="R254" s="38" t="s">
        <v>164</v>
      </c>
      <c r="S254" s="172">
        <v>1</v>
      </c>
      <c r="T254" s="24"/>
    </row>
    <row r="255" spans="1:20" s="33" customFormat="1" x14ac:dyDescent="0.35">
      <c r="A255" s="11">
        <f t="shared" si="32"/>
        <v>149</v>
      </c>
      <c r="B255" s="11">
        <v>2307</v>
      </c>
      <c r="C255" s="37" t="s">
        <v>428</v>
      </c>
      <c r="D255" s="97">
        <v>1973</v>
      </c>
      <c r="E255" s="96" t="s">
        <v>75</v>
      </c>
      <c r="F255" s="96" t="s">
        <v>163</v>
      </c>
      <c r="G255" s="22">
        <v>3135.2</v>
      </c>
      <c r="H255" s="22">
        <v>2904.2</v>
      </c>
      <c r="I255" s="26">
        <v>132</v>
      </c>
      <c r="J255" s="22">
        <f>'Форма 2'!I1011</f>
        <v>2871601.81</v>
      </c>
      <c r="K255" s="22">
        <v>0</v>
      </c>
      <c r="L255" s="22">
        <v>0</v>
      </c>
      <c r="M255" s="22">
        <v>0</v>
      </c>
      <c r="N255" s="22">
        <f t="shared" si="30"/>
        <v>2779689.44</v>
      </c>
      <c r="O255" s="22">
        <v>91912.37</v>
      </c>
      <c r="P255" s="22">
        <f t="shared" si="31"/>
        <v>988.78</v>
      </c>
      <c r="Q255" s="22">
        <f>'Форма 2'!K1011</f>
        <v>2936</v>
      </c>
      <c r="R255" s="38" t="s">
        <v>164</v>
      </c>
      <c r="S255" s="172">
        <v>1</v>
      </c>
      <c r="T255" s="24"/>
    </row>
    <row r="256" spans="1:20" s="33" customFormat="1" x14ac:dyDescent="0.35">
      <c r="A256" s="11">
        <f t="shared" si="32"/>
        <v>150</v>
      </c>
      <c r="B256" s="11">
        <v>2387</v>
      </c>
      <c r="C256" s="37" t="s">
        <v>429</v>
      </c>
      <c r="D256" s="97">
        <v>1989</v>
      </c>
      <c r="E256" s="96" t="s">
        <v>185</v>
      </c>
      <c r="F256" s="96" t="s">
        <v>186</v>
      </c>
      <c r="G256" s="22">
        <v>13798.7</v>
      </c>
      <c r="H256" s="22">
        <v>7583.4</v>
      </c>
      <c r="I256" s="26">
        <v>618</v>
      </c>
      <c r="J256" s="22">
        <f>'Форма 2'!I1014</f>
        <v>5175909.93</v>
      </c>
      <c r="K256" s="22">
        <v>0</v>
      </c>
      <c r="L256" s="22">
        <v>0</v>
      </c>
      <c r="M256" s="22">
        <v>0</v>
      </c>
      <c r="N256" s="22">
        <f t="shared" si="30"/>
        <v>5010873.8600000003</v>
      </c>
      <c r="O256" s="22">
        <v>165036.07</v>
      </c>
      <c r="P256" s="22">
        <f t="shared" si="31"/>
        <v>682.53</v>
      </c>
      <c r="Q256" s="22">
        <f>'Форма 2'!K1014</f>
        <v>700.2</v>
      </c>
      <c r="R256" s="38" t="s">
        <v>156</v>
      </c>
      <c r="S256" s="172">
        <v>1</v>
      </c>
      <c r="T256" s="24"/>
    </row>
    <row r="257" spans="1:20" s="33" customFormat="1" x14ac:dyDescent="0.35">
      <c r="A257" s="11">
        <f t="shared" si="32"/>
        <v>151</v>
      </c>
      <c r="B257" s="11">
        <v>2880</v>
      </c>
      <c r="C257" s="37" t="s">
        <v>430</v>
      </c>
      <c r="D257" s="97">
        <v>1917</v>
      </c>
      <c r="E257" s="96" t="s">
        <v>75</v>
      </c>
      <c r="F257" s="96" t="s">
        <v>163</v>
      </c>
      <c r="G257" s="22">
        <v>245.6</v>
      </c>
      <c r="H257" s="22">
        <v>222.1</v>
      </c>
      <c r="I257" s="26">
        <v>18</v>
      </c>
      <c r="J257" s="22">
        <f>'Форма 2'!I1024</f>
        <v>500480.14</v>
      </c>
      <c r="K257" s="22">
        <v>0</v>
      </c>
      <c r="L257" s="22">
        <v>0</v>
      </c>
      <c r="M257" s="22">
        <v>0</v>
      </c>
      <c r="N257" s="22">
        <f t="shared" si="30"/>
        <v>484405.68</v>
      </c>
      <c r="O257" s="22">
        <v>16074.46</v>
      </c>
      <c r="P257" s="22">
        <f t="shared" si="31"/>
        <v>2253.4</v>
      </c>
      <c r="Q257" s="22">
        <f>'Форма 2'!K1024</f>
        <v>7096</v>
      </c>
      <c r="R257" s="38" t="s">
        <v>164</v>
      </c>
      <c r="S257" s="172">
        <v>1</v>
      </c>
      <c r="T257" s="24"/>
    </row>
    <row r="258" spans="1:20" s="33" customFormat="1" x14ac:dyDescent="0.35">
      <c r="A258" s="11">
        <f t="shared" si="32"/>
        <v>152</v>
      </c>
      <c r="B258" s="11">
        <v>2911</v>
      </c>
      <c r="C258" s="37" t="s">
        <v>431</v>
      </c>
      <c r="D258" s="97">
        <v>1900</v>
      </c>
      <c r="E258" s="96" t="s">
        <v>75</v>
      </c>
      <c r="F258" s="96" t="s">
        <v>155</v>
      </c>
      <c r="G258" s="22">
        <v>208.24</v>
      </c>
      <c r="H258" s="22">
        <v>170.5</v>
      </c>
      <c r="I258" s="26">
        <v>9</v>
      </c>
      <c r="J258" s="22">
        <f>'Форма 2'!I1027</f>
        <v>664950</v>
      </c>
      <c r="K258" s="22">
        <v>0</v>
      </c>
      <c r="L258" s="22">
        <v>0</v>
      </c>
      <c r="M258" s="22">
        <v>0</v>
      </c>
      <c r="N258" s="22">
        <f t="shared" si="30"/>
        <v>663313.07999999996</v>
      </c>
      <c r="O258" s="22">
        <v>1636.92</v>
      </c>
      <c r="P258" s="22">
        <f t="shared" si="31"/>
        <v>3900</v>
      </c>
      <c r="Q258" s="22">
        <f>'Форма 2'!K1027</f>
        <v>3900</v>
      </c>
      <c r="R258" s="38" t="s">
        <v>156</v>
      </c>
      <c r="S258" s="172">
        <v>1</v>
      </c>
      <c r="T258" s="24"/>
    </row>
    <row r="259" spans="1:20" s="33" customFormat="1" x14ac:dyDescent="0.35">
      <c r="A259" s="11">
        <f t="shared" si="32"/>
        <v>153</v>
      </c>
      <c r="B259" s="11">
        <v>2330</v>
      </c>
      <c r="C259" s="37" t="s">
        <v>432</v>
      </c>
      <c r="D259" s="97">
        <v>1990</v>
      </c>
      <c r="E259" s="96" t="s">
        <v>185</v>
      </c>
      <c r="F259" s="96" t="s">
        <v>186</v>
      </c>
      <c r="G259" s="22">
        <v>7088.5</v>
      </c>
      <c r="H259" s="22">
        <v>6425.5</v>
      </c>
      <c r="I259" s="26">
        <v>287</v>
      </c>
      <c r="J259" s="22">
        <f>'Форма 2'!I1030</f>
        <v>5193257.8</v>
      </c>
      <c r="K259" s="22">
        <v>0</v>
      </c>
      <c r="L259" s="22">
        <v>0</v>
      </c>
      <c r="M259" s="22">
        <v>0</v>
      </c>
      <c r="N259" s="22">
        <f t="shared" si="30"/>
        <v>5028221.7300000004</v>
      </c>
      <c r="O259" s="22">
        <v>165036.07</v>
      </c>
      <c r="P259" s="22">
        <f t="shared" si="31"/>
        <v>808.23</v>
      </c>
      <c r="Q259" s="22">
        <f>'Форма 2'!K1030</f>
        <v>826.38</v>
      </c>
      <c r="R259" s="38" t="s">
        <v>156</v>
      </c>
      <c r="S259" s="172">
        <v>1</v>
      </c>
      <c r="T259" s="24"/>
    </row>
    <row r="260" spans="1:20" s="33" customFormat="1" x14ac:dyDescent="0.35">
      <c r="A260" s="11">
        <f t="shared" si="32"/>
        <v>154</v>
      </c>
      <c r="B260" s="11">
        <v>2464</v>
      </c>
      <c r="C260" s="37" t="s">
        <v>433</v>
      </c>
      <c r="D260" s="97">
        <v>1966</v>
      </c>
      <c r="E260" s="96" t="s">
        <v>293</v>
      </c>
      <c r="F260" s="96" t="s">
        <v>158</v>
      </c>
      <c r="G260" s="22">
        <v>3459.3</v>
      </c>
      <c r="H260" s="22">
        <v>3284.7</v>
      </c>
      <c r="I260" s="26">
        <v>160</v>
      </c>
      <c r="J260" s="22">
        <f>'Форма 2'!I1040</f>
        <v>525996.73</v>
      </c>
      <c r="K260" s="22">
        <v>0</v>
      </c>
      <c r="L260" s="22">
        <v>0</v>
      </c>
      <c r="M260" s="22">
        <v>0</v>
      </c>
      <c r="N260" s="22">
        <f t="shared" si="30"/>
        <v>516709.61</v>
      </c>
      <c r="O260" s="22">
        <v>9287.1200000000008</v>
      </c>
      <c r="P260" s="22">
        <f t="shared" si="31"/>
        <v>160.13999999999999</v>
      </c>
      <c r="Q260" s="22">
        <f>'Форма 2'!K1040</f>
        <v>168</v>
      </c>
      <c r="R260" s="38" t="s">
        <v>156</v>
      </c>
      <c r="S260" s="172">
        <v>1</v>
      </c>
      <c r="T260" s="24"/>
    </row>
    <row r="261" spans="1:20" s="33" customFormat="1" x14ac:dyDescent="0.35">
      <c r="A261" s="11">
        <f t="shared" si="32"/>
        <v>155</v>
      </c>
      <c r="B261" s="11">
        <v>2382</v>
      </c>
      <c r="C261" s="37" t="s">
        <v>434</v>
      </c>
      <c r="D261" s="97">
        <v>1966</v>
      </c>
      <c r="E261" s="96" t="s">
        <v>293</v>
      </c>
      <c r="F261" s="96" t="s">
        <v>158</v>
      </c>
      <c r="G261" s="22">
        <v>3512.8</v>
      </c>
      <c r="H261" s="22">
        <v>2381.6</v>
      </c>
      <c r="I261" s="26">
        <v>166</v>
      </c>
      <c r="J261" s="22">
        <f>'Форма 2'!I1043</f>
        <v>649798.23</v>
      </c>
      <c r="K261" s="22">
        <v>0</v>
      </c>
      <c r="L261" s="22">
        <v>0</v>
      </c>
      <c r="M261" s="22">
        <v>0</v>
      </c>
      <c r="N261" s="22">
        <f t="shared" si="30"/>
        <v>643064.53</v>
      </c>
      <c r="O261" s="22">
        <v>6733.7</v>
      </c>
      <c r="P261" s="22">
        <f t="shared" si="31"/>
        <v>272.83999999999997</v>
      </c>
      <c r="Q261" s="22">
        <f>'Форма 2'!K1043</f>
        <v>277</v>
      </c>
      <c r="R261" s="38" t="s">
        <v>156</v>
      </c>
      <c r="S261" s="172">
        <v>1</v>
      </c>
      <c r="T261" s="24"/>
    </row>
    <row r="262" spans="1:20" s="33" customFormat="1" x14ac:dyDescent="0.35">
      <c r="A262" s="11">
        <f t="shared" si="32"/>
        <v>156</v>
      </c>
      <c r="B262" s="11">
        <v>2352</v>
      </c>
      <c r="C262" s="37" t="s">
        <v>435</v>
      </c>
      <c r="D262" s="97">
        <v>1990</v>
      </c>
      <c r="E262" s="96" t="s">
        <v>185</v>
      </c>
      <c r="F262" s="96" t="s">
        <v>186</v>
      </c>
      <c r="G262" s="22">
        <v>3590.8</v>
      </c>
      <c r="H262" s="22">
        <v>3111.8</v>
      </c>
      <c r="I262" s="26">
        <v>138</v>
      </c>
      <c r="J262" s="22">
        <f>'Форма 2'!I1046</f>
        <v>1736477.4</v>
      </c>
      <c r="K262" s="22">
        <v>0</v>
      </c>
      <c r="L262" s="22">
        <v>0</v>
      </c>
      <c r="M262" s="22">
        <v>0</v>
      </c>
      <c r="N262" s="22">
        <f t="shared" si="30"/>
        <v>1681465.38</v>
      </c>
      <c r="O262" s="22">
        <v>55012.02</v>
      </c>
      <c r="P262" s="22">
        <f t="shared" si="31"/>
        <v>558.03</v>
      </c>
      <c r="Q262" s="22">
        <f>'Форма 2'!K1046</f>
        <v>568.79</v>
      </c>
      <c r="R262" s="38" t="s">
        <v>156</v>
      </c>
      <c r="S262" s="172">
        <v>1</v>
      </c>
      <c r="T262" s="24"/>
    </row>
    <row r="263" spans="1:20" s="33" customFormat="1" x14ac:dyDescent="0.35">
      <c r="A263" s="228" t="s">
        <v>36</v>
      </c>
      <c r="B263" s="228"/>
      <c r="C263" s="228"/>
      <c r="D263" s="23" t="s">
        <v>13</v>
      </c>
      <c r="E263" s="22" t="s">
        <v>13</v>
      </c>
      <c r="F263" s="22" t="s">
        <v>13</v>
      </c>
      <c r="G263" s="19">
        <f>G264</f>
        <v>1095.31</v>
      </c>
      <c r="H263" s="19">
        <f t="shared" ref="H263:O263" si="33">H264</f>
        <v>952.63</v>
      </c>
      <c r="I263" s="20">
        <f t="shared" si="33"/>
        <v>30</v>
      </c>
      <c r="J263" s="19">
        <f t="shared" si="33"/>
        <v>3056803.18</v>
      </c>
      <c r="K263" s="19">
        <f t="shared" si="33"/>
        <v>0</v>
      </c>
      <c r="L263" s="19">
        <f t="shared" si="33"/>
        <v>0</v>
      </c>
      <c r="M263" s="19">
        <f t="shared" si="33"/>
        <v>0</v>
      </c>
      <c r="N263" s="19">
        <f t="shared" si="33"/>
        <v>2978229.93</v>
      </c>
      <c r="O263" s="19">
        <f t="shared" si="33"/>
        <v>78573.25</v>
      </c>
      <c r="P263" s="22" t="s">
        <v>13</v>
      </c>
      <c r="Q263" s="22" t="s">
        <v>13</v>
      </c>
      <c r="R263" s="22" t="s">
        <v>13</v>
      </c>
      <c r="S263" s="26" t="s">
        <v>13</v>
      </c>
      <c r="T263" s="24"/>
    </row>
    <row r="264" spans="1:20" s="33" customFormat="1" x14ac:dyDescent="0.35">
      <c r="A264" s="39">
        <v>1</v>
      </c>
      <c r="B264" s="39">
        <v>4812</v>
      </c>
      <c r="C264" s="50" t="s">
        <v>436</v>
      </c>
      <c r="D264" s="41">
        <v>1989</v>
      </c>
      <c r="E264" s="41" t="s">
        <v>75</v>
      </c>
      <c r="F264" s="41" t="s">
        <v>158</v>
      </c>
      <c r="G264" s="25">
        <v>1095.31</v>
      </c>
      <c r="H264" s="22">
        <v>952.63</v>
      </c>
      <c r="I264" s="103">
        <v>30</v>
      </c>
      <c r="J264" s="22">
        <f>'Форма 2'!I1051</f>
        <v>3056803.18</v>
      </c>
      <c r="K264" s="22">
        <v>0</v>
      </c>
      <c r="L264" s="22">
        <v>0</v>
      </c>
      <c r="M264" s="22">
        <v>0</v>
      </c>
      <c r="N264" s="22">
        <f>J264-O264</f>
        <v>2978229.93</v>
      </c>
      <c r="O264" s="22">
        <v>78573.25</v>
      </c>
      <c r="P264" s="22">
        <f>J264/H264</f>
        <v>3208.8</v>
      </c>
      <c r="Q264" s="22">
        <f>'Форма 2'!K1051</f>
        <v>7066</v>
      </c>
      <c r="R264" s="34" t="s">
        <v>156</v>
      </c>
      <c r="S264" s="172">
        <v>1</v>
      </c>
      <c r="T264" s="24"/>
    </row>
    <row r="265" spans="1:20" s="33" customFormat="1" x14ac:dyDescent="0.35">
      <c r="A265" s="228" t="s">
        <v>37</v>
      </c>
      <c r="B265" s="228"/>
      <c r="C265" s="228"/>
      <c r="D265" s="23" t="s">
        <v>13</v>
      </c>
      <c r="E265" s="22" t="s">
        <v>13</v>
      </c>
      <c r="F265" s="22" t="s">
        <v>13</v>
      </c>
      <c r="G265" s="19">
        <f>SUM(G266:G268)</f>
        <v>1390.14</v>
      </c>
      <c r="H265" s="19">
        <f t="shared" ref="H265:O265" si="34">SUM(H266:H268)</f>
        <v>1241.1199999999999</v>
      </c>
      <c r="I265" s="20">
        <f t="shared" si="34"/>
        <v>63</v>
      </c>
      <c r="J265" s="19">
        <f t="shared" si="34"/>
        <v>4125978.42</v>
      </c>
      <c r="K265" s="19">
        <f t="shared" si="34"/>
        <v>0</v>
      </c>
      <c r="L265" s="19">
        <f t="shared" si="34"/>
        <v>0</v>
      </c>
      <c r="M265" s="19">
        <f t="shared" si="34"/>
        <v>0</v>
      </c>
      <c r="N265" s="19">
        <f t="shared" si="34"/>
        <v>3989172.17</v>
      </c>
      <c r="O265" s="19">
        <f t="shared" si="34"/>
        <v>136806.25</v>
      </c>
      <c r="P265" s="22" t="s">
        <v>13</v>
      </c>
      <c r="Q265" s="22" t="s">
        <v>13</v>
      </c>
      <c r="R265" s="22" t="s">
        <v>13</v>
      </c>
      <c r="S265" s="26" t="s">
        <v>13</v>
      </c>
      <c r="T265" s="24"/>
    </row>
    <row r="266" spans="1:20" s="33" customFormat="1" x14ac:dyDescent="0.35">
      <c r="A266" s="146">
        <v>1</v>
      </c>
      <c r="B266" s="123">
        <v>7286</v>
      </c>
      <c r="C266" s="117" t="s">
        <v>437</v>
      </c>
      <c r="D266" s="42">
        <v>1966</v>
      </c>
      <c r="E266" s="42" t="s">
        <v>75</v>
      </c>
      <c r="F266" s="42" t="s">
        <v>158</v>
      </c>
      <c r="G266" s="25">
        <v>372.18</v>
      </c>
      <c r="H266" s="25">
        <v>334.31</v>
      </c>
      <c r="I266" s="101">
        <v>18</v>
      </c>
      <c r="J266" s="25">
        <f>'Форма 2'!I1055</f>
        <v>1337821.8799999999</v>
      </c>
      <c r="K266" s="25">
        <f>K267+K268</f>
        <v>0</v>
      </c>
      <c r="L266" s="25">
        <f>L267+L268</f>
        <v>0</v>
      </c>
      <c r="M266" s="25">
        <f>M267+M268</f>
        <v>0</v>
      </c>
      <c r="N266" s="25">
        <f>J266-K266-L266-M266-O266</f>
        <v>1291970.27</v>
      </c>
      <c r="O266" s="25">
        <v>45851.61</v>
      </c>
      <c r="P266" s="22">
        <f>J266/H266</f>
        <v>4001.74</v>
      </c>
      <c r="Q266" s="22">
        <f>'Форма 2'!K1055</f>
        <v>7539</v>
      </c>
      <c r="R266" s="38" t="s">
        <v>156</v>
      </c>
      <c r="S266" s="26">
        <v>1</v>
      </c>
      <c r="T266" s="24"/>
    </row>
    <row r="267" spans="1:20" s="33" customFormat="1" x14ac:dyDescent="0.35">
      <c r="A267" s="146">
        <f>A266+1</f>
        <v>2</v>
      </c>
      <c r="B267" s="146">
        <v>7310</v>
      </c>
      <c r="C267" s="117" t="s">
        <v>438</v>
      </c>
      <c r="D267" s="97">
        <v>1956</v>
      </c>
      <c r="E267" s="97" t="s">
        <v>439</v>
      </c>
      <c r="F267" s="97" t="s">
        <v>155</v>
      </c>
      <c r="G267" s="25">
        <v>368</v>
      </c>
      <c r="H267" s="25">
        <v>319.33</v>
      </c>
      <c r="I267" s="101">
        <v>27</v>
      </c>
      <c r="J267" s="25">
        <f>'Форма 2'!I1058</f>
        <v>129009.32</v>
      </c>
      <c r="K267" s="25">
        <v>0</v>
      </c>
      <c r="L267" s="25">
        <v>0</v>
      </c>
      <c r="M267" s="25">
        <v>0</v>
      </c>
      <c r="N267" s="25">
        <f>J267-K267-L267-M267-O267</f>
        <v>125248.7</v>
      </c>
      <c r="O267" s="22">
        <v>3760.62</v>
      </c>
      <c r="P267" s="22">
        <f>J267/H267</f>
        <v>404</v>
      </c>
      <c r="Q267" s="22">
        <f>'Форма 2'!K1058</f>
        <v>404</v>
      </c>
      <c r="R267" s="38" t="s">
        <v>156</v>
      </c>
      <c r="S267" s="26">
        <v>1</v>
      </c>
      <c r="T267" s="24"/>
    </row>
    <row r="268" spans="1:20" s="33" customFormat="1" x14ac:dyDescent="0.35">
      <c r="A268" s="146">
        <f>A267+1</f>
        <v>3</v>
      </c>
      <c r="B268" s="146">
        <v>7321</v>
      </c>
      <c r="C268" s="117" t="s">
        <v>440</v>
      </c>
      <c r="D268" s="97">
        <v>1983</v>
      </c>
      <c r="E268" s="97" t="s">
        <v>439</v>
      </c>
      <c r="F268" s="97" t="s">
        <v>158</v>
      </c>
      <c r="G268" s="25">
        <v>649.96</v>
      </c>
      <c r="H268" s="25">
        <v>587.48</v>
      </c>
      <c r="I268" s="101">
        <v>18</v>
      </c>
      <c r="J268" s="25">
        <f>'Форма 2'!I1061</f>
        <v>2659147.2200000002</v>
      </c>
      <c r="K268" s="25">
        <v>0</v>
      </c>
      <c r="L268" s="25">
        <v>0</v>
      </c>
      <c r="M268" s="25">
        <v>0</v>
      </c>
      <c r="N268" s="25">
        <f>J268-K268-L268-M268-O268</f>
        <v>2571953.2000000002</v>
      </c>
      <c r="O268" s="22">
        <v>87194.02</v>
      </c>
      <c r="P268" s="22">
        <f>J268/H268</f>
        <v>4526.3599999999997</v>
      </c>
      <c r="Q268" s="22">
        <f>'Форма 2'!K1061</f>
        <v>6822</v>
      </c>
      <c r="R268" s="38" t="s">
        <v>156</v>
      </c>
      <c r="S268" s="26">
        <v>1</v>
      </c>
      <c r="T268" s="24"/>
    </row>
    <row r="269" spans="1:20" s="33" customFormat="1" x14ac:dyDescent="0.35">
      <c r="A269" s="228" t="s">
        <v>39</v>
      </c>
      <c r="B269" s="228"/>
      <c r="C269" s="228"/>
      <c r="D269" s="23" t="s">
        <v>13</v>
      </c>
      <c r="E269" s="22" t="s">
        <v>13</v>
      </c>
      <c r="F269" s="22" t="s">
        <v>13</v>
      </c>
      <c r="G269" s="27">
        <f>SUM(G270:G271)</f>
        <v>956.9</v>
      </c>
      <c r="H269" s="27">
        <f t="shared" ref="H269:O269" si="35">SUM(H270:H271)</f>
        <v>851.9</v>
      </c>
      <c r="I269" s="104">
        <f t="shared" si="35"/>
        <v>52</v>
      </c>
      <c r="J269" s="27">
        <f t="shared" si="35"/>
        <v>2580116.9</v>
      </c>
      <c r="K269" s="27">
        <f t="shared" si="35"/>
        <v>0</v>
      </c>
      <c r="L269" s="27">
        <f t="shared" si="35"/>
        <v>0</v>
      </c>
      <c r="M269" s="27">
        <f t="shared" si="35"/>
        <v>0</v>
      </c>
      <c r="N269" s="27">
        <f t="shared" si="35"/>
        <v>2509842</v>
      </c>
      <c r="O269" s="27">
        <f t="shared" si="35"/>
        <v>70274.899999999994</v>
      </c>
      <c r="P269" s="22" t="s">
        <v>13</v>
      </c>
      <c r="Q269" s="22" t="s">
        <v>13</v>
      </c>
      <c r="R269" s="22" t="s">
        <v>13</v>
      </c>
      <c r="S269" s="26" t="s">
        <v>13</v>
      </c>
      <c r="T269" s="24"/>
    </row>
    <row r="270" spans="1:20" s="33" customFormat="1" x14ac:dyDescent="0.35">
      <c r="A270" s="39">
        <v>1</v>
      </c>
      <c r="B270" s="39">
        <v>6735</v>
      </c>
      <c r="C270" s="52" t="s">
        <v>441</v>
      </c>
      <c r="D270" s="141">
        <v>1963</v>
      </c>
      <c r="E270" s="110" t="s">
        <v>75</v>
      </c>
      <c r="F270" s="110" t="s">
        <v>155</v>
      </c>
      <c r="G270" s="53">
        <v>435.1</v>
      </c>
      <c r="H270" s="86">
        <v>395.1</v>
      </c>
      <c r="I270" s="150">
        <v>15</v>
      </c>
      <c r="J270" s="22">
        <f>'Форма 2'!I1067</f>
        <v>59972.26</v>
      </c>
      <c r="K270" s="22">
        <v>0</v>
      </c>
      <c r="L270" s="22">
        <v>0</v>
      </c>
      <c r="M270" s="22">
        <v>0</v>
      </c>
      <c r="N270" s="22">
        <f>J270-O270</f>
        <v>57916.23</v>
      </c>
      <c r="O270" s="22">
        <v>2056.0300000000002</v>
      </c>
      <c r="P270" s="22">
        <f>J270/H270</f>
        <v>151.79</v>
      </c>
      <c r="Q270" s="19">
        <f>'Форма 2'!K1067</f>
        <v>178</v>
      </c>
      <c r="R270" s="34" t="s">
        <v>156</v>
      </c>
      <c r="S270" s="172">
        <v>1</v>
      </c>
      <c r="T270" s="24"/>
    </row>
    <row r="271" spans="1:20" s="33" customFormat="1" x14ac:dyDescent="0.35">
      <c r="A271" s="39">
        <v>2</v>
      </c>
      <c r="B271" s="39">
        <v>6742</v>
      </c>
      <c r="C271" s="52" t="s">
        <v>442</v>
      </c>
      <c r="D271" s="141">
        <v>1952</v>
      </c>
      <c r="E271" s="141" t="s">
        <v>75</v>
      </c>
      <c r="F271" s="141" t="s">
        <v>158</v>
      </c>
      <c r="G271" s="53">
        <v>521.79999999999995</v>
      </c>
      <c r="H271" s="86">
        <v>456.8</v>
      </c>
      <c r="I271" s="150">
        <v>37</v>
      </c>
      <c r="J271" s="22">
        <f>'Форма 2'!I1069</f>
        <v>2520144.64</v>
      </c>
      <c r="K271" s="22">
        <v>0</v>
      </c>
      <c r="L271" s="22">
        <v>0</v>
      </c>
      <c r="M271" s="22">
        <v>0</v>
      </c>
      <c r="N271" s="22">
        <f>J271-O271</f>
        <v>2451925.77</v>
      </c>
      <c r="O271" s="22">
        <v>68218.87</v>
      </c>
      <c r="P271" s="22">
        <f>J271/H271</f>
        <v>5516.95</v>
      </c>
      <c r="Q271" s="19">
        <f>'Форма 2'!K1069</f>
        <v>7066</v>
      </c>
      <c r="R271" s="34" t="s">
        <v>156</v>
      </c>
      <c r="S271" s="172">
        <v>1</v>
      </c>
      <c r="T271" s="24"/>
    </row>
    <row r="272" spans="1:20" s="33" customFormat="1" x14ac:dyDescent="0.35">
      <c r="A272" s="228" t="s">
        <v>40</v>
      </c>
      <c r="B272" s="228"/>
      <c r="C272" s="228"/>
      <c r="D272" s="23" t="s">
        <v>13</v>
      </c>
      <c r="E272" s="22" t="s">
        <v>13</v>
      </c>
      <c r="F272" s="22" t="s">
        <v>13</v>
      </c>
      <c r="G272" s="27">
        <f>SUM(G273:G290)</f>
        <v>8762.6</v>
      </c>
      <c r="H272" s="27">
        <f t="shared" ref="H272:O272" si="36">SUM(H273:H290)</f>
        <v>7445.7</v>
      </c>
      <c r="I272" s="104">
        <f t="shared" si="36"/>
        <v>271</v>
      </c>
      <c r="J272" s="27">
        <f>SUM(J273:J290)</f>
        <v>25775091.789999999</v>
      </c>
      <c r="K272" s="27">
        <f t="shared" si="36"/>
        <v>0</v>
      </c>
      <c r="L272" s="27">
        <f t="shared" si="36"/>
        <v>0</v>
      </c>
      <c r="M272" s="27">
        <f t="shared" si="36"/>
        <v>0</v>
      </c>
      <c r="N272" s="27">
        <f t="shared" si="36"/>
        <v>24876104.539999999</v>
      </c>
      <c r="O272" s="27">
        <f t="shared" si="36"/>
        <v>898987.25</v>
      </c>
      <c r="P272" s="22" t="s">
        <v>13</v>
      </c>
      <c r="Q272" s="22" t="s">
        <v>13</v>
      </c>
      <c r="R272" s="22" t="s">
        <v>13</v>
      </c>
      <c r="S272" s="26" t="s">
        <v>13</v>
      </c>
      <c r="T272" s="24"/>
    </row>
    <row r="273" spans="1:20" s="33" customFormat="1" x14ac:dyDescent="0.35">
      <c r="A273" s="39">
        <v>1</v>
      </c>
      <c r="B273" s="39">
        <v>5400</v>
      </c>
      <c r="C273" s="40" t="s">
        <v>443</v>
      </c>
      <c r="D273" s="41">
        <v>1957</v>
      </c>
      <c r="E273" s="41" t="s">
        <v>233</v>
      </c>
      <c r="F273" s="41" t="s">
        <v>163</v>
      </c>
      <c r="G273" s="25">
        <v>464.7</v>
      </c>
      <c r="H273" s="22">
        <v>427.3</v>
      </c>
      <c r="I273" s="103">
        <v>14</v>
      </c>
      <c r="J273" s="22">
        <f>'Форма 2'!I1073</f>
        <v>778133.1</v>
      </c>
      <c r="K273" s="22">
        <v>0</v>
      </c>
      <c r="L273" s="22">
        <v>0</v>
      </c>
      <c r="M273" s="22">
        <v>0</v>
      </c>
      <c r="N273" s="22">
        <f>J273-K273-L273-M273-O273</f>
        <v>758562.46</v>
      </c>
      <c r="O273" s="22">
        <v>19570.64</v>
      </c>
      <c r="P273" s="22">
        <f t="shared" ref="P273:P290" si="37">J273/H273</f>
        <v>1821.05</v>
      </c>
      <c r="Q273" s="22">
        <f>'Форма 2'!K1073</f>
        <v>5938</v>
      </c>
      <c r="R273" s="34" t="s">
        <v>164</v>
      </c>
      <c r="S273" s="172">
        <v>1</v>
      </c>
      <c r="T273" s="24"/>
    </row>
    <row r="274" spans="1:20" s="33" customFormat="1" x14ac:dyDescent="0.35">
      <c r="A274" s="39">
        <f>A273+1</f>
        <v>2</v>
      </c>
      <c r="B274" s="39">
        <v>5404</v>
      </c>
      <c r="C274" s="40" t="s">
        <v>444</v>
      </c>
      <c r="D274" s="42">
        <v>1957</v>
      </c>
      <c r="E274" s="41" t="s">
        <v>439</v>
      </c>
      <c r="F274" s="41" t="s">
        <v>155</v>
      </c>
      <c r="G274" s="25">
        <v>450.1</v>
      </c>
      <c r="H274" s="22">
        <v>418</v>
      </c>
      <c r="I274" s="105">
        <v>13</v>
      </c>
      <c r="J274" s="22">
        <f>'Форма 2'!I1076</f>
        <v>168872</v>
      </c>
      <c r="K274" s="22">
        <v>0</v>
      </c>
      <c r="L274" s="22">
        <v>0</v>
      </c>
      <c r="M274" s="22">
        <v>0</v>
      </c>
      <c r="N274" s="22">
        <f t="shared" ref="N274:N290" si="38">J274-K274-L274-M274-O274</f>
        <v>133960.43</v>
      </c>
      <c r="O274" s="22">
        <v>34911.57</v>
      </c>
      <c r="P274" s="22">
        <f t="shared" si="37"/>
        <v>404</v>
      </c>
      <c r="Q274" s="22">
        <f>'Форма 2'!K1076</f>
        <v>404</v>
      </c>
      <c r="R274" s="34" t="s">
        <v>156</v>
      </c>
      <c r="S274" s="172">
        <v>1</v>
      </c>
      <c r="T274" s="24"/>
    </row>
    <row r="275" spans="1:20" s="33" customFormat="1" x14ac:dyDescent="0.35">
      <c r="A275" s="39">
        <f t="shared" ref="A275:A290" si="39">A274+1</f>
        <v>3</v>
      </c>
      <c r="B275" s="39">
        <v>5408</v>
      </c>
      <c r="C275" s="40" t="s">
        <v>445</v>
      </c>
      <c r="D275" s="42">
        <v>1957</v>
      </c>
      <c r="E275" s="41" t="s">
        <v>75</v>
      </c>
      <c r="F275" s="41" t="s">
        <v>163</v>
      </c>
      <c r="G275" s="25">
        <v>336.8</v>
      </c>
      <c r="H275" s="22">
        <v>280.60000000000002</v>
      </c>
      <c r="I275" s="106">
        <v>9</v>
      </c>
      <c r="J275" s="22">
        <f>'Форма 2'!I1079</f>
        <v>668465.56000000006</v>
      </c>
      <c r="K275" s="22">
        <v>0</v>
      </c>
      <c r="L275" s="22">
        <v>0</v>
      </c>
      <c r="M275" s="22">
        <v>0</v>
      </c>
      <c r="N275" s="22">
        <f t="shared" si="38"/>
        <v>645029.71</v>
      </c>
      <c r="O275" s="22">
        <v>23435.85</v>
      </c>
      <c r="P275" s="22">
        <f t="shared" si="37"/>
        <v>2382.27</v>
      </c>
      <c r="Q275" s="22">
        <f>'Форма 2'!K1079</f>
        <v>7558</v>
      </c>
      <c r="R275" s="34" t="s">
        <v>164</v>
      </c>
      <c r="S275" s="172">
        <v>1</v>
      </c>
      <c r="T275" s="24"/>
    </row>
    <row r="276" spans="1:20" s="33" customFormat="1" x14ac:dyDescent="0.35">
      <c r="A276" s="39">
        <f t="shared" si="39"/>
        <v>4</v>
      </c>
      <c r="B276" s="39">
        <v>5429</v>
      </c>
      <c r="C276" s="40" t="s">
        <v>446</v>
      </c>
      <c r="D276" s="42">
        <v>1936</v>
      </c>
      <c r="E276" s="41" t="s">
        <v>75</v>
      </c>
      <c r="F276" s="41" t="s">
        <v>158</v>
      </c>
      <c r="G276" s="25">
        <v>307.60000000000002</v>
      </c>
      <c r="H276" s="22">
        <v>234.8</v>
      </c>
      <c r="I276" s="105">
        <v>6</v>
      </c>
      <c r="J276" s="22">
        <f>'Форма 2'!I1082</f>
        <v>1746650.18</v>
      </c>
      <c r="K276" s="22">
        <v>0</v>
      </c>
      <c r="L276" s="22">
        <v>0</v>
      </c>
      <c r="M276" s="22">
        <v>0</v>
      </c>
      <c r="N276" s="22">
        <f t="shared" si="38"/>
        <v>1686874</v>
      </c>
      <c r="O276" s="22">
        <v>59776.18</v>
      </c>
      <c r="P276" s="22">
        <f>J276/H276</f>
        <v>7438.88</v>
      </c>
      <c r="Q276" s="22">
        <f>'Форма 2'!K1082</f>
        <v>7539</v>
      </c>
      <c r="R276" s="34" t="s">
        <v>156</v>
      </c>
      <c r="S276" s="172">
        <v>1</v>
      </c>
      <c r="T276" s="24"/>
    </row>
    <row r="277" spans="1:20" s="33" customFormat="1" x14ac:dyDescent="0.35">
      <c r="A277" s="39">
        <f t="shared" si="39"/>
        <v>5</v>
      </c>
      <c r="B277" s="39">
        <v>5691</v>
      </c>
      <c r="C277" s="40" t="s">
        <v>447</v>
      </c>
      <c r="D277" s="42">
        <v>1935</v>
      </c>
      <c r="E277" s="41" t="s">
        <v>75</v>
      </c>
      <c r="F277" s="41" t="s">
        <v>158</v>
      </c>
      <c r="G277" s="25">
        <v>381.6</v>
      </c>
      <c r="H277" s="22">
        <v>293.8</v>
      </c>
      <c r="I277" s="105">
        <v>16</v>
      </c>
      <c r="J277" s="22">
        <f>'Форма 2'!I1085</f>
        <v>1782747.18</v>
      </c>
      <c r="K277" s="22">
        <v>0</v>
      </c>
      <c r="L277" s="22">
        <v>0</v>
      </c>
      <c r="M277" s="22">
        <v>0</v>
      </c>
      <c r="N277" s="22">
        <f t="shared" si="38"/>
        <v>1721735.87</v>
      </c>
      <c r="O277" s="22">
        <v>61011.31</v>
      </c>
      <c r="P277" s="22">
        <f t="shared" si="37"/>
        <v>6067.89</v>
      </c>
      <c r="Q277" s="22">
        <f>'Форма 2'!K1085</f>
        <v>7539</v>
      </c>
      <c r="R277" s="34" t="s">
        <v>156</v>
      </c>
      <c r="S277" s="172">
        <v>1</v>
      </c>
      <c r="T277" s="24"/>
    </row>
    <row r="278" spans="1:20" s="33" customFormat="1" x14ac:dyDescent="0.35">
      <c r="A278" s="39">
        <f t="shared" si="39"/>
        <v>6</v>
      </c>
      <c r="B278" s="39">
        <v>5617</v>
      </c>
      <c r="C278" s="40" t="s">
        <v>448</v>
      </c>
      <c r="D278" s="42">
        <v>1939</v>
      </c>
      <c r="E278" s="41" t="s">
        <v>75</v>
      </c>
      <c r="F278" s="41" t="s">
        <v>158</v>
      </c>
      <c r="G278" s="25">
        <v>207.7</v>
      </c>
      <c r="H278" s="22">
        <v>201.7</v>
      </c>
      <c r="I278" s="106">
        <v>7</v>
      </c>
      <c r="J278" s="22">
        <f>'Форма 2'!I1088</f>
        <v>2206782.48</v>
      </c>
      <c r="K278" s="22">
        <v>0</v>
      </c>
      <c r="L278" s="22">
        <v>0</v>
      </c>
      <c r="M278" s="22">
        <v>0</v>
      </c>
      <c r="N278" s="22">
        <f t="shared" si="38"/>
        <v>2131260.14</v>
      </c>
      <c r="O278" s="22">
        <v>75522.34</v>
      </c>
      <c r="P278" s="22">
        <f t="shared" si="37"/>
        <v>10940.91</v>
      </c>
      <c r="Q278" s="22">
        <f>'Форма 2'!K1088</f>
        <v>11088</v>
      </c>
      <c r="R278" s="34" t="s">
        <v>156</v>
      </c>
      <c r="S278" s="172">
        <v>1</v>
      </c>
      <c r="T278" s="24"/>
    </row>
    <row r="279" spans="1:20" s="33" customFormat="1" x14ac:dyDescent="0.35">
      <c r="A279" s="39">
        <f t="shared" si="39"/>
        <v>7</v>
      </c>
      <c r="B279" s="39">
        <v>5440</v>
      </c>
      <c r="C279" s="40" t="s">
        <v>449</v>
      </c>
      <c r="D279" s="42">
        <v>1961</v>
      </c>
      <c r="E279" s="41" t="s">
        <v>75</v>
      </c>
      <c r="F279" s="41" t="s">
        <v>163</v>
      </c>
      <c r="G279" s="25">
        <v>342.3</v>
      </c>
      <c r="H279" s="22">
        <v>331.9</v>
      </c>
      <c r="I279" s="105">
        <v>24</v>
      </c>
      <c r="J279" s="22">
        <f>'Форма 2'!I1091</f>
        <v>780119.81</v>
      </c>
      <c r="K279" s="22">
        <v>0</v>
      </c>
      <c r="L279" s="22">
        <v>0</v>
      </c>
      <c r="M279" s="22">
        <v>0</v>
      </c>
      <c r="N279" s="22">
        <f t="shared" si="38"/>
        <v>752449.47</v>
      </c>
      <c r="O279" s="22">
        <v>27670.34</v>
      </c>
      <c r="P279" s="22">
        <f t="shared" si="37"/>
        <v>2350.4699999999998</v>
      </c>
      <c r="Q279" s="22">
        <f>'Форма 2'!K1091</f>
        <v>7558</v>
      </c>
      <c r="R279" s="34" t="s">
        <v>164</v>
      </c>
      <c r="S279" s="172">
        <v>1</v>
      </c>
      <c r="T279" s="24"/>
    </row>
    <row r="280" spans="1:20" s="33" customFormat="1" x14ac:dyDescent="0.35">
      <c r="A280" s="39">
        <f t="shared" si="39"/>
        <v>8</v>
      </c>
      <c r="B280" s="39">
        <v>5436</v>
      </c>
      <c r="C280" s="40" t="s">
        <v>450</v>
      </c>
      <c r="D280" s="42">
        <v>1962</v>
      </c>
      <c r="E280" s="41" t="s">
        <v>439</v>
      </c>
      <c r="F280" s="41" t="s">
        <v>163</v>
      </c>
      <c r="G280" s="25">
        <v>338.7</v>
      </c>
      <c r="H280" s="22">
        <v>320.5</v>
      </c>
      <c r="I280" s="105">
        <v>10</v>
      </c>
      <c r="J280" s="22">
        <f>'Форма 2'!I1094</f>
        <v>1023003.95</v>
      </c>
      <c r="K280" s="22">
        <v>0</v>
      </c>
      <c r="L280" s="22">
        <v>0</v>
      </c>
      <c r="M280" s="22">
        <v>0</v>
      </c>
      <c r="N280" s="22">
        <f t="shared" si="38"/>
        <v>994183.6</v>
      </c>
      <c r="O280" s="22">
        <v>28820.35</v>
      </c>
      <c r="P280" s="22">
        <f t="shared" si="37"/>
        <v>3191.9</v>
      </c>
      <c r="Q280" s="22">
        <f>'Форма 2'!K1094</f>
        <v>9697</v>
      </c>
      <c r="R280" s="34" t="s">
        <v>164</v>
      </c>
      <c r="S280" s="172">
        <v>1</v>
      </c>
      <c r="T280" s="24"/>
    </row>
    <row r="281" spans="1:20" s="33" customFormat="1" x14ac:dyDescent="0.35">
      <c r="A281" s="39">
        <f t="shared" si="39"/>
        <v>9</v>
      </c>
      <c r="B281" s="39">
        <v>5452</v>
      </c>
      <c r="C281" s="40" t="s">
        <v>451</v>
      </c>
      <c r="D281" s="42">
        <v>1958</v>
      </c>
      <c r="E281" s="41" t="s">
        <v>439</v>
      </c>
      <c r="F281" s="41" t="s">
        <v>163</v>
      </c>
      <c r="G281" s="25">
        <v>380.8</v>
      </c>
      <c r="H281" s="22">
        <v>362</v>
      </c>
      <c r="I281" s="105">
        <v>12</v>
      </c>
      <c r="J281" s="22">
        <f>'Форма 2'!I1099</f>
        <v>1155467.8</v>
      </c>
      <c r="K281" s="22">
        <v>0</v>
      </c>
      <c r="L281" s="22">
        <v>0</v>
      </c>
      <c r="M281" s="22">
        <v>0</v>
      </c>
      <c r="N281" s="22">
        <f t="shared" si="38"/>
        <v>1122915.6499999999</v>
      </c>
      <c r="O281" s="22">
        <v>32552.15</v>
      </c>
      <c r="P281" s="22">
        <f t="shared" si="37"/>
        <v>3191.9</v>
      </c>
      <c r="Q281" s="22">
        <f>'Форма 2'!K1099</f>
        <v>9697</v>
      </c>
      <c r="R281" s="34" t="s">
        <v>164</v>
      </c>
      <c r="S281" s="172">
        <v>1</v>
      </c>
      <c r="T281" s="24"/>
    </row>
    <row r="282" spans="1:20" s="33" customFormat="1" x14ac:dyDescent="0.35">
      <c r="A282" s="39">
        <f t="shared" si="39"/>
        <v>10</v>
      </c>
      <c r="B282" s="39">
        <v>5475</v>
      </c>
      <c r="C282" s="40" t="s">
        <v>452</v>
      </c>
      <c r="D282" s="42">
        <v>1974</v>
      </c>
      <c r="E282" s="41" t="s">
        <v>75</v>
      </c>
      <c r="F282" s="41" t="s">
        <v>163</v>
      </c>
      <c r="G282" s="25">
        <v>2363.5</v>
      </c>
      <c r="H282" s="22">
        <v>1750.1</v>
      </c>
      <c r="I282" s="105">
        <v>56</v>
      </c>
      <c r="J282" s="22">
        <f>'Форма 2'!I1104</f>
        <v>1910340.3</v>
      </c>
      <c r="K282" s="22">
        <v>0</v>
      </c>
      <c r="L282" s="22">
        <v>0</v>
      </c>
      <c r="M282" s="22">
        <v>0</v>
      </c>
      <c r="N282" s="22">
        <f t="shared" si="38"/>
        <v>1842010.19</v>
      </c>
      <c r="O282" s="22">
        <v>68330.11</v>
      </c>
      <c r="P282" s="22">
        <f t="shared" si="37"/>
        <v>1091.56</v>
      </c>
      <c r="Q282" s="22">
        <f>'Форма 2'!K1104</f>
        <v>3416</v>
      </c>
      <c r="R282" s="34" t="s">
        <v>164</v>
      </c>
      <c r="S282" s="172">
        <v>1</v>
      </c>
      <c r="T282" s="24"/>
    </row>
    <row r="283" spans="1:20" s="33" customFormat="1" x14ac:dyDescent="0.35">
      <c r="A283" s="39">
        <f t="shared" si="39"/>
        <v>11</v>
      </c>
      <c r="B283" s="39">
        <v>5537</v>
      </c>
      <c r="C283" s="40" t="s">
        <v>453</v>
      </c>
      <c r="D283" s="42">
        <v>1957</v>
      </c>
      <c r="E283" s="41" t="s">
        <v>75</v>
      </c>
      <c r="F283" s="41" t="s">
        <v>158</v>
      </c>
      <c r="G283" s="25">
        <v>369.8</v>
      </c>
      <c r="H283" s="22">
        <v>324.5</v>
      </c>
      <c r="I283" s="106">
        <v>9</v>
      </c>
      <c r="J283" s="22">
        <f>'Форма 2'!I1107</f>
        <v>1874159.16</v>
      </c>
      <c r="K283" s="22">
        <v>0</v>
      </c>
      <c r="L283" s="22">
        <v>0</v>
      </c>
      <c r="M283" s="22">
        <v>0</v>
      </c>
      <c r="N283" s="22">
        <f t="shared" si="38"/>
        <v>1810019.44</v>
      </c>
      <c r="O283" s="22">
        <v>64139.72</v>
      </c>
      <c r="P283" s="22">
        <f t="shared" si="37"/>
        <v>5775.53</v>
      </c>
      <c r="Q283" s="22">
        <f>'Форма 2'!K1107</f>
        <v>7539</v>
      </c>
      <c r="R283" s="34" t="s">
        <v>156</v>
      </c>
      <c r="S283" s="172">
        <v>1</v>
      </c>
      <c r="T283" s="24"/>
    </row>
    <row r="284" spans="1:20" s="33" customFormat="1" x14ac:dyDescent="0.35">
      <c r="A284" s="39">
        <f t="shared" si="39"/>
        <v>12</v>
      </c>
      <c r="B284" s="39">
        <v>5547</v>
      </c>
      <c r="C284" s="40" t="s">
        <v>454</v>
      </c>
      <c r="D284" s="42">
        <v>1957</v>
      </c>
      <c r="E284" s="41" t="s">
        <v>75</v>
      </c>
      <c r="F284" s="41" t="s">
        <v>163</v>
      </c>
      <c r="G284" s="25">
        <v>437.4</v>
      </c>
      <c r="H284" s="22">
        <v>394.4</v>
      </c>
      <c r="I284" s="105">
        <v>11</v>
      </c>
      <c r="J284" s="22">
        <f>'Форма 2'!I1110</f>
        <v>927098.98</v>
      </c>
      <c r="K284" s="22">
        <v>0</v>
      </c>
      <c r="L284" s="22">
        <v>0</v>
      </c>
      <c r="M284" s="22">
        <v>0</v>
      </c>
      <c r="N284" s="22">
        <f t="shared" si="38"/>
        <v>894166.85</v>
      </c>
      <c r="O284" s="22">
        <v>32932.129999999997</v>
      </c>
      <c r="P284" s="22">
        <f t="shared" si="37"/>
        <v>2350.66</v>
      </c>
      <c r="Q284" s="22">
        <f>'Форма 2'!K1110</f>
        <v>7558</v>
      </c>
      <c r="R284" s="34" t="s">
        <v>164</v>
      </c>
      <c r="S284" s="172">
        <v>1</v>
      </c>
      <c r="T284" s="24"/>
    </row>
    <row r="285" spans="1:20" s="33" customFormat="1" x14ac:dyDescent="0.35">
      <c r="A285" s="39">
        <f t="shared" si="39"/>
        <v>13</v>
      </c>
      <c r="B285" s="39">
        <v>5696</v>
      </c>
      <c r="C285" s="40" t="s">
        <v>455</v>
      </c>
      <c r="D285" s="42">
        <v>1962</v>
      </c>
      <c r="E285" s="41" t="s">
        <v>75</v>
      </c>
      <c r="F285" s="41" t="s">
        <v>163</v>
      </c>
      <c r="G285" s="25">
        <v>390.8</v>
      </c>
      <c r="H285" s="22">
        <v>339.5</v>
      </c>
      <c r="I285" s="105">
        <v>12</v>
      </c>
      <c r="J285" s="22">
        <f>'Форма 2'!I1113</f>
        <v>798058.47</v>
      </c>
      <c r="K285" s="22">
        <v>0</v>
      </c>
      <c r="L285" s="22">
        <v>0</v>
      </c>
      <c r="M285" s="22">
        <v>0</v>
      </c>
      <c r="N285" s="22">
        <f t="shared" si="38"/>
        <v>769703.26</v>
      </c>
      <c r="O285" s="22">
        <v>28355.21</v>
      </c>
      <c r="P285" s="22">
        <f t="shared" si="37"/>
        <v>2350.69</v>
      </c>
      <c r="Q285" s="22">
        <f>'Форма 2'!K1113</f>
        <v>7558</v>
      </c>
      <c r="R285" s="34" t="s">
        <v>164</v>
      </c>
      <c r="S285" s="172">
        <v>1</v>
      </c>
      <c r="T285" s="24"/>
    </row>
    <row r="286" spans="1:20" s="33" customFormat="1" x14ac:dyDescent="0.35">
      <c r="A286" s="39">
        <f t="shared" si="39"/>
        <v>14</v>
      </c>
      <c r="B286" s="39">
        <v>5763</v>
      </c>
      <c r="C286" s="40" t="s">
        <v>456</v>
      </c>
      <c r="D286" s="42">
        <v>1951</v>
      </c>
      <c r="E286" s="41" t="s">
        <v>75</v>
      </c>
      <c r="F286" s="41" t="s">
        <v>158</v>
      </c>
      <c r="G286" s="25">
        <v>301</v>
      </c>
      <c r="H286" s="22">
        <v>294.10000000000002</v>
      </c>
      <c r="I286" s="103">
        <v>17</v>
      </c>
      <c r="J286" s="22">
        <f>'Форма 2'!I1116</f>
        <v>3228860.58</v>
      </c>
      <c r="K286" s="22">
        <v>0</v>
      </c>
      <c r="L286" s="22">
        <v>0</v>
      </c>
      <c r="M286" s="22">
        <v>0</v>
      </c>
      <c r="N286" s="22">
        <f t="shared" si="38"/>
        <v>3118741.01</v>
      </c>
      <c r="O286" s="22">
        <v>110119.57</v>
      </c>
      <c r="P286" s="22">
        <f t="shared" si="37"/>
        <v>10978.78</v>
      </c>
      <c r="Q286" s="22">
        <f>'Форма 2'!K1116</f>
        <v>11088</v>
      </c>
      <c r="R286" s="34" t="s">
        <v>156</v>
      </c>
      <c r="S286" s="172">
        <v>1</v>
      </c>
      <c r="T286" s="24"/>
    </row>
    <row r="287" spans="1:20" s="33" customFormat="1" x14ac:dyDescent="0.35">
      <c r="A287" s="39">
        <f t="shared" si="39"/>
        <v>15</v>
      </c>
      <c r="B287" s="39">
        <v>5749</v>
      </c>
      <c r="C287" s="40" t="s">
        <v>457</v>
      </c>
      <c r="D287" s="42">
        <v>1933</v>
      </c>
      <c r="E287" s="41" t="s">
        <v>75</v>
      </c>
      <c r="F287" s="41" t="s">
        <v>158</v>
      </c>
      <c r="G287" s="25">
        <v>498.8</v>
      </c>
      <c r="H287" s="22">
        <v>408.6</v>
      </c>
      <c r="I287" s="103">
        <v>7</v>
      </c>
      <c r="J287" s="22">
        <f>'Форма 2'!I1119</f>
        <v>2598754.61</v>
      </c>
      <c r="K287" s="22">
        <v>0</v>
      </c>
      <c r="L287" s="22">
        <v>0</v>
      </c>
      <c r="M287" s="22">
        <v>0</v>
      </c>
      <c r="N287" s="22">
        <f t="shared" si="38"/>
        <v>2509987.69</v>
      </c>
      <c r="O287" s="22">
        <v>88766.92</v>
      </c>
      <c r="P287" s="22">
        <f t="shared" si="37"/>
        <v>6360.14</v>
      </c>
      <c r="Q287" s="22">
        <f>'Форма 2'!K1119</f>
        <v>7539</v>
      </c>
      <c r="R287" s="34" t="s">
        <v>156</v>
      </c>
      <c r="S287" s="172">
        <v>1</v>
      </c>
      <c r="T287" s="24"/>
    </row>
    <row r="288" spans="1:20" s="33" customFormat="1" x14ac:dyDescent="0.35">
      <c r="A288" s="39">
        <f t="shared" si="39"/>
        <v>16</v>
      </c>
      <c r="B288" s="39">
        <v>5796</v>
      </c>
      <c r="C288" s="40" t="s">
        <v>458</v>
      </c>
      <c r="D288" s="42">
        <v>1963</v>
      </c>
      <c r="E288" s="41" t="s">
        <v>75</v>
      </c>
      <c r="F288" s="41" t="s">
        <v>163</v>
      </c>
      <c r="G288" s="25">
        <v>397</v>
      </c>
      <c r="H288" s="22">
        <v>354.2</v>
      </c>
      <c r="I288" s="101">
        <v>11</v>
      </c>
      <c r="J288" s="22">
        <f>'Форма 2'!I1122</f>
        <v>831735.43</v>
      </c>
      <c r="K288" s="22">
        <v>0</v>
      </c>
      <c r="L288" s="22">
        <v>0</v>
      </c>
      <c r="M288" s="22">
        <v>0</v>
      </c>
      <c r="N288" s="22">
        <f t="shared" si="38"/>
        <v>802260.12</v>
      </c>
      <c r="O288" s="22">
        <v>29475.31</v>
      </c>
      <c r="P288" s="22">
        <f t="shared" si="37"/>
        <v>2348.21</v>
      </c>
      <c r="Q288" s="22">
        <f>'Форма 2'!K1122</f>
        <v>7548</v>
      </c>
      <c r="R288" s="34" t="s">
        <v>164</v>
      </c>
      <c r="S288" s="172">
        <v>1</v>
      </c>
      <c r="T288" s="24"/>
    </row>
    <row r="289" spans="1:20" s="33" customFormat="1" x14ac:dyDescent="0.35">
      <c r="A289" s="39">
        <f t="shared" si="39"/>
        <v>17</v>
      </c>
      <c r="B289" s="39">
        <v>5798</v>
      </c>
      <c r="C289" s="40" t="s">
        <v>459</v>
      </c>
      <c r="D289" s="42">
        <v>1963</v>
      </c>
      <c r="E289" s="41" t="s">
        <v>75</v>
      </c>
      <c r="F289" s="41" t="s">
        <v>158</v>
      </c>
      <c r="G289" s="25">
        <v>397</v>
      </c>
      <c r="H289" s="22">
        <v>361.8</v>
      </c>
      <c r="I289" s="101">
        <v>26</v>
      </c>
      <c r="J289" s="22">
        <f>'Форма 2'!I1125</f>
        <v>2478900.4700000002</v>
      </c>
      <c r="K289" s="22">
        <v>0</v>
      </c>
      <c r="L289" s="22">
        <v>0</v>
      </c>
      <c r="M289" s="22">
        <v>0</v>
      </c>
      <c r="N289" s="22">
        <f t="shared" si="38"/>
        <v>2394253.9700000002</v>
      </c>
      <c r="O289" s="22">
        <v>84646.5</v>
      </c>
      <c r="P289" s="22">
        <f t="shared" si="37"/>
        <v>6851.58</v>
      </c>
      <c r="Q289" s="22">
        <f>'Форма 2'!K1125</f>
        <v>7539</v>
      </c>
      <c r="R289" s="34" t="s">
        <v>156</v>
      </c>
      <c r="S289" s="172">
        <v>1</v>
      </c>
      <c r="T289" s="24"/>
    </row>
    <row r="290" spans="1:20" s="33" customFormat="1" x14ac:dyDescent="0.35">
      <c r="A290" s="39">
        <f t="shared" si="39"/>
        <v>18</v>
      </c>
      <c r="B290" s="39">
        <v>5800</v>
      </c>
      <c r="C290" s="40" t="s">
        <v>460</v>
      </c>
      <c r="D290" s="42">
        <v>1963</v>
      </c>
      <c r="E290" s="41" t="s">
        <v>75</v>
      </c>
      <c r="F290" s="41" t="s">
        <v>163</v>
      </c>
      <c r="G290" s="25">
        <v>397</v>
      </c>
      <c r="H290" s="22">
        <v>347.9</v>
      </c>
      <c r="I290" s="101">
        <v>11</v>
      </c>
      <c r="J290" s="22">
        <f>'Форма 2'!I1128</f>
        <v>816941.73</v>
      </c>
      <c r="K290" s="22">
        <v>0</v>
      </c>
      <c r="L290" s="22">
        <v>0</v>
      </c>
      <c r="M290" s="22">
        <v>0</v>
      </c>
      <c r="N290" s="22">
        <f t="shared" si="38"/>
        <v>787990.68</v>
      </c>
      <c r="O290" s="22">
        <v>28951.05</v>
      </c>
      <c r="P290" s="22">
        <f t="shared" si="37"/>
        <v>2348.21</v>
      </c>
      <c r="Q290" s="22">
        <f>'Форма 2'!K1128</f>
        <v>7548</v>
      </c>
      <c r="R290" s="34" t="s">
        <v>164</v>
      </c>
      <c r="S290" s="172">
        <v>1</v>
      </c>
      <c r="T290" s="24"/>
    </row>
    <row r="291" spans="1:20" s="33" customFormat="1" x14ac:dyDescent="0.35">
      <c r="A291" s="228" t="s">
        <v>41</v>
      </c>
      <c r="B291" s="228"/>
      <c r="C291" s="228"/>
      <c r="D291" s="23" t="s">
        <v>13</v>
      </c>
      <c r="E291" s="22" t="s">
        <v>13</v>
      </c>
      <c r="F291" s="22" t="s">
        <v>13</v>
      </c>
      <c r="G291" s="27">
        <f>SUM(G292:G293)</f>
        <v>873.1</v>
      </c>
      <c r="H291" s="27">
        <f t="shared" ref="H291:O291" si="40">SUM(H292:H293)</f>
        <v>788.3</v>
      </c>
      <c r="I291" s="104">
        <f t="shared" si="40"/>
        <v>42</v>
      </c>
      <c r="J291" s="27">
        <f t="shared" si="40"/>
        <v>800506.45</v>
      </c>
      <c r="K291" s="27">
        <f t="shared" si="40"/>
        <v>0</v>
      </c>
      <c r="L291" s="27">
        <f t="shared" si="40"/>
        <v>0</v>
      </c>
      <c r="M291" s="27">
        <f t="shared" si="40"/>
        <v>0</v>
      </c>
      <c r="N291" s="27">
        <f t="shared" si="40"/>
        <v>731163.75</v>
      </c>
      <c r="O291" s="27">
        <f t="shared" si="40"/>
        <v>69342.7</v>
      </c>
      <c r="P291" s="22" t="s">
        <v>13</v>
      </c>
      <c r="Q291" s="22" t="s">
        <v>13</v>
      </c>
      <c r="R291" s="22" t="s">
        <v>13</v>
      </c>
      <c r="S291" s="26" t="s">
        <v>13</v>
      </c>
      <c r="T291" s="24"/>
    </row>
    <row r="292" spans="1:20" s="33" customFormat="1" x14ac:dyDescent="0.35">
      <c r="A292" s="141">
        <v>1</v>
      </c>
      <c r="B292" s="141">
        <v>4886</v>
      </c>
      <c r="C292" s="52" t="s">
        <v>461</v>
      </c>
      <c r="D292" s="141">
        <v>1980</v>
      </c>
      <c r="E292" s="110" t="s">
        <v>75</v>
      </c>
      <c r="F292" s="110" t="s">
        <v>155</v>
      </c>
      <c r="G292" s="25">
        <v>531.4</v>
      </c>
      <c r="H292" s="25">
        <v>482.1</v>
      </c>
      <c r="I292" s="101">
        <v>20</v>
      </c>
      <c r="J292" s="25">
        <f>'Форма 2'!I1132</f>
        <v>79929.89</v>
      </c>
      <c r="K292" s="25">
        <f>K293</f>
        <v>0</v>
      </c>
      <c r="L292" s="25">
        <f>L293</f>
        <v>0</v>
      </c>
      <c r="M292" s="25">
        <f>M293</f>
        <v>0</v>
      </c>
      <c r="N292" s="22">
        <f>J292-O292</f>
        <v>74227.17</v>
      </c>
      <c r="O292" s="25">
        <v>5702.72</v>
      </c>
      <c r="P292" s="25">
        <f>J292/H292</f>
        <v>165.8</v>
      </c>
      <c r="Q292" s="25">
        <f>'Форма 2'!K1132</f>
        <v>167</v>
      </c>
      <c r="R292" s="65" t="s">
        <v>156</v>
      </c>
      <c r="S292" s="172">
        <v>1</v>
      </c>
      <c r="T292" s="24"/>
    </row>
    <row r="293" spans="1:20" s="33" customFormat="1" x14ac:dyDescent="0.35">
      <c r="A293" s="39">
        <v>2</v>
      </c>
      <c r="B293" s="39">
        <v>4932</v>
      </c>
      <c r="C293" s="52" t="s">
        <v>462</v>
      </c>
      <c r="D293" s="141">
        <v>1964</v>
      </c>
      <c r="E293" s="141" t="s">
        <v>75</v>
      </c>
      <c r="F293" s="141" t="s">
        <v>158</v>
      </c>
      <c r="G293" s="53">
        <v>341.7</v>
      </c>
      <c r="H293" s="22">
        <v>306.2</v>
      </c>
      <c r="I293" s="150">
        <v>22</v>
      </c>
      <c r="J293" s="19">
        <f>'Форма 2'!I1134</f>
        <v>720576.56</v>
      </c>
      <c r="K293" s="22">
        <v>0</v>
      </c>
      <c r="L293" s="22">
        <v>0</v>
      </c>
      <c r="M293" s="22">
        <v>0</v>
      </c>
      <c r="N293" s="22">
        <f>J293-O293</f>
        <v>656936.57999999996</v>
      </c>
      <c r="O293" s="22">
        <v>63639.98</v>
      </c>
      <c r="P293" s="22">
        <f>J293/H293</f>
        <v>2353.29</v>
      </c>
      <c r="Q293" s="19">
        <f>'Форма 2'!K1134</f>
        <v>7539</v>
      </c>
      <c r="R293" s="34" t="s">
        <v>156</v>
      </c>
      <c r="S293" s="172">
        <v>1</v>
      </c>
      <c r="T293" s="24"/>
    </row>
    <row r="294" spans="1:20" s="33" customFormat="1" x14ac:dyDescent="0.35">
      <c r="A294" s="228" t="s">
        <v>53</v>
      </c>
      <c r="B294" s="228"/>
      <c r="C294" s="228"/>
      <c r="D294" s="23" t="s">
        <v>13</v>
      </c>
      <c r="E294" s="22" t="s">
        <v>13</v>
      </c>
      <c r="F294" s="22" t="s">
        <v>13</v>
      </c>
      <c r="G294" s="27">
        <f>SUM(G295:G296)</f>
        <v>882</v>
      </c>
      <c r="H294" s="27">
        <f t="shared" ref="H294:O294" si="41">SUM(H295:H296)</f>
        <v>800</v>
      </c>
      <c r="I294" s="104">
        <f t="shared" si="41"/>
        <v>26</v>
      </c>
      <c r="J294" s="27">
        <f t="shared" si="41"/>
        <v>1195935.53</v>
      </c>
      <c r="K294" s="27">
        <f t="shared" si="41"/>
        <v>0</v>
      </c>
      <c r="L294" s="27">
        <f t="shared" si="41"/>
        <v>0</v>
      </c>
      <c r="M294" s="27">
        <f t="shared" si="41"/>
        <v>0</v>
      </c>
      <c r="N294" s="27">
        <f t="shared" si="41"/>
        <v>1011023.51</v>
      </c>
      <c r="O294" s="27">
        <f t="shared" si="41"/>
        <v>184912.02</v>
      </c>
      <c r="P294" s="22" t="s">
        <v>13</v>
      </c>
      <c r="Q294" s="22" t="s">
        <v>13</v>
      </c>
      <c r="R294" s="22" t="s">
        <v>13</v>
      </c>
      <c r="S294" s="26" t="s">
        <v>13</v>
      </c>
      <c r="T294" s="24"/>
    </row>
    <row r="295" spans="1:20" s="33" customFormat="1" x14ac:dyDescent="0.35">
      <c r="A295" s="141">
        <v>1</v>
      </c>
      <c r="B295" s="66">
        <v>6813</v>
      </c>
      <c r="C295" s="148" t="s">
        <v>463</v>
      </c>
      <c r="D295" s="141">
        <v>1955</v>
      </c>
      <c r="E295" s="141" t="s">
        <v>75</v>
      </c>
      <c r="F295" s="141" t="s">
        <v>155</v>
      </c>
      <c r="G295" s="53">
        <v>441</v>
      </c>
      <c r="H295" s="22">
        <v>400</v>
      </c>
      <c r="I295" s="150">
        <v>14</v>
      </c>
      <c r="J295" s="27">
        <f>'Форма 2'!I1138</f>
        <v>70355.789999999994</v>
      </c>
      <c r="K295" s="19">
        <f>K296</f>
        <v>0</v>
      </c>
      <c r="L295" s="19">
        <f>L296</f>
        <v>0</v>
      </c>
      <c r="M295" s="19">
        <f>M296</f>
        <v>0</v>
      </c>
      <c r="N295" s="19">
        <f>J295-L295-M295-O295</f>
        <v>58030.38</v>
      </c>
      <c r="O295" s="19">
        <v>12325.41</v>
      </c>
      <c r="P295" s="27">
        <f>J295/H295</f>
        <v>175.89</v>
      </c>
      <c r="Q295" s="27">
        <f>'Форма 2'!K1138</f>
        <v>177</v>
      </c>
      <c r="R295" s="34" t="s">
        <v>156</v>
      </c>
      <c r="S295" s="172">
        <v>1</v>
      </c>
      <c r="T295" s="24"/>
    </row>
    <row r="296" spans="1:20" s="33" customFormat="1" x14ac:dyDescent="0.35">
      <c r="A296" s="141">
        <f>A295+1</f>
        <v>2</v>
      </c>
      <c r="B296" s="66">
        <v>6814</v>
      </c>
      <c r="C296" s="148" t="s">
        <v>464</v>
      </c>
      <c r="D296" s="141">
        <v>1955</v>
      </c>
      <c r="E296" s="141" t="s">
        <v>75</v>
      </c>
      <c r="F296" s="141" t="s">
        <v>158</v>
      </c>
      <c r="G296" s="53">
        <v>441</v>
      </c>
      <c r="H296" s="22">
        <v>400</v>
      </c>
      <c r="I296" s="150">
        <v>12</v>
      </c>
      <c r="J296" s="19">
        <f>'Форма 2'!I1140</f>
        <v>1125579.74</v>
      </c>
      <c r="K296" s="22">
        <v>0</v>
      </c>
      <c r="L296" s="22">
        <v>0</v>
      </c>
      <c r="M296" s="22">
        <v>0</v>
      </c>
      <c r="N296" s="25">
        <f>J296-O296</f>
        <v>952993.13</v>
      </c>
      <c r="O296" s="22">
        <v>172586.61</v>
      </c>
      <c r="P296" s="27">
        <f>J296/H296</f>
        <v>2813.95</v>
      </c>
      <c r="Q296" s="19">
        <f>'Форма 2'!K1140</f>
        <v>7539</v>
      </c>
      <c r="R296" s="34" t="s">
        <v>156</v>
      </c>
      <c r="S296" s="172">
        <v>1</v>
      </c>
      <c r="T296" s="24"/>
    </row>
    <row r="297" spans="1:20" s="33" customFormat="1" x14ac:dyDescent="0.35">
      <c r="A297" s="228" t="s">
        <v>43</v>
      </c>
      <c r="B297" s="228"/>
      <c r="C297" s="228"/>
      <c r="D297" s="23" t="s">
        <v>13</v>
      </c>
      <c r="E297" s="22" t="s">
        <v>13</v>
      </c>
      <c r="F297" s="22" t="s">
        <v>13</v>
      </c>
      <c r="G297" s="27">
        <f>SUM(G298:G299)</f>
        <v>2043.5</v>
      </c>
      <c r="H297" s="27">
        <f t="shared" ref="H297:O297" si="42">SUM(H298:H299)</f>
        <v>1876.54</v>
      </c>
      <c r="I297" s="104">
        <f t="shared" si="42"/>
        <v>128</v>
      </c>
      <c r="J297" s="27">
        <f t="shared" si="42"/>
        <v>4729249.04</v>
      </c>
      <c r="K297" s="27">
        <f t="shared" si="42"/>
        <v>0</v>
      </c>
      <c r="L297" s="27">
        <f t="shared" si="42"/>
        <v>0</v>
      </c>
      <c r="M297" s="27">
        <f t="shared" si="42"/>
        <v>0</v>
      </c>
      <c r="N297" s="27">
        <f t="shared" si="42"/>
        <v>4487904.9400000004</v>
      </c>
      <c r="O297" s="27">
        <f t="shared" si="42"/>
        <v>241344.1</v>
      </c>
      <c r="P297" s="22" t="s">
        <v>13</v>
      </c>
      <c r="Q297" s="22" t="s">
        <v>13</v>
      </c>
      <c r="R297" s="22" t="s">
        <v>13</v>
      </c>
      <c r="S297" s="26" t="s">
        <v>13</v>
      </c>
      <c r="T297" s="24"/>
    </row>
    <row r="298" spans="1:20" s="33" customFormat="1" x14ac:dyDescent="0.35">
      <c r="A298" s="146">
        <v>1</v>
      </c>
      <c r="B298" s="79">
        <v>4967</v>
      </c>
      <c r="C298" s="140" t="s">
        <v>465</v>
      </c>
      <c r="D298" s="42">
        <v>1968</v>
      </c>
      <c r="E298" s="42" t="s">
        <v>75</v>
      </c>
      <c r="F298" s="42" t="s">
        <v>155</v>
      </c>
      <c r="G298" s="25">
        <v>383.6</v>
      </c>
      <c r="H298" s="25">
        <v>351.8</v>
      </c>
      <c r="I298" s="101">
        <v>26</v>
      </c>
      <c r="J298" s="25">
        <f>'Форма 2'!I1144</f>
        <v>58356.6</v>
      </c>
      <c r="K298" s="25">
        <v>0</v>
      </c>
      <c r="L298" s="25">
        <v>0</v>
      </c>
      <c r="M298" s="25">
        <v>0</v>
      </c>
      <c r="N298" s="25">
        <f>J298-K298-L298-M298-O298</f>
        <v>54436.09</v>
      </c>
      <c r="O298" s="25">
        <v>3920.51</v>
      </c>
      <c r="P298" s="22">
        <f>J298/H298</f>
        <v>165.88</v>
      </c>
      <c r="Q298" s="22">
        <f>'Форма 2'!K1144</f>
        <v>167</v>
      </c>
      <c r="R298" s="22" t="s">
        <v>156</v>
      </c>
      <c r="S298" s="172">
        <v>1</v>
      </c>
      <c r="T298" s="24"/>
    </row>
    <row r="299" spans="1:20" s="33" customFormat="1" x14ac:dyDescent="0.35">
      <c r="A299" s="146">
        <f>A298+1</f>
        <v>2</v>
      </c>
      <c r="B299" s="79">
        <v>4968</v>
      </c>
      <c r="C299" s="140" t="s">
        <v>466</v>
      </c>
      <c r="D299" s="42">
        <v>1993</v>
      </c>
      <c r="E299" s="42" t="s">
        <v>75</v>
      </c>
      <c r="F299" s="42" t="s">
        <v>158</v>
      </c>
      <c r="G299" s="25">
        <v>1659.9</v>
      </c>
      <c r="H299" s="25">
        <v>1524.74</v>
      </c>
      <c r="I299" s="101">
        <v>102</v>
      </c>
      <c r="J299" s="25">
        <f>'Форма 2'!I1146</f>
        <v>4670892.4400000004</v>
      </c>
      <c r="K299" s="25">
        <v>0</v>
      </c>
      <c r="L299" s="25">
        <v>0</v>
      </c>
      <c r="M299" s="25">
        <v>0</v>
      </c>
      <c r="N299" s="25">
        <f>J299-K299-L299-M299-O299</f>
        <v>4433468.8499999996</v>
      </c>
      <c r="O299" s="25">
        <v>237423.59</v>
      </c>
      <c r="P299" s="22">
        <f>J299/H299</f>
        <v>3063.4</v>
      </c>
      <c r="Q299" s="22">
        <f>'Форма 2'!K1146</f>
        <v>5354</v>
      </c>
      <c r="R299" s="22" t="s">
        <v>156</v>
      </c>
      <c r="S299" s="172">
        <v>1</v>
      </c>
      <c r="T299" s="24"/>
    </row>
    <row r="300" spans="1:20" s="33" customFormat="1" x14ac:dyDescent="0.35">
      <c r="A300" s="228" t="s">
        <v>56</v>
      </c>
      <c r="B300" s="228"/>
      <c r="C300" s="228"/>
      <c r="D300" s="23" t="s">
        <v>13</v>
      </c>
      <c r="E300" s="22" t="s">
        <v>13</v>
      </c>
      <c r="F300" s="22" t="s">
        <v>13</v>
      </c>
      <c r="G300" s="27">
        <f>SUM(G301:G302)</f>
        <v>2101.73</v>
      </c>
      <c r="H300" s="27">
        <f t="shared" ref="H300:O300" si="43">SUM(H301:H302)</f>
        <v>1912.15</v>
      </c>
      <c r="I300" s="104">
        <f t="shared" si="43"/>
        <v>70</v>
      </c>
      <c r="J300" s="27">
        <f t="shared" si="43"/>
        <v>2206538</v>
      </c>
      <c r="K300" s="27">
        <f t="shared" si="43"/>
        <v>0</v>
      </c>
      <c r="L300" s="27">
        <f t="shared" si="43"/>
        <v>0</v>
      </c>
      <c r="M300" s="27">
        <f t="shared" si="43"/>
        <v>0</v>
      </c>
      <c r="N300" s="27">
        <f t="shared" si="43"/>
        <v>2103417.7999999998</v>
      </c>
      <c r="O300" s="27">
        <f t="shared" si="43"/>
        <v>103120.2</v>
      </c>
      <c r="P300" s="22" t="s">
        <v>13</v>
      </c>
      <c r="Q300" s="22" t="s">
        <v>13</v>
      </c>
      <c r="R300" s="22" t="s">
        <v>13</v>
      </c>
      <c r="S300" s="26" t="s">
        <v>13</v>
      </c>
      <c r="T300" s="24"/>
    </row>
    <row r="301" spans="1:20" s="33" customFormat="1" x14ac:dyDescent="0.35">
      <c r="A301" s="39">
        <v>1</v>
      </c>
      <c r="B301" s="39">
        <v>7435</v>
      </c>
      <c r="C301" s="40" t="s">
        <v>467</v>
      </c>
      <c r="D301" s="42">
        <v>1969</v>
      </c>
      <c r="E301" s="41" t="s">
        <v>75</v>
      </c>
      <c r="F301" s="41" t="s">
        <v>158</v>
      </c>
      <c r="G301" s="25">
        <v>465.68</v>
      </c>
      <c r="H301" s="22">
        <v>370.6</v>
      </c>
      <c r="I301" s="101">
        <v>13</v>
      </c>
      <c r="J301" s="22">
        <f>'Форма 2'!I1150</f>
        <v>2072417.11</v>
      </c>
      <c r="K301" s="22">
        <v>0</v>
      </c>
      <c r="L301" s="22">
        <v>0</v>
      </c>
      <c r="M301" s="22">
        <v>0</v>
      </c>
      <c r="N301" s="22">
        <f>J301-K301-L301-M301-O301</f>
        <v>1983130.26</v>
      </c>
      <c r="O301" s="22">
        <v>89286.85</v>
      </c>
      <c r="P301" s="22">
        <f>J301/H301</f>
        <v>5592.06</v>
      </c>
      <c r="Q301" s="22">
        <f>'Форма 2'!K1150</f>
        <v>7066</v>
      </c>
      <c r="R301" s="34" t="s">
        <v>156</v>
      </c>
      <c r="S301" s="172">
        <v>1</v>
      </c>
      <c r="T301" s="24"/>
    </row>
    <row r="302" spans="1:20" s="33" customFormat="1" x14ac:dyDescent="0.35">
      <c r="A302" s="39">
        <f>A301+1</f>
        <v>2</v>
      </c>
      <c r="B302" s="39">
        <v>7383</v>
      </c>
      <c r="C302" s="40" t="s">
        <v>468</v>
      </c>
      <c r="D302" s="42">
        <v>1982</v>
      </c>
      <c r="E302" s="41" t="s">
        <v>75</v>
      </c>
      <c r="F302" s="41" t="s">
        <v>155</v>
      </c>
      <c r="G302" s="25">
        <v>1636.05</v>
      </c>
      <c r="H302" s="22">
        <v>1541.55</v>
      </c>
      <c r="I302" s="101">
        <v>57</v>
      </c>
      <c r="J302" s="22">
        <f>'Форма 2'!I1153</f>
        <v>134120.89000000001</v>
      </c>
      <c r="K302" s="22">
        <v>0</v>
      </c>
      <c r="L302" s="22">
        <v>0</v>
      </c>
      <c r="M302" s="22">
        <v>0</v>
      </c>
      <c r="N302" s="22">
        <f>J302-K302-L302-M302-O302</f>
        <v>120287.54</v>
      </c>
      <c r="O302" s="22">
        <v>13833.35</v>
      </c>
      <c r="P302" s="22">
        <f>J302/H302</f>
        <v>87</v>
      </c>
      <c r="Q302" s="22">
        <f>'Форма 2'!K1153</f>
        <v>164</v>
      </c>
      <c r="R302" s="34" t="s">
        <v>156</v>
      </c>
      <c r="S302" s="172">
        <v>1</v>
      </c>
      <c r="T302" s="24"/>
    </row>
    <row r="303" spans="1:20" s="33" customFormat="1" x14ac:dyDescent="0.35">
      <c r="A303" s="228" t="s">
        <v>54</v>
      </c>
      <c r="B303" s="228"/>
      <c r="C303" s="228"/>
      <c r="D303" s="23" t="s">
        <v>13</v>
      </c>
      <c r="E303" s="22" t="s">
        <v>13</v>
      </c>
      <c r="F303" s="22" t="s">
        <v>13</v>
      </c>
      <c r="G303" s="27">
        <f>SUM(G304:G313)</f>
        <v>29318.81</v>
      </c>
      <c r="H303" s="27">
        <f t="shared" ref="H303:O303" si="44">SUM(H304:H313)</f>
        <v>22282.240000000002</v>
      </c>
      <c r="I303" s="104">
        <f t="shared" si="44"/>
        <v>1049</v>
      </c>
      <c r="J303" s="27">
        <f t="shared" si="44"/>
        <v>31131819.309999999</v>
      </c>
      <c r="K303" s="27">
        <f t="shared" si="44"/>
        <v>0</v>
      </c>
      <c r="L303" s="27">
        <f t="shared" si="44"/>
        <v>0</v>
      </c>
      <c r="M303" s="27">
        <f t="shared" si="44"/>
        <v>0</v>
      </c>
      <c r="N303" s="27">
        <f t="shared" si="44"/>
        <v>30186418.059999999</v>
      </c>
      <c r="O303" s="27">
        <f t="shared" si="44"/>
        <v>945401.25</v>
      </c>
      <c r="P303" s="22" t="s">
        <v>13</v>
      </c>
      <c r="Q303" s="22" t="s">
        <v>13</v>
      </c>
      <c r="R303" s="22" t="s">
        <v>13</v>
      </c>
      <c r="S303" s="26" t="s">
        <v>13</v>
      </c>
      <c r="T303" s="24"/>
    </row>
    <row r="304" spans="1:20" s="33" customFormat="1" x14ac:dyDescent="0.35">
      <c r="A304" s="39">
        <v>1</v>
      </c>
      <c r="B304" s="137">
        <v>6977</v>
      </c>
      <c r="C304" s="40" t="s">
        <v>469</v>
      </c>
      <c r="D304" s="42">
        <v>1970</v>
      </c>
      <c r="E304" s="42" t="s">
        <v>75</v>
      </c>
      <c r="F304" s="42" t="s">
        <v>158</v>
      </c>
      <c r="G304" s="25">
        <v>1404.5</v>
      </c>
      <c r="H304" s="22">
        <v>966.8</v>
      </c>
      <c r="I304" s="101">
        <v>60</v>
      </c>
      <c r="J304" s="22">
        <f>'Форма 2'!I1156</f>
        <v>2654687.9900000002</v>
      </c>
      <c r="K304" s="48">
        <v>0</v>
      </c>
      <c r="L304" s="22">
        <v>0</v>
      </c>
      <c r="M304" s="22">
        <v>0</v>
      </c>
      <c r="N304" s="22">
        <f>J304-O304</f>
        <v>2561922.46</v>
      </c>
      <c r="O304" s="22">
        <v>92765.53</v>
      </c>
      <c r="P304" s="22">
        <f t="shared" ref="P304:P313" si="45">J304/H304</f>
        <v>2745.85</v>
      </c>
      <c r="Q304" s="22">
        <f>'Форма 2'!K1156</f>
        <v>4728</v>
      </c>
      <c r="R304" s="177" t="s">
        <v>156</v>
      </c>
      <c r="S304" s="172">
        <v>1</v>
      </c>
      <c r="T304" s="24"/>
    </row>
    <row r="305" spans="1:20" s="33" customFormat="1" x14ac:dyDescent="0.35">
      <c r="A305" s="39">
        <f t="shared" ref="A305:A313" si="46">A304+1</f>
        <v>2</v>
      </c>
      <c r="B305" s="137">
        <v>6958</v>
      </c>
      <c r="C305" s="40" t="s">
        <v>470</v>
      </c>
      <c r="D305" s="42">
        <v>1971</v>
      </c>
      <c r="E305" s="42" t="s">
        <v>75</v>
      </c>
      <c r="F305" s="42" t="s">
        <v>158</v>
      </c>
      <c r="G305" s="25">
        <v>2010.5</v>
      </c>
      <c r="H305" s="22">
        <v>1377.29</v>
      </c>
      <c r="I305" s="101">
        <v>66</v>
      </c>
      <c r="J305" s="22">
        <f>'Форма 2'!I1159</f>
        <v>3825540.56</v>
      </c>
      <c r="K305" s="48">
        <v>0</v>
      </c>
      <c r="L305" s="22">
        <v>0</v>
      </c>
      <c r="M305" s="22">
        <v>0</v>
      </c>
      <c r="N305" s="22">
        <f>J305-O305</f>
        <v>3701662.01</v>
      </c>
      <c r="O305" s="22">
        <v>123878.55</v>
      </c>
      <c r="P305" s="22">
        <f t="shared" si="45"/>
        <v>2777.59</v>
      </c>
      <c r="Q305" s="22">
        <f>'Форма 2'!K1159</f>
        <v>4728</v>
      </c>
      <c r="R305" s="177" t="s">
        <v>156</v>
      </c>
      <c r="S305" s="172">
        <v>1</v>
      </c>
      <c r="T305" s="24"/>
    </row>
    <row r="306" spans="1:20" s="33" customFormat="1" x14ac:dyDescent="0.35">
      <c r="A306" s="39">
        <f t="shared" si="46"/>
        <v>3</v>
      </c>
      <c r="B306" s="137">
        <v>7002</v>
      </c>
      <c r="C306" s="117" t="s">
        <v>471</v>
      </c>
      <c r="D306" s="42">
        <v>1974</v>
      </c>
      <c r="E306" s="42" t="s">
        <v>75</v>
      </c>
      <c r="F306" s="146" t="s">
        <v>163</v>
      </c>
      <c r="G306" s="25">
        <v>3571.3</v>
      </c>
      <c r="H306" s="22">
        <v>2657.4</v>
      </c>
      <c r="I306" s="101">
        <v>151</v>
      </c>
      <c r="J306" s="22">
        <f>'Форма 2'!I1162</f>
        <v>2643222.7599999998</v>
      </c>
      <c r="K306" s="48">
        <v>0</v>
      </c>
      <c r="L306" s="48">
        <v>0</v>
      </c>
      <c r="M306" s="48">
        <v>0</v>
      </c>
      <c r="N306" s="48">
        <f t="shared" ref="N306:N313" si="47">J306-K306-L306-M306-O306</f>
        <v>2568267.48</v>
      </c>
      <c r="O306" s="22">
        <v>74955.28</v>
      </c>
      <c r="P306" s="22">
        <f t="shared" si="45"/>
        <v>994.66</v>
      </c>
      <c r="Q306" s="22">
        <f>'Форма 2'!K1162</f>
        <v>2936</v>
      </c>
      <c r="R306" s="177" t="s">
        <v>164</v>
      </c>
      <c r="S306" s="172">
        <v>1</v>
      </c>
      <c r="T306" s="24"/>
    </row>
    <row r="307" spans="1:20" s="33" customFormat="1" x14ac:dyDescent="0.35">
      <c r="A307" s="39">
        <f t="shared" si="46"/>
        <v>4</v>
      </c>
      <c r="B307" s="137">
        <v>7003</v>
      </c>
      <c r="C307" s="40" t="s">
        <v>472</v>
      </c>
      <c r="D307" s="42">
        <v>1976</v>
      </c>
      <c r="E307" s="42" t="s">
        <v>75</v>
      </c>
      <c r="F307" s="146" t="s">
        <v>163</v>
      </c>
      <c r="G307" s="25">
        <v>3571.3</v>
      </c>
      <c r="H307" s="22">
        <v>2665.8</v>
      </c>
      <c r="I307" s="101">
        <v>115</v>
      </c>
      <c r="J307" s="22">
        <f>'Форма 2'!I1165</f>
        <v>2652802.0699999998</v>
      </c>
      <c r="K307" s="48">
        <v>0</v>
      </c>
      <c r="L307" s="22">
        <v>0</v>
      </c>
      <c r="M307" s="22">
        <v>0</v>
      </c>
      <c r="N307" s="22">
        <f t="shared" si="47"/>
        <v>2577846.79</v>
      </c>
      <c r="O307" s="22">
        <v>74955.28</v>
      </c>
      <c r="P307" s="22">
        <f t="shared" si="45"/>
        <v>995.12</v>
      </c>
      <c r="Q307" s="22">
        <f>'Форма 2'!K1165</f>
        <v>2936</v>
      </c>
      <c r="R307" s="177" t="s">
        <v>164</v>
      </c>
      <c r="S307" s="172">
        <v>1</v>
      </c>
      <c r="T307" s="24"/>
    </row>
    <row r="308" spans="1:20" s="33" customFormat="1" x14ac:dyDescent="0.35">
      <c r="A308" s="39">
        <f t="shared" si="46"/>
        <v>5</v>
      </c>
      <c r="B308" s="137">
        <v>6933</v>
      </c>
      <c r="C308" s="10" t="s">
        <v>473</v>
      </c>
      <c r="D308" s="42">
        <v>1974</v>
      </c>
      <c r="E308" s="42" t="s">
        <v>75</v>
      </c>
      <c r="F308" s="146" t="s">
        <v>163</v>
      </c>
      <c r="G308" s="25">
        <v>4629</v>
      </c>
      <c r="H308" s="22">
        <v>3603</v>
      </c>
      <c r="I308" s="101">
        <v>203</v>
      </c>
      <c r="J308" s="22">
        <f>'Форма 2'!I1168</f>
        <v>3577652.4</v>
      </c>
      <c r="K308" s="48">
        <v>0</v>
      </c>
      <c r="L308" s="22">
        <v>0</v>
      </c>
      <c r="M308" s="22">
        <v>0</v>
      </c>
      <c r="N308" s="22">
        <f t="shared" si="47"/>
        <v>3476025.29</v>
      </c>
      <c r="O308" s="22">
        <v>101627.11</v>
      </c>
      <c r="P308" s="22">
        <f t="shared" si="45"/>
        <v>992.96</v>
      </c>
      <c r="Q308" s="22">
        <f>'Форма 2'!K1168</f>
        <v>2936</v>
      </c>
      <c r="R308" s="177" t="s">
        <v>164</v>
      </c>
      <c r="S308" s="172">
        <v>1</v>
      </c>
      <c r="T308" s="24"/>
    </row>
    <row r="309" spans="1:20" s="33" customFormat="1" x14ac:dyDescent="0.35">
      <c r="A309" s="39">
        <f t="shared" si="46"/>
        <v>6</v>
      </c>
      <c r="B309" s="137">
        <v>6942</v>
      </c>
      <c r="C309" s="10" t="s">
        <v>474</v>
      </c>
      <c r="D309" s="42">
        <v>1974</v>
      </c>
      <c r="E309" s="42" t="s">
        <v>75</v>
      </c>
      <c r="F309" s="146" t="s">
        <v>163</v>
      </c>
      <c r="G309" s="25">
        <v>1027</v>
      </c>
      <c r="H309" s="22">
        <v>751.3</v>
      </c>
      <c r="I309" s="101">
        <v>27</v>
      </c>
      <c r="J309" s="22">
        <f>'Форма 2'!I1171</f>
        <v>1165824.2</v>
      </c>
      <c r="K309" s="48">
        <v>0</v>
      </c>
      <c r="L309" s="22">
        <v>0</v>
      </c>
      <c r="M309" s="22">
        <v>0</v>
      </c>
      <c r="N309" s="22">
        <f t="shared" si="47"/>
        <v>1132543.42</v>
      </c>
      <c r="O309" s="22">
        <v>33280.78</v>
      </c>
      <c r="P309" s="22">
        <f t="shared" si="45"/>
        <v>1551.74</v>
      </c>
      <c r="Q309" s="22">
        <f>'Форма 2'!K1171</f>
        <v>4793</v>
      </c>
      <c r="R309" s="177" t="s">
        <v>164</v>
      </c>
      <c r="S309" s="172">
        <v>1</v>
      </c>
      <c r="T309" s="24"/>
    </row>
    <row r="310" spans="1:20" s="33" customFormat="1" x14ac:dyDescent="0.35">
      <c r="A310" s="39">
        <f t="shared" si="46"/>
        <v>7</v>
      </c>
      <c r="B310" s="137">
        <v>6831</v>
      </c>
      <c r="C310" s="10" t="s">
        <v>475</v>
      </c>
      <c r="D310" s="42">
        <v>1979</v>
      </c>
      <c r="E310" s="42" t="s">
        <v>75</v>
      </c>
      <c r="F310" s="146" t="s">
        <v>163</v>
      </c>
      <c r="G310" s="25">
        <v>5440.7</v>
      </c>
      <c r="H310" s="22">
        <v>3997.52</v>
      </c>
      <c r="I310" s="101">
        <v>201</v>
      </c>
      <c r="J310" s="48">
        <f>'Форма 2'!I1174</f>
        <v>3976193.22</v>
      </c>
      <c r="K310" s="48">
        <v>0</v>
      </c>
      <c r="L310" s="22">
        <v>0</v>
      </c>
      <c r="M310" s="22">
        <v>0</v>
      </c>
      <c r="N310" s="22">
        <f t="shared" si="47"/>
        <v>3863438.19</v>
      </c>
      <c r="O310" s="22">
        <v>112755.03</v>
      </c>
      <c r="P310" s="22">
        <f t="shared" si="45"/>
        <v>994.66</v>
      </c>
      <c r="Q310" s="22">
        <f>'Форма 2'!K1174</f>
        <v>2936</v>
      </c>
      <c r="R310" s="177" t="s">
        <v>164</v>
      </c>
      <c r="S310" s="172">
        <v>1</v>
      </c>
      <c r="T310" s="24"/>
    </row>
    <row r="311" spans="1:20" s="33" customFormat="1" x14ac:dyDescent="0.35">
      <c r="A311" s="39">
        <f t="shared" si="46"/>
        <v>8</v>
      </c>
      <c r="B311" s="137">
        <v>6832</v>
      </c>
      <c r="C311" s="10" t="s">
        <v>476</v>
      </c>
      <c r="D311" s="42">
        <v>1989</v>
      </c>
      <c r="E311" s="42" t="s">
        <v>75</v>
      </c>
      <c r="F311" s="146" t="s">
        <v>163</v>
      </c>
      <c r="G311" s="25">
        <v>3993.11</v>
      </c>
      <c r="H311" s="22">
        <v>2867.33</v>
      </c>
      <c r="I311" s="101">
        <v>109</v>
      </c>
      <c r="J311" s="48">
        <f>'Форма 2'!I1177</f>
        <v>2854713.75</v>
      </c>
      <c r="K311" s="48">
        <v>0</v>
      </c>
      <c r="L311" s="22">
        <v>0</v>
      </c>
      <c r="M311" s="22">
        <v>0</v>
      </c>
      <c r="N311" s="22">
        <f t="shared" si="47"/>
        <v>2773837.13</v>
      </c>
      <c r="O311" s="22">
        <v>80876.62</v>
      </c>
      <c r="P311" s="22">
        <f t="shared" si="45"/>
        <v>995.6</v>
      </c>
      <c r="Q311" s="22">
        <f>'Форма 2'!K1177</f>
        <v>2936</v>
      </c>
      <c r="R311" s="177" t="s">
        <v>164</v>
      </c>
      <c r="S311" s="172">
        <v>1</v>
      </c>
      <c r="T311" s="24"/>
    </row>
    <row r="312" spans="1:20" s="184" customFormat="1" ht="31" x14ac:dyDescent="0.35">
      <c r="A312" s="146">
        <f t="shared" si="46"/>
        <v>9</v>
      </c>
      <c r="B312" s="137">
        <v>7021</v>
      </c>
      <c r="C312" s="185" t="s">
        <v>477</v>
      </c>
      <c r="D312" s="41">
        <v>1972</v>
      </c>
      <c r="E312" s="41" t="s">
        <v>805</v>
      </c>
      <c r="F312" s="146" t="s">
        <v>155</v>
      </c>
      <c r="G312" s="186">
        <v>953.7</v>
      </c>
      <c r="H312" s="86">
        <v>871.7</v>
      </c>
      <c r="I312" s="103">
        <v>40</v>
      </c>
      <c r="J312" s="187">
        <f>'Форма 2'!I1180</f>
        <v>226642</v>
      </c>
      <c r="K312" s="187">
        <v>0</v>
      </c>
      <c r="L312" s="86">
        <v>0</v>
      </c>
      <c r="M312" s="86">
        <v>0</v>
      </c>
      <c r="N312" s="86">
        <f t="shared" si="47"/>
        <v>199796.65</v>
      </c>
      <c r="O312" s="86">
        <v>26845.35</v>
      </c>
      <c r="P312" s="86">
        <f t="shared" si="45"/>
        <v>260</v>
      </c>
      <c r="Q312" s="86">
        <f>'Форма 2'!K1180</f>
        <v>260</v>
      </c>
      <c r="R312" s="188" t="s">
        <v>156</v>
      </c>
      <c r="S312" s="183">
        <v>1</v>
      </c>
      <c r="T312" s="24"/>
    </row>
    <row r="313" spans="1:20" s="33" customFormat="1" x14ac:dyDescent="0.35">
      <c r="A313" s="39">
        <f t="shared" si="46"/>
        <v>10</v>
      </c>
      <c r="B313" s="136">
        <v>6925</v>
      </c>
      <c r="C313" s="10" t="s">
        <v>478</v>
      </c>
      <c r="D313" s="146">
        <v>1963</v>
      </c>
      <c r="E313" s="132" t="s">
        <v>75</v>
      </c>
      <c r="F313" s="42" t="s">
        <v>158</v>
      </c>
      <c r="G313" s="25">
        <v>2717.7</v>
      </c>
      <c r="H313" s="22">
        <v>2524.1</v>
      </c>
      <c r="I313" s="101">
        <v>77</v>
      </c>
      <c r="J313" s="22">
        <f>'Форма 2'!I1185</f>
        <v>7554540.3600000003</v>
      </c>
      <c r="K313" s="48">
        <v>0</v>
      </c>
      <c r="L313" s="22">
        <v>0</v>
      </c>
      <c r="M313" s="22">
        <v>0</v>
      </c>
      <c r="N313" s="22">
        <f t="shared" si="47"/>
        <v>7331078.6399999997</v>
      </c>
      <c r="O313" s="22">
        <v>223461.72</v>
      </c>
      <c r="P313" s="22">
        <f t="shared" si="45"/>
        <v>2992.96</v>
      </c>
      <c r="Q313" s="22">
        <f>'Форма 2'!K1185</f>
        <v>4728</v>
      </c>
      <c r="R313" s="177" t="s">
        <v>156</v>
      </c>
      <c r="S313" s="172">
        <v>1</v>
      </c>
      <c r="T313" s="24"/>
    </row>
    <row r="314" spans="1:20" s="33" customFormat="1" x14ac:dyDescent="0.35">
      <c r="A314" s="228" t="s">
        <v>49</v>
      </c>
      <c r="B314" s="228"/>
      <c r="C314" s="228"/>
      <c r="D314" s="23" t="s">
        <v>13</v>
      </c>
      <c r="E314" s="22" t="s">
        <v>13</v>
      </c>
      <c r="F314" s="22" t="s">
        <v>13</v>
      </c>
      <c r="G314" s="27">
        <f>G315</f>
        <v>1009</v>
      </c>
      <c r="H314" s="27">
        <f t="shared" ref="H314:O314" si="48">H315</f>
        <v>885.8</v>
      </c>
      <c r="I314" s="104">
        <f t="shared" si="48"/>
        <v>44</v>
      </c>
      <c r="J314" s="27">
        <f t="shared" si="48"/>
        <v>3770301.99</v>
      </c>
      <c r="K314" s="27">
        <f t="shared" si="48"/>
        <v>0</v>
      </c>
      <c r="L314" s="27">
        <f t="shared" si="48"/>
        <v>0</v>
      </c>
      <c r="M314" s="27">
        <f t="shared" si="48"/>
        <v>0</v>
      </c>
      <c r="N314" s="27">
        <f t="shared" si="48"/>
        <v>3629872.67</v>
      </c>
      <c r="O314" s="27">
        <f t="shared" si="48"/>
        <v>140429.32</v>
      </c>
      <c r="P314" s="22" t="s">
        <v>13</v>
      </c>
      <c r="Q314" s="22" t="s">
        <v>13</v>
      </c>
      <c r="R314" s="22" t="s">
        <v>13</v>
      </c>
      <c r="S314" s="26" t="s">
        <v>13</v>
      </c>
      <c r="T314" s="24"/>
    </row>
    <row r="315" spans="1:20" s="33" customFormat="1" x14ac:dyDescent="0.35">
      <c r="A315" s="39">
        <v>1</v>
      </c>
      <c r="B315" s="110">
        <v>4997</v>
      </c>
      <c r="C315" s="40" t="s">
        <v>479</v>
      </c>
      <c r="D315" s="141">
        <v>1981</v>
      </c>
      <c r="E315" s="141" t="s">
        <v>75</v>
      </c>
      <c r="F315" s="141" t="s">
        <v>158</v>
      </c>
      <c r="G315" s="53">
        <v>1009</v>
      </c>
      <c r="H315" s="86">
        <v>885.8</v>
      </c>
      <c r="I315" s="150">
        <v>44</v>
      </c>
      <c r="J315" s="22">
        <f>'Форма 2'!I1189</f>
        <v>3770301.99</v>
      </c>
      <c r="K315" s="22">
        <v>0</v>
      </c>
      <c r="L315" s="22">
        <v>0</v>
      </c>
      <c r="M315" s="22">
        <v>0</v>
      </c>
      <c r="N315" s="22">
        <f>J315-K315-L315-M315-O315</f>
        <v>3629872.67</v>
      </c>
      <c r="O315" s="22">
        <v>140429.32</v>
      </c>
      <c r="P315" s="22">
        <f>J315/H315</f>
        <v>4256.38</v>
      </c>
      <c r="Q315" s="19">
        <f>'Форма 2'!K1189</f>
        <v>7539</v>
      </c>
      <c r="R315" s="34" t="s">
        <v>156</v>
      </c>
      <c r="S315" s="172">
        <v>1</v>
      </c>
      <c r="T315" s="24"/>
    </row>
    <row r="316" spans="1:20" s="33" customFormat="1" x14ac:dyDescent="0.35">
      <c r="A316" s="228" t="s">
        <v>55</v>
      </c>
      <c r="B316" s="228"/>
      <c r="C316" s="228"/>
      <c r="D316" s="23" t="s">
        <v>13</v>
      </c>
      <c r="E316" s="22" t="s">
        <v>13</v>
      </c>
      <c r="F316" s="22" t="s">
        <v>13</v>
      </c>
      <c r="G316" s="27">
        <f>G317</f>
        <v>1187.7</v>
      </c>
      <c r="H316" s="27">
        <f t="shared" ref="H316:O316" si="49">H317</f>
        <v>988.9</v>
      </c>
      <c r="I316" s="104">
        <f t="shared" si="49"/>
        <v>94</v>
      </c>
      <c r="J316" s="27">
        <f t="shared" si="49"/>
        <v>5360773.6500000004</v>
      </c>
      <c r="K316" s="27">
        <f t="shared" si="49"/>
        <v>0</v>
      </c>
      <c r="L316" s="27">
        <f t="shared" si="49"/>
        <v>0</v>
      </c>
      <c r="M316" s="27">
        <f t="shared" si="49"/>
        <v>0</v>
      </c>
      <c r="N316" s="27">
        <f t="shared" si="49"/>
        <v>5165259.45</v>
      </c>
      <c r="O316" s="27">
        <f t="shared" si="49"/>
        <v>195514.2</v>
      </c>
      <c r="P316" s="22" t="s">
        <v>13</v>
      </c>
      <c r="Q316" s="22" t="s">
        <v>13</v>
      </c>
      <c r="R316" s="22" t="s">
        <v>13</v>
      </c>
      <c r="S316" s="26" t="s">
        <v>13</v>
      </c>
      <c r="T316" s="24"/>
    </row>
    <row r="317" spans="1:20" s="33" customFormat="1" x14ac:dyDescent="0.35">
      <c r="A317" s="39">
        <f>1</f>
        <v>1</v>
      </c>
      <c r="B317" s="39">
        <v>7164</v>
      </c>
      <c r="C317" s="40" t="s">
        <v>480</v>
      </c>
      <c r="D317" s="42">
        <v>1983</v>
      </c>
      <c r="E317" s="41" t="s">
        <v>75</v>
      </c>
      <c r="F317" s="41" t="s">
        <v>158</v>
      </c>
      <c r="G317" s="25">
        <v>1187.7</v>
      </c>
      <c r="H317" s="22">
        <v>988.9</v>
      </c>
      <c r="I317" s="101">
        <v>94</v>
      </c>
      <c r="J317" s="22">
        <f>'Форма 2'!I1193</f>
        <v>5360773.6500000004</v>
      </c>
      <c r="K317" s="22">
        <v>0</v>
      </c>
      <c r="L317" s="22">
        <v>0</v>
      </c>
      <c r="M317" s="22">
        <v>0</v>
      </c>
      <c r="N317" s="25">
        <f>J317-O317</f>
        <v>5165259.45</v>
      </c>
      <c r="O317" s="25">
        <v>195514.2</v>
      </c>
      <c r="P317" s="22">
        <f>J317/H317</f>
        <v>5420.95</v>
      </c>
      <c r="Q317" s="22">
        <f>'Форма 2'!K1193</f>
        <v>7066</v>
      </c>
      <c r="R317" s="34" t="s">
        <v>156</v>
      </c>
      <c r="S317" s="172">
        <v>1</v>
      </c>
      <c r="T317" s="24"/>
    </row>
    <row r="318" spans="1:20" s="33" customFormat="1" x14ac:dyDescent="0.35">
      <c r="A318" s="18" t="s">
        <v>29</v>
      </c>
      <c r="B318" s="18"/>
      <c r="C318" s="19"/>
      <c r="D318" s="18"/>
      <c r="E318" s="19"/>
      <c r="F318" s="19"/>
      <c r="G318" s="19"/>
      <c r="H318" s="19"/>
      <c r="I318" s="20"/>
      <c r="J318" s="19"/>
      <c r="K318" s="19"/>
      <c r="L318" s="19"/>
      <c r="M318" s="19"/>
      <c r="N318" s="19"/>
      <c r="O318" s="19"/>
      <c r="P318" s="22"/>
      <c r="Q318" s="22"/>
      <c r="R318" s="22"/>
      <c r="S318" s="26"/>
    </row>
    <row r="319" spans="1:20" s="33" customFormat="1" x14ac:dyDescent="0.35">
      <c r="A319" s="229" t="s">
        <v>51</v>
      </c>
      <c r="B319" s="229"/>
      <c r="C319" s="229"/>
      <c r="D319" s="18" t="s">
        <v>13</v>
      </c>
      <c r="E319" s="19" t="s">
        <v>13</v>
      </c>
      <c r="F319" s="19" t="s">
        <v>13</v>
      </c>
      <c r="G319" s="19">
        <f t="shared" ref="G319:O319" si="50">G320+G323+G338+G340+G343+G411+G433+G691+G693+G697+G700+G724+G726+G730+G733+G749+G751</f>
        <v>1505974.03</v>
      </c>
      <c r="H319" s="19">
        <f t="shared" si="50"/>
        <v>1260803.49</v>
      </c>
      <c r="I319" s="20">
        <f t="shared" si="50"/>
        <v>52112</v>
      </c>
      <c r="J319" s="19">
        <f t="shared" si="50"/>
        <v>1132768922.49</v>
      </c>
      <c r="K319" s="19">
        <f t="shared" si="50"/>
        <v>0</v>
      </c>
      <c r="L319" s="19">
        <f t="shared" si="50"/>
        <v>0</v>
      </c>
      <c r="M319" s="19">
        <f t="shared" si="50"/>
        <v>0</v>
      </c>
      <c r="N319" s="19">
        <f t="shared" si="50"/>
        <v>1132768922.49</v>
      </c>
      <c r="O319" s="19">
        <f t="shared" si="50"/>
        <v>0</v>
      </c>
      <c r="P319" s="22" t="s">
        <v>13</v>
      </c>
      <c r="Q319" s="22" t="s">
        <v>13</v>
      </c>
      <c r="R319" s="22" t="s">
        <v>13</v>
      </c>
      <c r="S319" s="26" t="s">
        <v>13</v>
      </c>
    </row>
    <row r="320" spans="1:20" s="33" customFormat="1" x14ac:dyDescent="0.35">
      <c r="A320" s="115" t="s">
        <v>16</v>
      </c>
      <c r="B320" s="18"/>
      <c r="C320" s="115"/>
      <c r="D320" s="23" t="s">
        <v>13</v>
      </c>
      <c r="E320" s="22" t="s">
        <v>13</v>
      </c>
      <c r="F320" s="22" t="s">
        <v>13</v>
      </c>
      <c r="G320" s="22">
        <f>SUM(G321:G322)</f>
        <v>690.9</v>
      </c>
      <c r="H320" s="22">
        <f t="shared" ref="H320:O320" si="51">SUM(H321:H322)</f>
        <v>624.1</v>
      </c>
      <c r="I320" s="26">
        <f t="shared" si="51"/>
        <v>28</v>
      </c>
      <c r="J320" s="22">
        <f t="shared" si="51"/>
        <v>127069.7</v>
      </c>
      <c r="K320" s="22">
        <f t="shared" si="51"/>
        <v>0</v>
      </c>
      <c r="L320" s="22">
        <f t="shared" si="51"/>
        <v>0</v>
      </c>
      <c r="M320" s="22">
        <f t="shared" si="51"/>
        <v>0</v>
      </c>
      <c r="N320" s="22">
        <f t="shared" si="51"/>
        <v>127069.7</v>
      </c>
      <c r="O320" s="22">
        <f t="shared" si="51"/>
        <v>0</v>
      </c>
      <c r="P320" s="22" t="s">
        <v>13</v>
      </c>
      <c r="Q320" s="22" t="s">
        <v>13</v>
      </c>
      <c r="R320" s="22" t="s">
        <v>13</v>
      </c>
      <c r="S320" s="26" t="s">
        <v>13</v>
      </c>
    </row>
    <row r="321" spans="1:20" s="33" customFormat="1" x14ac:dyDescent="0.35">
      <c r="A321" s="11">
        <v>1</v>
      </c>
      <c r="B321" s="110">
        <v>4692</v>
      </c>
      <c r="C321" s="76" t="s">
        <v>481</v>
      </c>
      <c r="D321" s="145">
        <v>1968</v>
      </c>
      <c r="E321" s="44" t="s">
        <v>233</v>
      </c>
      <c r="F321" s="96" t="s">
        <v>155</v>
      </c>
      <c r="G321" s="22">
        <v>261.60000000000002</v>
      </c>
      <c r="H321" s="22">
        <v>237.2</v>
      </c>
      <c r="I321" s="26">
        <v>12</v>
      </c>
      <c r="J321" s="22">
        <f>'Форма 2'!I1198</f>
        <v>58588.4</v>
      </c>
      <c r="K321" s="22">
        <v>0</v>
      </c>
      <c r="L321" s="22">
        <v>0</v>
      </c>
      <c r="M321" s="22">
        <v>0</v>
      </c>
      <c r="N321" s="22">
        <f>J321-K321-L321-M321-O321</f>
        <v>58588.4</v>
      </c>
      <c r="O321" s="22">
        <v>0</v>
      </c>
      <c r="P321" s="22">
        <f>J321/H321</f>
        <v>247</v>
      </c>
      <c r="Q321" s="22">
        <f>'Форма 2'!K1198</f>
        <v>247</v>
      </c>
      <c r="R321" s="34" t="s">
        <v>164</v>
      </c>
      <c r="S321" s="172">
        <v>1</v>
      </c>
    </row>
    <row r="322" spans="1:20" s="33" customFormat="1" x14ac:dyDescent="0.35">
      <c r="A322" s="11">
        <f>A321+1</f>
        <v>2</v>
      </c>
      <c r="B322" s="110">
        <v>4731</v>
      </c>
      <c r="C322" s="14" t="s">
        <v>482</v>
      </c>
      <c r="D322" s="145">
        <v>1981</v>
      </c>
      <c r="E322" s="44" t="s">
        <v>75</v>
      </c>
      <c r="F322" s="96" t="s">
        <v>155</v>
      </c>
      <c r="G322" s="22">
        <v>429.3</v>
      </c>
      <c r="H322" s="22">
        <v>386.9</v>
      </c>
      <c r="I322" s="26">
        <v>16</v>
      </c>
      <c r="J322" s="22">
        <f>'Форма 2'!I1200</f>
        <v>68481.3</v>
      </c>
      <c r="K322" s="22">
        <v>0</v>
      </c>
      <c r="L322" s="22">
        <v>0</v>
      </c>
      <c r="M322" s="22">
        <v>0</v>
      </c>
      <c r="N322" s="22">
        <f>J322-K322-L322-M322-O322</f>
        <v>68481.3</v>
      </c>
      <c r="O322" s="22">
        <v>0</v>
      </c>
      <c r="P322" s="22">
        <f>J322/H322</f>
        <v>177</v>
      </c>
      <c r="Q322" s="22">
        <f>'Форма 2'!K1200</f>
        <v>177</v>
      </c>
      <c r="R322" s="34" t="s">
        <v>164</v>
      </c>
      <c r="S322" s="172">
        <v>1</v>
      </c>
    </row>
    <row r="323" spans="1:20" s="45" customFormat="1" x14ac:dyDescent="0.35">
      <c r="A323" s="224" t="s">
        <v>33</v>
      </c>
      <c r="B323" s="224"/>
      <c r="C323" s="224"/>
      <c r="D323" s="23" t="s">
        <v>13</v>
      </c>
      <c r="E323" s="22" t="s">
        <v>13</v>
      </c>
      <c r="F323" s="22" t="s">
        <v>13</v>
      </c>
      <c r="G323" s="22">
        <f>SUM(G324:G337)</f>
        <v>28407.15</v>
      </c>
      <c r="H323" s="22">
        <f t="shared" ref="H323:O323" si="52">SUM(H324:H337)</f>
        <v>22714.89</v>
      </c>
      <c r="I323" s="26">
        <f t="shared" si="52"/>
        <v>762</v>
      </c>
      <c r="J323" s="22">
        <f t="shared" si="52"/>
        <v>31106292.52</v>
      </c>
      <c r="K323" s="22">
        <f t="shared" si="52"/>
        <v>0</v>
      </c>
      <c r="L323" s="22">
        <f t="shared" si="52"/>
        <v>0</v>
      </c>
      <c r="M323" s="22">
        <f t="shared" si="52"/>
        <v>0</v>
      </c>
      <c r="N323" s="22">
        <f t="shared" si="52"/>
        <v>31106292.52</v>
      </c>
      <c r="O323" s="22">
        <f t="shared" si="52"/>
        <v>0</v>
      </c>
      <c r="P323" s="22" t="s">
        <v>13</v>
      </c>
      <c r="Q323" s="22" t="s">
        <v>13</v>
      </c>
      <c r="R323" s="22" t="s">
        <v>13</v>
      </c>
      <c r="S323" s="26" t="s">
        <v>13</v>
      </c>
      <c r="T323" s="33"/>
    </row>
    <row r="324" spans="1:20" s="33" customFormat="1" x14ac:dyDescent="0.35">
      <c r="A324" s="124">
        <v>1</v>
      </c>
      <c r="B324" s="120">
        <v>4526</v>
      </c>
      <c r="C324" s="139" t="s">
        <v>483</v>
      </c>
      <c r="D324" s="80">
        <v>1971</v>
      </c>
      <c r="E324" s="44" t="s">
        <v>75</v>
      </c>
      <c r="F324" s="11" t="s">
        <v>155</v>
      </c>
      <c r="G324" s="81">
        <v>792.06</v>
      </c>
      <c r="H324" s="81">
        <v>732</v>
      </c>
      <c r="I324" s="98">
        <v>28</v>
      </c>
      <c r="J324" s="22">
        <f>'Форма 2'!I1203</f>
        <v>120048</v>
      </c>
      <c r="K324" s="22">
        <v>0</v>
      </c>
      <c r="L324" s="22">
        <v>0</v>
      </c>
      <c r="M324" s="22">
        <v>0</v>
      </c>
      <c r="N324" s="22">
        <f>J324-K324-L324-M324-O324</f>
        <v>120048</v>
      </c>
      <c r="O324" s="22">
        <v>0</v>
      </c>
      <c r="P324" s="58">
        <f>J324/H324</f>
        <v>164</v>
      </c>
      <c r="Q324" s="22">
        <f>'Форма 2'!K1203</f>
        <v>164</v>
      </c>
      <c r="R324" s="34" t="s">
        <v>164</v>
      </c>
      <c r="S324" s="172">
        <v>1</v>
      </c>
    </row>
    <row r="325" spans="1:20" s="33" customFormat="1" x14ac:dyDescent="0.35">
      <c r="A325" s="124">
        <f>A324+1</f>
        <v>2</v>
      </c>
      <c r="B325" s="120">
        <v>4516</v>
      </c>
      <c r="C325" s="82" t="s">
        <v>484</v>
      </c>
      <c r="D325" s="77">
        <v>1971</v>
      </c>
      <c r="E325" s="44" t="s">
        <v>75</v>
      </c>
      <c r="F325" s="44" t="s">
        <v>155</v>
      </c>
      <c r="G325" s="78">
        <v>762.9</v>
      </c>
      <c r="H325" s="78">
        <v>704.7</v>
      </c>
      <c r="I325" s="98">
        <v>31</v>
      </c>
      <c r="J325" s="22">
        <f>'Форма 2'!I1205</f>
        <v>115570.8</v>
      </c>
      <c r="K325" s="22">
        <v>0</v>
      </c>
      <c r="L325" s="22">
        <v>0</v>
      </c>
      <c r="M325" s="22">
        <v>0</v>
      </c>
      <c r="N325" s="22">
        <f t="shared" ref="N325:N337" si="53">J325-K325-L325-M325-O325</f>
        <v>115570.8</v>
      </c>
      <c r="O325" s="22">
        <v>0</v>
      </c>
      <c r="P325" s="58">
        <f t="shared" ref="P325:P337" si="54">J325/H325</f>
        <v>164</v>
      </c>
      <c r="Q325" s="22">
        <f>'Форма 2'!K1205</f>
        <v>164</v>
      </c>
      <c r="R325" s="34" t="s">
        <v>164</v>
      </c>
      <c r="S325" s="172">
        <v>1</v>
      </c>
    </row>
    <row r="326" spans="1:20" s="33" customFormat="1" x14ac:dyDescent="0.35">
      <c r="A326" s="124">
        <f t="shared" ref="A326:A337" si="55">A325+1</f>
        <v>3</v>
      </c>
      <c r="B326" s="120">
        <v>4598</v>
      </c>
      <c r="C326" s="82" t="s">
        <v>485</v>
      </c>
      <c r="D326" s="77">
        <v>1981</v>
      </c>
      <c r="E326" s="44" t="s">
        <v>75</v>
      </c>
      <c r="F326" s="44" t="s">
        <v>155</v>
      </c>
      <c r="G326" s="78">
        <v>818.97</v>
      </c>
      <c r="H326" s="78">
        <v>726.63</v>
      </c>
      <c r="I326" s="98">
        <v>20</v>
      </c>
      <c r="J326" s="22">
        <f>'Форма 2'!I1207</f>
        <v>129340.14</v>
      </c>
      <c r="K326" s="22">
        <v>0</v>
      </c>
      <c r="L326" s="22">
        <v>0</v>
      </c>
      <c r="M326" s="22">
        <v>0</v>
      </c>
      <c r="N326" s="22">
        <f>J326-K326-L326-M326-O326</f>
        <v>129340.14</v>
      </c>
      <c r="O326" s="22">
        <v>0</v>
      </c>
      <c r="P326" s="58">
        <f>J326/H326</f>
        <v>178</v>
      </c>
      <c r="Q326" s="22">
        <f>'Форма 2'!K1207</f>
        <v>178</v>
      </c>
      <c r="R326" s="34" t="s">
        <v>164</v>
      </c>
      <c r="S326" s="172">
        <v>1</v>
      </c>
    </row>
    <row r="327" spans="1:20" s="45" customFormat="1" x14ac:dyDescent="0.35">
      <c r="A327" s="124">
        <f t="shared" si="55"/>
        <v>4</v>
      </c>
      <c r="B327" s="120">
        <v>4429</v>
      </c>
      <c r="C327" s="82" t="s">
        <v>734</v>
      </c>
      <c r="D327" s="77">
        <v>1983</v>
      </c>
      <c r="E327" s="44" t="s">
        <v>75</v>
      </c>
      <c r="F327" s="44" t="s">
        <v>155</v>
      </c>
      <c r="G327" s="78">
        <v>3629.08</v>
      </c>
      <c r="H327" s="78">
        <v>2632.73</v>
      </c>
      <c r="I327" s="98">
        <v>75</v>
      </c>
      <c r="J327" s="22">
        <f>'Форма 2'!I1209</f>
        <v>431767.72</v>
      </c>
      <c r="K327" s="22">
        <v>0</v>
      </c>
      <c r="L327" s="22">
        <v>0</v>
      </c>
      <c r="M327" s="22">
        <v>0</v>
      </c>
      <c r="N327" s="22">
        <f>J327-K327-L327-M327-O327</f>
        <v>431767.72</v>
      </c>
      <c r="O327" s="22">
        <v>0</v>
      </c>
      <c r="P327" s="58">
        <f>J327/H327</f>
        <v>164</v>
      </c>
      <c r="Q327" s="22">
        <f>'Форма 2'!K1209</f>
        <v>164</v>
      </c>
      <c r="R327" s="34" t="s">
        <v>164</v>
      </c>
      <c r="S327" s="172">
        <v>1</v>
      </c>
      <c r="T327" s="33"/>
    </row>
    <row r="328" spans="1:20" s="33" customFormat="1" x14ac:dyDescent="0.35">
      <c r="A328" s="124">
        <f>A327+1</f>
        <v>5</v>
      </c>
      <c r="B328" s="120">
        <v>4560</v>
      </c>
      <c r="C328" s="82" t="s">
        <v>162</v>
      </c>
      <c r="D328" s="77">
        <v>1981</v>
      </c>
      <c r="E328" s="44" t="s">
        <v>75</v>
      </c>
      <c r="F328" s="44" t="s">
        <v>486</v>
      </c>
      <c r="G328" s="78">
        <v>2287.61</v>
      </c>
      <c r="H328" s="78">
        <v>1535.88</v>
      </c>
      <c r="I328" s="98">
        <v>32</v>
      </c>
      <c r="J328" s="22">
        <f>'Форма 2'!I1211</f>
        <v>5128764.08</v>
      </c>
      <c r="K328" s="22">
        <v>0</v>
      </c>
      <c r="L328" s="22">
        <v>0</v>
      </c>
      <c r="M328" s="22">
        <v>0</v>
      </c>
      <c r="N328" s="22">
        <f t="shared" si="53"/>
        <v>5128764.08</v>
      </c>
      <c r="O328" s="22">
        <v>0</v>
      </c>
      <c r="P328" s="58">
        <f t="shared" si="54"/>
        <v>3339.3</v>
      </c>
      <c r="Q328" s="22">
        <f>'Форма 2'!K1211</f>
        <v>4728</v>
      </c>
      <c r="R328" s="34" t="s">
        <v>164</v>
      </c>
      <c r="S328" s="172">
        <v>1</v>
      </c>
    </row>
    <row r="329" spans="1:20" s="33" customFormat="1" x14ac:dyDescent="0.35">
      <c r="A329" s="124">
        <f t="shared" si="55"/>
        <v>6</v>
      </c>
      <c r="B329" s="120">
        <v>4561</v>
      </c>
      <c r="C329" s="82" t="s">
        <v>487</v>
      </c>
      <c r="D329" s="77">
        <v>1974</v>
      </c>
      <c r="E329" s="44" t="s">
        <v>75</v>
      </c>
      <c r="F329" s="44" t="s">
        <v>155</v>
      </c>
      <c r="G329" s="78">
        <v>1468.76</v>
      </c>
      <c r="H329" s="78">
        <v>1380.66</v>
      </c>
      <c r="I329" s="98">
        <v>49</v>
      </c>
      <c r="J329" s="22">
        <f>'Форма 2'!I1214</f>
        <v>226428.24</v>
      </c>
      <c r="K329" s="22">
        <v>0</v>
      </c>
      <c r="L329" s="22">
        <v>0</v>
      </c>
      <c r="M329" s="22">
        <v>0</v>
      </c>
      <c r="N329" s="22">
        <f>J329-K329-L329-M329-O329</f>
        <v>226428.24</v>
      </c>
      <c r="O329" s="22">
        <v>0</v>
      </c>
      <c r="P329" s="58">
        <f>J329/H329</f>
        <v>164</v>
      </c>
      <c r="Q329" s="22">
        <f>'Форма 2'!K1214</f>
        <v>164</v>
      </c>
      <c r="R329" s="34" t="s">
        <v>164</v>
      </c>
      <c r="S329" s="172">
        <v>1</v>
      </c>
    </row>
    <row r="330" spans="1:20" s="33" customFormat="1" x14ac:dyDescent="0.35">
      <c r="A330" s="124">
        <f t="shared" si="55"/>
        <v>7</v>
      </c>
      <c r="B330" s="120">
        <v>4569</v>
      </c>
      <c r="C330" s="82" t="s">
        <v>166</v>
      </c>
      <c r="D330" s="77">
        <v>1981</v>
      </c>
      <c r="E330" s="44" t="s">
        <v>75</v>
      </c>
      <c r="F330" s="44" t="s">
        <v>158</v>
      </c>
      <c r="G330" s="78">
        <v>5453.35</v>
      </c>
      <c r="H330" s="78">
        <v>4033.01</v>
      </c>
      <c r="I330" s="98">
        <v>169</v>
      </c>
      <c r="J330" s="22">
        <f>'Форма 2'!I1216</f>
        <v>11417451.310000001</v>
      </c>
      <c r="K330" s="22">
        <v>0</v>
      </c>
      <c r="L330" s="22">
        <v>0</v>
      </c>
      <c r="M330" s="22">
        <v>0</v>
      </c>
      <c r="N330" s="22">
        <f t="shared" si="53"/>
        <v>11417451.310000001</v>
      </c>
      <c r="O330" s="22">
        <v>0</v>
      </c>
      <c r="P330" s="58">
        <f t="shared" si="54"/>
        <v>2831</v>
      </c>
      <c r="Q330" s="22">
        <f>'Форма 2'!K1216</f>
        <v>2831</v>
      </c>
      <c r="R330" s="34" t="s">
        <v>164</v>
      </c>
      <c r="S330" s="172">
        <v>1</v>
      </c>
    </row>
    <row r="331" spans="1:20" s="33" customFormat="1" x14ac:dyDescent="0.35">
      <c r="A331" s="124">
        <f t="shared" si="55"/>
        <v>8</v>
      </c>
      <c r="B331" s="120">
        <v>4563</v>
      </c>
      <c r="C331" s="82" t="s">
        <v>735</v>
      </c>
      <c r="D331" s="77">
        <v>1976</v>
      </c>
      <c r="E331" s="44" t="s">
        <v>75</v>
      </c>
      <c r="F331" s="44" t="s">
        <v>155</v>
      </c>
      <c r="G331" s="78">
        <v>4770.96</v>
      </c>
      <c r="H331" s="78">
        <v>4353.01</v>
      </c>
      <c r="I331" s="98">
        <v>123</v>
      </c>
      <c r="J331" s="22">
        <f>'Форма 2'!I1219</f>
        <v>713893.64</v>
      </c>
      <c r="K331" s="22">
        <v>0</v>
      </c>
      <c r="L331" s="22">
        <v>0</v>
      </c>
      <c r="M331" s="22">
        <v>0</v>
      </c>
      <c r="N331" s="22">
        <f>J331-K331-L331-M331-O331</f>
        <v>713893.64</v>
      </c>
      <c r="O331" s="22">
        <v>0</v>
      </c>
      <c r="P331" s="58">
        <f>J331/H331</f>
        <v>164</v>
      </c>
      <c r="Q331" s="22">
        <f>'Форма 2'!K1219</f>
        <v>164</v>
      </c>
      <c r="R331" s="34" t="s">
        <v>164</v>
      </c>
      <c r="S331" s="172">
        <v>1</v>
      </c>
    </row>
    <row r="332" spans="1:20" s="33" customFormat="1" x14ac:dyDescent="0.35">
      <c r="A332" s="124">
        <f>A331+1</f>
        <v>9</v>
      </c>
      <c r="B332" s="120">
        <v>4433</v>
      </c>
      <c r="C332" s="82" t="s">
        <v>168</v>
      </c>
      <c r="D332" s="77">
        <v>1981</v>
      </c>
      <c r="E332" s="44" t="s">
        <v>488</v>
      </c>
      <c r="F332" s="44" t="s">
        <v>158</v>
      </c>
      <c r="G332" s="78">
        <v>544.70000000000005</v>
      </c>
      <c r="H332" s="78">
        <v>493.5</v>
      </c>
      <c r="I332" s="98">
        <v>12</v>
      </c>
      <c r="J332" s="58">
        <f>'Форма 2'!I1221</f>
        <v>1412890.5</v>
      </c>
      <c r="K332" s="22">
        <v>0</v>
      </c>
      <c r="L332" s="22">
        <v>0</v>
      </c>
      <c r="M332" s="22">
        <v>0</v>
      </c>
      <c r="N332" s="22">
        <f t="shared" si="53"/>
        <v>1412890.5</v>
      </c>
      <c r="O332" s="22">
        <v>0</v>
      </c>
      <c r="P332" s="58">
        <f t="shared" si="54"/>
        <v>2863</v>
      </c>
      <c r="Q332" s="22">
        <f>'Форма 2'!K1221</f>
        <v>2863</v>
      </c>
      <c r="R332" s="34" t="s">
        <v>164</v>
      </c>
      <c r="S332" s="172">
        <v>1</v>
      </c>
    </row>
    <row r="333" spans="1:20" s="33" customFormat="1" x14ac:dyDescent="0.35">
      <c r="A333" s="124">
        <f t="shared" si="55"/>
        <v>10</v>
      </c>
      <c r="B333" s="120">
        <v>4478</v>
      </c>
      <c r="C333" s="82" t="s">
        <v>489</v>
      </c>
      <c r="D333" s="77">
        <v>1974</v>
      </c>
      <c r="E333" s="44" t="s">
        <v>439</v>
      </c>
      <c r="F333" s="44" t="s">
        <v>155</v>
      </c>
      <c r="G333" s="78">
        <v>3780</v>
      </c>
      <c r="H333" s="78">
        <v>2933.1</v>
      </c>
      <c r="I333" s="98">
        <v>96</v>
      </c>
      <c r="J333" s="22">
        <f>'Форма 2'!I1224</f>
        <v>129056.4</v>
      </c>
      <c r="K333" s="22">
        <v>0</v>
      </c>
      <c r="L333" s="22">
        <v>0</v>
      </c>
      <c r="M333" s="22">
        <v>0</v>
      </c>
      <c r="N333" s="22">
        <f>J333-K333-L333-M333-O333</f>
        <v>129056.4</v>
      </c>
      <c r="O333" s="22">
        <v>0</v>
      </c>
      <c r="P333" s="58">
        <f>J333/H333</f>
        <v>44</v>
      </c>
      <c r="Q333" s="22">
        <f>'Форма 2'!K1224</f>
        <v>44</v>
      </c>
      <c r="R333" s="34" t="s">
        <v>164</v>
      </c>
      <c r="S333" s="172">
        <v>1</v>
      </c>
    </row>
    <row r="334" spans="1:20" s="33" customFormat="1" x14ac:dyDescent="0.35">
      <c r="A334" s="124">
        <f t="shared" si="55"/>
        <v>11</v>
      </c>
      <c r="B334" s="120">
        <v>4444</v>
      </c>
      <c r="C334" s="46" t="s">
        <v>490</v>
      </c>
      <c r="D334" s="124">
        <v>1970</v>
      </c>
      <c r="E334" s="44" t="s">
        <v>75</v>
      </c>
      <c r="F334" s="44" t="s">
        <v>155</v>
      </c>
      <c r="G334" s="86">
        <v>783.9</v>
      </c>
      <c r="H334" s="86">
        <v>725.1</v>
      </c>
      <c r="I334" s="99">
        <v>27</v>
      </c>
      <c r="J334" s="22">
        <f>'Форма 2'!I1226</f>
        <v>118916.4</v>
      </c>
      <c r="K334" s="22">
        <v>0</v>
      </c>
      <c r="L334" s="22">
        <v>0</v>
      </c>
      <c r="M334" s="22">
        <v>0</v>
      </c>
      <c r="N334" s="22">
        <f t="shared" si="53"/>
        <v>118916.4</v>
      </c>
      <c r="O334" s="22">
        <v>0</v>
      </c>
      <c r="P334" s="22">
        <f t="shared" si="54"/>
        <v>164</v>
      </c>
      <c r="Q334" s="22">
        <f>'Форма 2'!K1226</f>
        <v>164</v>
      </c>
      <c r="R334" s="34" t="s">
        <v>164</v>
      </c>
      <c r="S334" s="172">
        <v>1</v>
      </c>
    </row>
    <row r="335" spans="1:20" s="33" customFormat="1" x14ac:dyDescent="0.35">
      <c r="A335" s="124">
        <f t="shared" si="55"/>
        <v>12</v>
      </c>
      <c r="B335" s="120">
        <v>4536</v>
      </c>
      <c r="C335" s="46" t="s">
        <v>491</v>
      </c>
      <c r="D335" s="124">
        <v>1971</v>
      </c>
      <c r="E335" s="44" t="s">
        <v>75</v>
      </c>
      <c r="F335" s="44" t="s">
        <v>155</v>
      </c>
      <c r="G335" s="86">
        <v>934.25</v>
      </c>
      <c r="H335" s="86">
        <v>851.15</v>
      </c>
      <c r="I335" s="99">
        <v>34</v>
      </c>
      <c r="J335" s="22">
        <f>'Форма 2'!I1228</f>
        <v>139588.6</v>
      </c>
      <c r="K335" s="22">
        <v>0</v>
      </c>
      <c r="L335" s="22">
        <v>0</v>
      </c>
      <c r="M335" s="22">
        <v>0</v>
      </c>
      <c r="N335" s="22">
        <f t="shared" si="53"/>
        <v>139588.6</v>
      </c>
      <c r="O335" s="22">
        <v>0</v>
      </c>
      <c r="P335" s="22">
        <f t="shared" si="54"/>
        <v>164</v>
      </c>
      <c r="Q335" s="22">
        <f>'Форма 2'!K1228</f>
        <v>164</v>
      </c>
      <c r="R335" s="34" t="s">
        <v>164</v>
      </c>
      <c r="S335" s="172">
        <v>1</v>
      </c>
    </row>
    <row r="336" spans="1:20" s="33" customFormat="1" x14ac:dyDescent="0.35">
      <c r="A336" s="124">
        <f t="shared" si="55"/>
        <v>13</v>
      </c>
      <c r="B336" s="120">
        <v>4540</v>
      </c>
      <c r="C336" s="46" t="s">
        <v>171</v>
      </c>
      <c r="D336" s="124">
        <v>1977</v>
      </c>
      <c r="E336" s="44" t="s">
        <v>75</v>
      </c>
      <c r="F336" s="44" t="s">
        <v>486</v>
      </c>
      <c r="G336" s="86">
        <v>976.94</v>
      </c>
      <c r="H336" s="86">
        <v>892.04</v>
      </c>
      <c r="I336" s="99">
        <v>31</v>
      </c>
      <c r="J336" s="22">
        <f>'Форма 2'!I1230</f>
        <v>4451814.82</v>
      </c>
      <c r="K336" s="22">
        <v>0</v>
      </c>
      <c r="L336" s="22">
        <v>0</v>
      </c>
      <c r="M336" s="22">
        <v>0</v>
      </c>
      <c r="N336" s="22">
        <f t="shared" si="53"/>
        <v>4451814.82</v>
      </c>
      <c r="O336" s="22">
        <v>0</v>
      </c>
      <c r="P336" s="22">
        <f t="shared" si="54"/>
        <v>4990.6000000000004</v>
      </c>
      <c r="Q336" s="22">
        <f>'Форма 2'!K1230</f>
        <v>7066</v>
      </c>
      <c r="R336" s="34" t="s">
        <v>164</v>
      </c>
      <c r="S336" s="172">
        <v>1</v>
      </c>
    </row>
    <row r="337" spans="1:20" s="184" customFormat="1" ht="31" x14ac:dyDescent="0.35">
      <c r="A337" s="124">
        <f t="shared" si="55"/>
        <v>14</v>
      </c>
      <c r="B337" s="120">
        <v>4641</v>
      </c>
      <c r="C337" s="46" t="s">
        <v>173</v>
      </c>
      <c r="D337" s="124">
        <v>1973</v>
      </c>
      <c r="E337" s="44" t="s">
        <v>807</v>
      </c>
      <c r="F337" s="44" t="s">
        <v>492</v>
      </c>
      <c r="G337" s="86">
        <v>1403.67</v>
      </c>
      <c r="H337" s="86">
        <v>721.38</v>
      </c>
      <c r="I337" s="99">
        <v>35</v>
      </c>
      <c r="J337" s="86">
        <f>'Форма 2'!I1233</f>
        <v>6570761.8700000001</v>
      </c>
      <c r="K337" s="86">
        <v>0</v>
      </c>
      <c r="L337" s="86">
        <v>0</v>
      </c>
      <c r="M337" s="86">
        <v>0</v>
      </c>
      <c r="N337" s="86">
        <f t="shared" si="53"/>
        <v>6570761.8700000001</v>
      </c>
      <c r="O337" s="86">
        <v>0</v>
      </c>
      <c r="P337" s="86">
        <f t="shared" si="54"/>
        <v>9108.6</v>
      </c>
      <c r="Q337" s="86">
        <f>'Форма 2'!K1233</f>
        <v>11184</v>
      </c>
      <c r="R337" s="189" t="s">
        <v>164</v>
      </c>
      <c r="S337" s="183">
        <v>1</v>
      </c>
      <c r="T337" s="33"/>
    </row>
    <row r="338" spans="1:20" s="33" customFormat="1" x14ac:dyDescent="0.35">
      <c r="A338" s="224" t="s">
        <v>35</v>
      </c>
      <c r="B338" s="224"/>
      <c r="C338" s="224"/>
      <c r="D338" s="23" t="s">
        <v>13</v>
      </c>
      <c r="E338" s="22" t="s">
        <v>13</v>
      </c>
      <c r="F338" s="22" t="s">
        <v>13</v>
      </c>
      <c r="G338" s="22">
        <f>G339</f>
        <v>357.9</v>
      </c>
      <c r="H338" s="22">
        <f t="shared" ref="H338:O338" si="56">H339</f>
        <v>329.1</v>
      </c>
      <c r="I338" s="26">
        <f t="shared" si="56"/>
        <v>37</v>
      </c>
      <c r="J338" s="22">
        <f t="shared" si="56"/>
        <v>2481084.9</v>
      </c>
      <c r="K338" s="22">
        <f t="shared" si="56"/>
        <v>0</v>
      </c>
      <c r="L338" s="22">
        <f t="shared" si="56"/>
        <v>0</v>
      </c>
      <c r="M338" s="22">
        <f t="shared" si="56"/>
        <v>0</v>
      </c>
      <c r="N338" s="22">
        <f t="shared" si="56"/>
        <v>2481084.9</v>
      </c>
      <c r="O338" s="22">
        <f t="shared" si="56"/>
        <v>0</v>
      </c>
      <c r="P338" s="22" t="s">
        <v>13</v>
      </c>
      <c r="Q338" s="22" t="s">
        <v>13</v>
      </c>
      <c r="R338" s="22" t="s">
        <v>13</v>
      </c>
      <c r="S338" s="26" t="s">
        <v>13</v>
      </c>
    </row>
    <row r="339" spans="1:20" s="33" customFormat="1" x14ac:dyDescent="0.35">
      <c r="A339" s="11">
        <v>1</v>
      </c>
      <c r="B339" s="11">
        <v>6680</v>
      </c>
      <c r="C339" s="76" t="s">
        <v>174</v>
      </c>
      <c r="D339" s="145">
        <v>1966</v>
      </c>
      <c r="E339" s="44" t="s">
        <v>75</v>
      </c>
      <c r="F339" s="96" t="s">
        <v>158</v>
      </c>
      <c r="G339" s="22">
        <v>357.9</v>
      </c>
      <c r="H339" s="22">
        <v>329.1</v>
      </c>
      <c r="I339" s="26">
        <v>37</v>
      </c>
      <c r="J339" s="22">
        <f>'Форма 2'!I1243</f>
        <v>2481084.9</v>
      </c>
      <c r="K339" s="22">
        <v>0</v>
      </c>
      <c r="L339" s="22">
        <v>0</v>
      </c>
      <c r="M339" s="22">
        <v>0</v>
      </c>
      <c r="N339" s="22">
        <f>J339-K339-L339-M339-O339</f>
        <v>2481084.9</v>
      </c>
      <c r="O339" s="22">
        <v>0</v>
      </c>
      <c r="P339" s="22">
        <f>J339/H339</f>
        <v>7539</v>
      </c>
      <c r="Q339" s="22">
        <f>'Форма 2'!K1243</f>
        <v>7539</v>
      </c>
      <c r="R339" s="34" t="s">
        <v>164</v>
      </c>
      <c r="S339" s="172">
        <v>1</v>
      </c>
    </row>
    <row r="340" spans="1:20" s="33" customFormat="1" x14ac:dyDescent="0.35">
      <c r="A340" s="224" t="s">
        <v>38</v>
      </c>
      <c r="B340" s="224"/>
      <c r="C340" s="224"/>
      <c r="D340" s="23" t="s">
        <v>13</v>
      </c>
      <c r="E340" s="22" t="s">
        <v>13</v>
      </c>
      <c r="F340" s="22" t="s">
        <v>13</v>
      </c>
      <c r="G340" s="22">
        <f>G341+G342</f>
        <v>6405.52</v>
      </c>
      <c r="H340" s="22">
        <f t="shared" ref="H340:O340" si="57">H341+H342</f>
        <v>5766.1</v>
      </c>
      <c r="I340" s="26">
        <f t="shared" si="57"/>
        <v>247</v>
      </c>
      <c r="J340" s="22">
        <f t="shared" si="57"/>
        <v>3465970.51</v>
      </c>
      <c r="K340" s="22">
        <f t="shared" si="57"/>
        <v>0</v>
      </c>
      <c r="L340" s="22">
        <f t="shared" si="57"/>
        <v>0</v>
      </c>
      <c r="M340" s="22">
        <f t="shared" si="57"/>
        <v>0</v>
      </c>
      <c r="N340" s="22">
        <f t="shared" si="57"/>
        <v>3465970.51</v>
      </c>
      <c r="O340" s="22">
        <f t="shared" si="57"/>
        <v>0</v>
      </c>
      <c r="P340" s="22" t="s">
        <v>13</v>
      </c>
      <c r="Q340" s="22" t="s">
        <v>13</v>
      </c>
      <c r="R340" s="22" t="s">
        <v>13</v>
      </c>
      <c r="S340" s="26" t="s">
        <v>13</v>
      </c>
    </row>
    <row r="341" spans="1:20" s="33" customFormat="1" x14ac:dyDescent="0.35">
      <c r="A341" s="11">
        <v>1</v>
      </c>
      <c r="B341" s="11">
        <v>5036</v>
      </c>
      <c r="C341" s="76" t="s">
        <v>178</v>
      </c>
      <c r="D341" s="145">
        <v>1986</v>
      </c>
      <c r="E341" s="44" t="s">
        <v>75</v>
      </c>
      <c r="F341" s="44" t="s">
        <v>486</v>
      </c>
      <c r="G341" s="22">
        <v>547.1</v>
      </c>
      <c r="H341" s="22">
        <v>485.3</v>
      </c>
      <c r="I341" s="26">
        <v>28</v>
      </c>
      <c r="J341" s="22">
        <f>'Форма 2'!I1247</f>
        <v>2584076.91</v>
      </c>
      <c r="K341" s="22">
        <v>0</v>
      </c>
      <c r="L341" s="22">
        <v>0</v>
      </c>
      <c r="M341" s="22">
        <v>0</v>
      </c>
      <c r="N341" s="22">
        <f>J341-K341-L341-M341-O341</f>
        <v>2584076.91</v>
      </c>
      <c r="O341" s="22">
        <v>0</v>
      </c>
      <c r="P341" s="22">
        <f>J341/H341</f>
        <v>5324.7</v>
      </c>
      <c r="Q341" s="22">
        <f>'Форма 2'!K1247</f>
        <v>7539</v>
      </c>
      <c r="R341" s="34" t="s">
        <v>164</v>
      </c>
      <c r="S341" s="172">
        <v>1</v>
      </c>
    </row>
    <row r="342" spans="1:20" s="33" customFormat="1" x14ac:dyDescent="0.35">
      <c r="A342" s="11">
        <f>A341+1</f>
        <v>2</v>
      </c>
      <c r="B342" s="11">
        <v>5054</v>
      </c>
      <c r="C342" s="76" t="s">
        <v>493</v>
      </c>
      <c r="D342" s="145">
        <v>1986</v>
      </c>
      <c r="E342" s="44" t="s">
        <v>75</v>
      </c>
      <c r="F342" s="44" t="s">
        <v>155</v>
      </c>
      <c r="G342" s="22">
        <v>5858.42</v>
      </c>
      <c r="H342" s="22">
        <v>5280.8</v>
      </c>
      <c r="I342" s="26">
        <v>219</v>
      </c>
      <c r="J342" s="22">
        <f>'Форма 2'!I1250</f>
        <v>881893.6</v>
      </c>
      <c r="K342" s="22">
        <v>0</v>
      </c>
      <c r="L342" s="22">
        <v>0</v>
      </c>
      <c r="M342" s="22">
        <v>0</v>
      </c>
      <c r="N342" s="22">
        <f>J342-K342-L342-M342-O342</f>
        <v>881893.6</v>
      </c>
      <c r="O342" s="22">
        <v>0</v>
      </c>
      <c r="P342" s="22">
        <f>J342/H342</f>
        <v>167</v>
      </c>
      <c r="Q342" s="22">
        <f>'Форма 2'!K1250</f>
        <v>167</v>
      </c>
      <c r="R342" s="34" t="s">
        <v>164</v>
      </c>
      <c r="S342" s="172">
        <v>1</v>
      </c>
    </row>
    <row r="343" spans="1:20" s="33" customFormat="1" x14ac:dyDescent="0.35">
      <c r="A343" s="223" t="s">
        <v>52</v>
      </c>
      <c r="B343" s="223"/>
      <c r="C343" s="223"/>
      <c r="D343" s="23" t="s">
        <v>13</v>
      </c>
      <c r="E343" s="22" t="s">
        <v>13</v>
      </c>
      <c r="F343" s="22" t="s">
        <v>13</v>
      </c>
      <c r="G343" s="19">
        <f t="shared" ref="G343:O343" si="58">SUM(G344:G410)</f>
        <v>211175.64</v>
      </c>
      <c r="H343" s="19">
        <f t="shared" si="58"/>
        <v>138458.1</v>
      </c>
      <c r="I343" s="20">
        <f t="shared" si="58"/>
        <v>5997</v>
      </c>
      <c r="J343" s="19">
        <f t="shared" si="58"/>
        <v>199856588.59</v>
      </c>
      <c r="K343" s="22">
        <f t="shared" si="58"/>
        <v>0</v>
      </c>
      <c r="L343" s="22">
        <f t="shared" si="58"/>
        <v>0</v>
      </c>
      <c r="M343" s="22">
        <f t="shared" si="58"/>
        <v>0</v>
      </c>
      <c r="N343" s="22">
        <f t="shared" si="58"/>
        <v>199856588.59</v>
      </c>
      <c r="O343" s="22">
        <f t="shared" si="58"/>
        <v>0</v>
      </c>
      <c r="P343" s="22" t="s">
        <v>13</v>
      </c>
      <c r="Q343" s="22" t="s">
        <v>13</v>
      </c>
      <c r="R343" s="22" t="s">
        <v>13</v>
      </c>
      <c r="S343" s="26" t="s">
        <v>13</v>
      </c>
    </row>
    <row r="344" spans="1:20" s="184" customFormat="1" x14ac:dyDescent="0.35">
      <c r="A344" s="124">
        <v>1</v>
      </c>
      <c r="B344" s="124">
        <v>5981</v>
      </c>
      <c r="C344" s="46" t="s">
        <v>180</v>
      </c>
      <c r="D344" s="124">
        <v>1956</v>
      </c>
      <c r="E344" s="118" t="s">
        <v>181</v>
      </c>
      <c r="F344" s="124" t="s">
        <v>486</v>
      </c>
      <c r="G344" s="86">
        <v>3949.1</v>
      </c>
      <c r="H344" s="86">
        <v>3619.5</v>
      </c>
      <c r="I344" s="99">
        <v>133</v>
      </c>
      <c r="J344" s="86">
        <f>'Форма 2'!I1253</f>
        <v>7578147.1500000004</v>
      </c>
      <c r="K344" s="86">
        <v>0</v>
      </c>
      <c r="L344" s="86">
        <v>0</v>
      </c>
      <c r="M344" s="86">
        <v>0</v>
      </c>
      <c r="N344" s="86">
        <f t="shared" ref="N344:N410" si="59">J344-K344-L344-M344-O344</f>
        <v>7578147.1500000004</v>
      </c>
      <c r="O344" s="86">
        <v>0</v>
      </c>
      <c r="P344" s="86">
        <f t="shared" ref="P344:P401" si="60">J344/H344</f>
        <v>2093.6999999999998</v>
      </c>
      <c r="Q344" s="86">
        <f>'Форма 2'!K1253</f>
        <v>3055</v>
      </c>
      <c r="R344" s="189" t="s">
        <v>164</v>
      </c>
      <c r="S344" s="183">
        <v>1</v>
      </c>
      <c r="T344" s="33"/>
    </row>
    <row r="345" spans="1:20" s="33" customFormat="1" x14ac:dyDescent="0.35">
      <c r="A345" s="11">
        <f>A344+1</f>
        <v>2</v>
      </c>
      <c r="B345" s="11">
        <v>6011</v>
      </c>
      <c r="C345" s="46" t="s">
        <v>494</v>
      </c>
      <c r="D345" s="124">
        <v>1967</v>
      </c>
      <c r="E345" s="124" t="s">
        <v>75</v>
      </c>
      <c r="F345" s="124" t="s">
        <v>158</v>
      </c>
      <c r="G345" s="19">
        <v>3271.95</v>
      </c>
      <c r="H345" s="22">
        <v>2626.5</v>
      </c>
      <c r="I345" s="20">
        <v>81</v>
      </c>
      <c r="J345" s="19">
        <f>'Форма 2'!I1260</f>
        <v>3918738</v>
      </c>
      <c r="K345" s="19">
        <v>0</v>
      </c>
      <c r="L345" s="22">
        <v>0</v>
      </c>
      <c r="M345" s="22">
        <v>0</v>
      </c>
      <c r="N345" s="22">
        <f t="shared" si="59"/>
        <v>3918738</v>
      </c>
      <c r="O345" s="22">
        <v>0</v>
      </c>
      <c r="P345" s="19">
        <f t="shared" si="60"/>
        <v>1492</v>
      </c>
      <c r="Q345" s="19">
        <f>'Форма 2'!K1260</f>
        <v>1524</v>
      </c>
      <c r="R345" s="47" t="s">
        <v>164</v>
      </c>
      <c r="S345" s="174">
        <v>1</v>
      </c>
    </row>
    <row r="346" spans="1:20" s="33" customFormat="1" x14ac:dyDescent="0.35">
      <c r="A346" s="11">
        <f t="shared" ref="A346:A407" si="61">A345+1</f>
        <v>3</v>
      </c>
      <c r="B346" s="11">
        <v>6041</v>
      </c>
      <c r="C346" s="46" t="s">
        <v>495</v>
      </c>
      <c r="D346" s="11">
        <v>1991</v>
      </c>
      <c r="E346" s="124" t="s">
        <v>185</v>
      </c>
      <c r="F346" s="124" t="s">
        <v>186</v>
      </c>
      <c r="G346" s="22">
        <v>19725.099999999999</v>
      </c>
      <c r="H346" s="22">
        <v>18052.599999999999</v>
      </c>
      <c r="I346" s="26">
        <v>621</v>
      </c>
      <c r="J346" s="22">
        <f>'Форма 2'!I1263</f>
        <v>13867224</v>
      </c>
      <c r="K346" s="22">
        <v>0</v>
      </c>
      <c r="L346" s="22">
        <v>0</v>
      </c>
      <c r="M346" s="22">
        <v>0</v>
      </c>
      <c r="N346" s="22">
        <f>J346-K346-L346-M346-O346</f>
        <v>13867224</v>
      </c>
      <c r="O346" s="22">
        <v>0</v>
      </c>
      <c r="P346" s="22">
        <f>J346/H346</f>
        <v>768.16</v>
      </c>
      <c r="Q346" s="22">
        <f>'Форма 2'!K1263</f>
        <v>784.37</v>
      </c>
      <c r="R346" s="34" t="s">
        <v>164</v>
      </c>
      <c r="S346" s="172">
        <v>1</v>
      </c>
    </row>
    <row r="347" spans="1:20" s="33" customFormat="1" x14ac:dyDescent="0.35">
      <c r="A347" s="11">
        <f t="shared" si="61"/>
        <v>4</v>
      </c>
      <c r="B347" s="11">
        <v>5833</v>
      </c>
      <c r="C347" s="46" t="s">
        <v>187</v>
      </c>
      <c r="D347" s="11">
        <v>1957</v>
      </c>
      <c r="E347" s="124" t="s">
        <v>75</v>
      </c>
      <c r="F347" s="124" t="s">
        <v>486</v>
      </c>
      <c r="G347" s="22">
        <v>3792</v>
      </c>
      <c r="H347" s="22">
        <v>2041.3</v>
      </c>
      <c r="I347" s="26">
        <v>73</v>
      </c>
      <c r="J347" s="19">
        <f>'Форма 2'!I1288</f>
        <v>6614424.3899999997</v>
      </c>
      <c r="K347" s="22">
        <v>0</v>
      </c>
      <c r="L347" s="22">
        <v>0</v>
      </c>
      <c r="M347" s="22">
        <v>0</v>
      </c>
      <c r="N347" s="22">
        <f t="shared" si="59"/>
        <v>6614424.3899999997</v>
      </c>
      <c r="O347" s="22">
        <v>0</v>
      </c>
      <c r="P347" s="22">
        <f t="shared" si="60"/>
        <v>3240.3</v>
      </c>
      <c r="Q347" s="19">
        <f>'Форма 2'!K1288</f>
        <v>4728</v>
      </c>
      <c r="R347" s="34" t="s">
        <v>164</v>
      </c>
      <c r="S347" s="172">
        <v>1</v>
      </c>
    </row>
    <row r="348" spans="1:20" s="33" customFormat="1" x14ac:dyDescent="0.35">
      <c r="A348" s="11">
        <f t="shared" si="61"/>
        <v>5</v>
      </c>
      <c r="B348" s="11">
        <v>5834</v>
      </c>
      <c r="C348" s="46" t="s">
        <v>496</v>
      </c>
      <c r="D348" s="11">
        <v>1959</v>
      </c>
      <c r="E348" s="124" t="s">
        <v>75</v>
      </c>
      <c r="F348" s="124" t="s">
        <v>155</v>
      </c>
      <c r="G348" s="22">
        <v>3755</v>
      </c>
      <c r="H348" s="22">
        <v>2024.2</v>
      </c>
      <c r="I348" s="26">
        <v>45</v>
      </c>
      <c r="J348" s="19">
        <f>'Форма 2'!I1291</f>
        <v>331968.8</v>
      </c>
      <c r="K348" s="22">
        <v>0</v>
      </c>
      <c r="L348" s="22">
        <v>0</v>
      </c>
      <c r="M348" s="22">
        <v>0</v>
      </c>
      <c r="N348" s="22">
        <f t="shared" si="59"/>
        <v>331968.8</v>
      </c>
      <c r="O348" s="22">
        <v>0</v>
      </c>
      <c r="P348" s="22">
        <f t="shared" si="60"/>
        <v>164</v>
      </c>
      <c r="Q348" s="19">
        <f>'Форма 2'!K1291</f>
        <v>164</v>
      </c>
      <c r="R348" s="34" t="s">
        <v>164</v>
      </c>
      <c r="S348" s="172">
        <v>1</v>
      </c>
    </row>
    <row r="349" spans="1:20" s="33" customFormat="1" x14ac:dyDescent="0.35">
      <c r="A349" s="11">
        <f t="shared" si="61"/>
        <v>6</v>
      </c>
      <c r="B349" s="11">
        <v>5842</v>
      </c>
      <c r="C349" s="46" t="s">
        <v>188</v>
      </c>
      <c r="D349" s="11">
        <v>1954</v>
      </c>
      <c r="E349" s="124" t="s">
        <v>75</v>
      </c>
      <c r="F349" s="124" t="s">
        <v>486</v>
      </c>
      <c r="G349" s="19">
        <v>1003.2</v>
      </c>
      <c r="H349" s="22">
        <v>911.5</v>
      </c>
      <c r="I349" s="20">
        <v>45</v>
      </c>
      <c r="J349" s="19">
        <f>'Форма 2'!I1293</f>
        <v>4414029.9000000004</v>
      </c>
      <c r="K349" s="22">
        <v>0</v>
      </c>
      <c r="L349" s="22">
        <v>0</v>
      </c>
      <c r="M349" s="22">
        <v>0</v>
      </c>
      <c r="N349" s="22">
        <f t="shared" si="59"/>
        <v>4414029.9000000004</v>
      </c>
      <c r="O349" s="22">
        <v>0</v>
      </c>
      <c r="P349" s="22">
        <f t="shared" si="60"/>
        <v>4842.6000000000004</v>
      </c>
      <c r="Q349" s="19">
        <f>'Форма 2'!K1293</f>
        <v>7066</v>
      </c>
      <c r="R349" s="34" t="s">
        <v>164</v>
      </c>
      <c r="S349" s="172">
        <v>1</v>
      </c>
    </row>
    <row r="350" spans="1:20" s="33" customFormat="1" x14ac:dyDescent="0.35">
      <c r="A350" s="11">
        <f t="shared" si="61"/>
        <v>7</v>
      </c>
      <c r="B350" s="11">
        <v>5861</v>
      </c>
      <c r="C350" s="46" t="s">
        <v>497</v>
      </c>
      <c r="D350" s="11">
        <v>1958</v>
      </c>
      <c r="E350" s="124" t="s">
        <v>75</v>
      </c>
      <c r="F350" s="124" t="s">
        <v>163</v>
      </c>
      <c r="G350" s="22">
        <v>4187</v>
      </c>
      <c r="H350" s="22">
        <v>2357.8000000000002</v>
      </c>
      <c r="I350" s="26">
        <v>89</v>
      </c>
      <c r="J350" s="19">
        <f>'Форма 2'!I1296</f>
        <v>3490720.47</v>
      </c>
      <c r="K350" s="22">
        <v>0</v>
      </c>
      <c r="L350" s="22">
        <v>0</v>
      </c>
      <c r="M350" s="22">
        <v>0</v>
      </c>
      <c r="N350" s="22">
        <f t="shared" si="59"/>
        <v>3490720.47</v>
      </c>
      <c r="O350" s="22">
        <v>0</v>
      </c>
      <c r="P350" s="22">
        <f t="shared" si="60"/>
        <v>1480.5</v>
      </c>
      <c r="Q350" s="19">
        <f>'Форма 2'!K1296</f>
        <v>4793</v>
      </c>
      <c r="R350" s="34" t="s">
        <v>498</v>
      </c>
      <c r="S350" s="172">
        <v>1</v>
      </c>
    </row>
    <row r="351" spans="1:20" s="184" customFormat="1" ht="31" x14ac:dyDescent="0.35">
      <c r="A351" s="124">
        <f t="shared" si="61"/>
        <v>8</v>
      </c>
      <c r="B351" s="124">
        <v>5862</v>
      </c>
      <c r="C351" s="46" t="s">
        <v>189</v>
      </c>
      <c r="D351" s="124">
        <v>1957</v>
      </c>
      <c r="E351" s="118" t="s">
        <v>806</v>
      </c>
      <c r="F351" s="124" t="s">
        <v>158</v>
      </c>
      <c r="G351" s="86">
        <v>4279</v>
      </c>
      <c r="H351" s="86">
        <v>2376.8000000000002</v>
      </c>
      <c r="I351" s="99">
        <v>103</v>
      </c>
      <c r="J351" s="118">
        <f>'Форма 2'!I1299</f>
        <v>12328461.6</v>
      </c>
      <c r="K351" s="86">
        <v>0</v>
      </c>
      <c r="L351" s="86">
        <v>0</v>
      </c>
      <c r="M351" s="86">
        <v>0</v>
      </c>
      <c r="N351" s="86">
        <f t="shared" si="59"/>
        <v>12328461.6</v>
      </c>
      <c r="O351" s="86">
        <v>0</v>
      </c>
      <c r="P351" s="86">
        <f t="shared" si="60"/>
        <v>5187</v>
      </c>
      <c r="Q351" s="118">
        <f>'Форма 2'!K1299</f>
        <v>5299</v>
      </c>
      <c r="R351" s="189" t="s">
        <v>164</v>
      </c>
      <c r="S351" s="183">
        <v>1</v>
      </c>
      <c r="T351" s="33"/>
    </row>
    <row r="352" spans="1:20" s="33" customFormat="1" x14ac:dyDescent="0.35">
      <c r="A352" s="11">
        <f t="shared" si="61"/>
        <v>9</v>
      </c>
      <c r="B352" s="11">
        <v>5865</v>
      </c>
      <c r="C352" s="46" t="s">
        <v>499</v>
      </c>
      <c r="D352" s="11">
        <v>1958</v>
      </c>
      <c r="E352" s="124" t="s">
        <v>75</v>
      </c>
      <c r="F352" s="124" t="s">
        <v>163</v>
      </c>
      <c r="G352" s="22">
        <v>3776</v>
      </c>
      <c r="H352" s="22">
        <v>2034.2</v>
      </c>
      <c r="I352" s="26">
        <v>78</v>
      </c>
      <c r="J352" s="19">
        <f>'Форма 2'!I1310</f>
        <v>3026136.64</v>
      </c>
      <c r="K352" s="22">
        <v>0</v>
      </c>
      <c r="L352" s="22">
        <v>0</v>
      </c>
      <c r="M352" s="22">
        <v>0</v>
      </c>
      <c r="N352" s="22">
        <f t="shared" si="59"/>
        <v>3026136.64</v>
      </c>
      <c r="O352" s="22">
        <v>0</v>
      </c>
      <c r="P352" s="22">
        <f t="shared" si="60"/>
        <v>1487.63</v>
      </c>
      <c r="Q352" s="19">
        <f>'Форма 2'!K1310</f>
        <v>4793</v>
      </c>
      <c r="R352" s="34" t="s">
        <v>498</v>
      </c>
      <c r="S352" s="172">
        <v>1</v>
      </c>
    </row>
    <row r="353" spans="1:20" s="33" customFormat="1" x14ac:dyDescent="0.35">
      <c r="A353" s="11">
        <f t="shared" si="61"/>
        <v>10</v>
      </c>
      <c r="B353" s="11">
        <v>5866</v>
      </c>
      <c r="C353" s="46" t="s">
        <v>500</v>
      </c>
      <c r="D353" s="11">
        <v>1958</v>
      </c>
      <c r="E353" s="124" t="s">
        <v>75</v>
      </c>
      <c r="F353" s="124" t="s">
        <v>155</v>
      </c>
      <c r="G353" s="22">
        <v>3795</v>
      </c>
      <c r="H353" s="22">
        <v>2046.3</v>
      </c>
      <c r="I353" s="26">
        <v>89</v>
      </c>
      <c r="J353" s="19">
        <f>'Форма 2'!I1313</f>
        <v>202037.92</v>
      </c>
      <c r="K353" s="22">
        <v>0</v>
      </c>
      <c r="L353" s="22">
        <v>0</v>
      </c>
      <c r="M353" s="22">
        <v>0</v>
      </c>
      <c r="N353" s="22">
        <f t="shared" si="59"/>
        <v>202037.92</v>
      </c>
      <c r="O353" s="22">
        <v>0</v>
      </c>
      <c r="P353" s="22">
        <f t="shared" si="60"/>
        <v>98.73</v>
      </c>
      <c r="Q353" s="19">
        <f>'Форма 2'!K1313</f>
        <v>164</v>
      </c>
      <c r="R353" s="34" t="s">
        <v>164</v>
      </c>
      <c r="S353" s="172">
        <v>1</v>
      </c>
    </row>
    <row r="354" spans="1:20" s="33" customFormat="1" x14ac:dyDescent="0.35">
      <c r="A354" s="11">
        <f t="shared" si="61"/>
        <v>11</v>
      </c>
      <c r="B354" s="110">
        <v>5867</v>
      </c>
      <c r="C354" s="46" t="s">
        <v>501</v>
      </c>
      <c r="D354" s="124">
        <v>1957</v>
      </c>
      <c r="E354" s="118" t="s">
        <v>75</v>
      </c>
      <c r="F354" s="124" t="s">
        <v>155</v>
      </c>
      <c r="G354" s="22">
        <v>5180</v>
      </c>
      <c r="H354" s="22">
        <v>2973.5</v>
      </c>
      <c r="I354" s="26">
        <v>88</v>
      </c>
      <c r="J354" s="19">
        <f>'Форма 2'!I1315</f>
        <v>487654</v>
      </c>
      <c r="K354" s="22">
        <v>0</v>
      </c>
      <c r="L354" s="22">
        <v>0</v>
      </c>
      <c r="M354" s="22">
        <v>0</v>
      </c>
      <c r="N354" s="22">
        <f>J354-K354-L354-M354-O354</f>
        <v>487654</v>
      </c>
      <c r="O354" s="22">
        <v>0</v>
      </c>
      <c r="P354" s="22">
        <f>J354/H354</f>
        <v>164</v>
      </c>
      <c r="Q354" s="19">
        <f>'Форма 2'!K1315</f>
        <v>164</v>
      </c>
      <c r="R354" s="34" t="s">
        <v>164</v>
      </c>
      <c r="S354" s="172">
        <v>1</v>
      </c>
    </row>
    <row r="355" spans="1:20" s="190" customFormat="1" x14ac:dyDescent="0.35">
      <c r="A355" s="124">
        <f t="shared" si="61"/>
        <v>12</v>
      </c>
      <c r="B355" s="124">
        <v>5868</v>
      </c>
      <c r="C355" s="46" t="s">
        <v>190</v>
      </c>
      <c r="D355" s="124">
        <v>1957</v>
      </c>
      <c r="E355" s="118" t="s">
        <v>181</v>
      </c>
      <c r="F355" s="124" t="s">
        <v>158</v>
      </c>
      <c r="G355" s="86">
        <v>3415</v>
      </c>
      <c r="H355" s="86">
        <v>2283.48</v>
      </c>
      <c r="I355" s="99">
        <v>105</v>
      </c>
      <c r="J355" s="118">
        <f>'Форма 2'!I1317</f>
        <v>4473219.96</v>
      </c>
      <c r="K355" s="86">
        <v>0</v>
      </c>
      <c r="L355" s="86">
        <v>0</v>
      </c>
      <c r="M355" s="86">
        <v>0</v>
      </c>
      <c r="N355" s="86">
        <f>J355-K355-L355-M355-O355</f>
        <v>4473219.96</v>
      </c>
      <c r="O355" s="86">
        <v>0</v>
      </c>
      <c r="P355" s="86">
        <f>J355/H355</f>
        <v>1958.95</v>
      </c>
      <c r="Q355" s="118">
        <f>'Форма 2'!K1317</f>
        <v>3640</v>
      </c>
      <c r="R355" s="189" t="s">
        <v>164</v>
      </c>
      <c r="S355" s="183">
        <v>1</v>
      </c>
      <c r="T355" s="33"/>
    </row>
    <row r="356" spans="1:20" x14ac:dyDescent="0.35">
      <c r="A356" s="11">
        <f t="shared" si="61"/>
        <v>13</v>
      </c>
      <c r="B356" s="11">
        <v>5869</v>
      </c>
      <c r="C356" s="46" t="s">
        <v>191</v>
      </c>
      <c r="D356" s="11">
        <v>1957</v>
      </c>
      <c r="E356" s="118" t="s">
        <v>192</v>
      </c>
      <c r="F356" s="124" t="s">
        <v>486</v>
      </c>
      <c r="G356" s="22">
        <v>3421</v>
      </c>
      <c r="H356" s="22">
        <v>2371.4299999999998</v>
      </c>
      <c r="I356" s="26">
        <v>94</v>
      </c>
      <c r="J356" s="19">
        <f>'Форма 2'!I1324</f>
        <v>418828.35</v>
      </c>
      <c r="K356" s="22">
        <v>0</v>
      </c>
      <c r="L356" s="22">
        <v>0</v>
      </c>
      <c r="M356" s="22">
        <v>0</v>
      </c>
      <c r="N356" s="22">
        <f>J356-K356-L356-M356-O356</f>
        <v>418828.35</v>
      </c>
      <c r="O356" s="22">
        <v>0</v>
      </c>
      <c r="P356" s="22">
        <f>J356/H356</f>
        <v>176.61</v>
      </c>
      <c r="Q356" s="19">
        <f>'Форма 2'!K1324</f>
        <v>418</v>
      </c>
      <c r="R356" s="34" t="s">
        <v>164</v>
      </c>
      <c r="S356" s="172">
        <v>1</v>
      </c>
      <c r="T356" s="33"/>
    </row>
    <row r="357" spans="1:20" x14ac:dyDescent="0.35">
      <c r="A357" s="11">
        <f t="shared" si="61"/>
        <v>14</v>
      </c>
      <c r="B357" s="11">
        <v>5873</v>
      </c>
      <c r="C357" s="46" t="s">
        <v>502</v>
      </c>
      <c r="D357" s="11">
        <v>1958</v>
      </c>
      <c r="E357" s="124" t="s">
        <v>75</v>
      </c>
      <c r="F357" s="124" t="s">
        <v>163</v>
      </c>
      <c r="G357" s="22">
        <v>5158</v>
      </c>
      <c r="H357" s="22">
        <v>2929.4</v>
      </c>
      <c r="I357" s="26">
        <v>114</v>
      </c>
      <c r="J357" s="19">
        <f>'Форма 2'!I1327</f>
        <v>4310186.87</v>
      </c>
      <c r="K357" s="22">
        <v>0</v>
      </c>
      <c r="L357" s="22">
        <v>0</v>
      </c>
      <c r="M357" s="22">
        <v>0</v>
      </c>
      <c r="N357" s="22">
        <f t="shared" si="59"/>
        <v>4310186.87</v>
      </c>
      <c r="O357" s="22">
        <v>0</v>
      </c>
      <c r="P357" s="22">
        <f t="shared" si="60"/>
        <v>1471.35</v>
      </c>
      <c r="Q357" s="19">
        <f>'Форма 2'!K1327</f>
        <v>4793</v>
      </c>
      <c r="R357" s="34" t="s">
        <v>498</v>
      </c>
      <c r="S357" s="172">
        <v>1</v>
      </c>
      <c r="T357" s="33"/>
    </row>
    <row r="358" spans="1:20" x14ac:dyDescent="0.35">
      <c r="A358" s="11">
        <f t="shared" si="61"/>
        <v>15</v>
      </c>
      <c r="B358" s="11">
        <v>5874</v>
      </c>
      <c r="C358" s="46" t="s">
        <v>193</v>
      </c>
      <c r="D358" s="11">
        <v>1957</v>
      </c>
      <c r="E358" s="124" t="s">
        <v>75</v>
      </c>
      <c r="F358" s="124" t="s">
        <v>486</v>
      </c>
      <c r="G358" s="22">
        <v>5170</v>
      </c>
      <c r="H358" s="22">
        <v>2947.8</v>
      </c>
      <c r="I358" s="26">
        <v>114</v>
      </c>
      <c r="J358" s="19">
        <f>'Форма 2'!I1330</f>
        <v>9551756.3399999999</v>
      </c>
      <c r="K358" s="22">
        <v>0</v>
      </c>
      <c r="L358" s="22">
        <v>0</v>
      </c>
      <c r="M358" s="22">
        <v>0</v>
      </c>
      <c r="N358" s="22">
        <f t="shared" si="59"/>
        <v>9551756.3399999999</v>
      </c>
      <c r="O358" s="22">
        <v>0</v>
      </c>
      <c r="P358" s="22">
        <f t="shared" si="60"/>
        <v>3240.3</v>
      </c>
      <c r="Q358" s="19">
        <f>'Форма 2'!K1330</f>
        <v>4728</v>
      </c>
      <c r="R358" s="34" t="s">
        <v>164</v>
      </c>
      <c r="S358" s="172">
        <v>1</v>
      </c>
      <c r="T358" s="33"/>
    </row>
    <row r="359" spans="1:20" s="190" customFormat="1" x14ac:dyDescent="0.35">
      <c r="A359" s="124">
        <f t="shared" si="61"/>
        <v>16</v>
      </c>
      <c r="B359" s="124">
        <v>5877</v>
      </c>
      <c r="C359" s="46" t="s">
        <v>194</v>
      </c>
      <c r="D359" s="124">
        <v>1955</v>
      </c>
      <c r="E359" s="118" t="s">
        <v>181</v>
      </c>
      <c r="F359" s="124" t="s">
        <v>158</v>
      </c>
      <c r="G359" s="86">
        <v>977.9</v>
      </c>
      <c r="H359" s="86">
        <v>887.8</v>
      </c>
      <c r="I359" s="99">
        <v>46</v>
      </c>
      <c r="J359" s="118">
        <f>'Форма 2'!I1333</f>
        <v>3155687.9</v>
      </c>
      <c r="K359" s="86">
        <v>0</v>
      </c>
      <c r="L359" s="86">
        <v>0</v>
      </c>
      <c r="M359" s="86">
        <v>0</v>
      </c>
      <c r="N359" s="86">
        <f t="shared" si="59"/>
        <v>3155687.9</v>
      </c>
      <c r="O359" s="86">
        <v>0</v>
      </c>
      <c r="P359" s="86">
        <f t="shared" si="60"/>
        <v>3554.5</v>
      </c>
      <c r="Q359" s="118">
        <f>'Форма 2'!K1333</f>
        <v>3642</v>
      </c>
      <c r="R359" s="189" t="s">
        <v>164</v>
      </c>
      <c r="S359" s="183">
        <v>1</v>
      </c>
      <c r="T359" s="33"/>
    </row>
    <row r="360" spans="1:20" x14ac:dyDescent="0.35">
      <c r="A360" s="11">
        <f t="shared" si="61"/>
        <v>17</v>
      </c>
      <c r="B360" s="110">
        <v>5897</v>
      </c>
      <c r="C360" s="46" t="s">
        <v>503</v>
      </c>
      <c r="D360" s="124">
        <v>1968</v>
      </c>
      <c r="E360" s="118" t="s">
        <v>75</v>
      </c>
      <c r="F360" s="124" t="s">
        <v>155</v>
      </c>
      <c r="G360" s="22">
        <v>7764</v>
      </c>
      <c r="H360" s="22">
        <v>4728.8999999999996</v>
      </c>
      <c r="I360" s="26">
        <v>228</v>
      </c>
      <c r="J360" s="19">
        <f>'Форма 2'!I1340</f>
        <v>775539.6</v>
      </c>
      <c r="K360" s="22">
        <v>0</v>
      </c>
      <c r="L360" s="22">
        <v>0</v>
      </c>
      <c r="M360" s="22">
        <v>0</v>
      </c>
      <c r="N360" s="22">
        <f>J360-K360-L360-M360-O360</f>
        <v>775539.6</v>
      </c>
      <c r="O360" s="22">
        <v>0</v>
      </c>
      <c r="P360" s="22">
        <f>J360/H360</f>
        <v>164</v>
      </c>
      <c r="Q360" s="19">
        <f>'Форма 2'!K1340</f>
        <v>164</v>
      </c>
      <c r="R360" s="34" t="s">
        <v>164</v>
      </c>
      <c r="S360" s="172">
        <v>1</v>
      </c>
      <c r="T360" s="33"/>
    </row>
    <row r="361" spans="1:20" x14ac:dyDescent="0.35">
      <c r="A361" s="11">
        <f t="shared" si="61"/>
        <v>18</v>
      </c>
      <c r="B361" s="11">
        <v>5913</v>
      </c>
      <c r="C361" s="46" t="s">
        <v>196</v>
      </c>
      <c r="D361" s="11">
        <v>1959</v>
      </c>
      <c r="E361" s="124" t="s">
        <v>75</v>
      </c>
      <c r="F361" s="124" t="s">
        <v>486</v>
      </c>
      <c r="G361" s="22">
        <v>1199</v>
      </c>
      <c r="H361" s="22">
        <v>659.4</v>
      </c>
      <c r="I361" s="26">
        <v>30</v>
      </c>
      <c r="J361" s="19">
        <f>'Форма 2'!I1342</f>
        <v>3193210.44</v>
      </c>
      <c r="K361" s="22">
        <v>0</v>
      </c>
      <c r="L361" s="22">
        <v>0</v>
      </c>
      <c r="M361" s="22">
        <v>0</v>
      </c>
      <c r="N361" s="22">
        <f t="shared" si="59"/>
        <v>3193210.44</v>
      </c>
      <c r="O361" s="22">
        <v>0</v>
      </c>
      <c r="P361" s="22">
        <f t="shared" si="60"/>
        <v>4842.6000000000004</v>
      </c>
      <c r="Q361" s="19">
        <f>'Форма 2'!K1342</f>
        <v>7066</v>
      </c>
      <c r="R361" s="34" t="s">
        <v>164</v>
      </c>
      <c r="S361" s="172">
        <v>1</v>
      </c>
      <c r="T361" s="33"/>
    </row>
    <row r="362" spans="1:20" x14ac:dyDescent="0.35">
      <c r="A362" s="11">
        <f t="shared" si="61"/>
        <v>19</v>
      </c>
      <c r="B362" s="11">
        <v>5940</v>
      </c>
      <c r="C362" s="46" t="s">
        <v>504</v>
      </c>
      <c r="D362" s="11">
        <v>1968</v>
      </c>
      <c r="E362" s="124" t="s">
        <v>439</v>
      </c>
      <c r="F362" s="124" t="s">
        <v>158</v>
      </c>
      <c r="G362" s="22">
        <v>6041.6</v>
      </c>
      <c r="H362" s="22">
        <v>3856.6</v>
      </c>
      <c r="I362" s="26">
        <v>209</v>
      </c>
      <c r="J362" s="19">
        <f>'Форма 2'!I1345</f>
        <v>3937588.6</v>
      </c>
      <c r="K362" s="22">
        <v>0</v>
      </c>
      <c r="L362" s="22">
        <v>0</v>
      </c>
      <c r="M362" s="22">
        <v>0</v>
      </c>
      <c r="N362" s="22">
        <f t="shared" si="59"/>
        <v>3937588.6</v>
      </c>
      <c r="O362" s="22">
        <v>0</v>
      </c>
      <c r="P362" s="22">
        <f t="shared" si="60"/>
        <v>1021</v>
      </c>
      <c r="Q362" s="19">
        <f>'Форма 2'!K1345</f>
        <v>1043</v>
      </c>
      <c r="R362" s="34" t="s">
        <v>164</v>
      </c>
      <c r="S362" s="172">
        <v>1</v>
      </c>
      <c r="T362" s="33"/>
    </row>
    <row r="363" spans="1:20" s="74" customFormat="1" x14ac:dyDescent="0.35">
      <c r="A363" s="11">
        <f>A362+1</f>
        <v>20</v>
      </c>
      <c r="B363" s="11">
        <v>5947</v>
      </c>
      <c r="C363" s="46" t="s">
        <v>198</v>
      </c>
      <c r="D363" s="11">
        <v>1957</v>
      </c>
      <c r="E363" s="124" t="s">
        <v>75</v>
      </c>
      <c r="F363" s="124" t="s">
        <v>486</v>
      </c>
      <c r="G363" s="22">
        <v>1014.2</v>
      </c>
      <c r="H363" s="22">
        <v>501.3</v>
      </c>
      <c r="I363" s="26">
        <v>22</v>
      </c>
      <c r="J363" s="19">
        <f>'Форма 2'!I1348</f>
        <v>2427595.38</v>
      </c>
      <c r="K363" s="22">
        <v>0</v>
      </c>
      <c r="L363" s="22">
        <v>0</v>
      </c>
      <c r="M363" s="22">
        <v>0</v>
      </c>
      <c r="N363" s="22">
        <f t="shared" si="59"/>
        <v>2427595.38</v>
      </c>
      <c r="O363" s="22">
        <v>0</v>
      </c>
      <c r="P363" s="22">
        <f t="shared" si="60"/>
        <v>4842.6000000000004</v>
      </c>
      <c r="Q363" s="19">
        <f>'Форма 2'!K1348</f>
        <v>7066</v>
      </c>
      <c r="R363" s="34" t="s">
        <v>164</v>
      </c>
      <c r="S363" s="172">
        <v>1</v>
      </c>
      <c r="T363" s="33"/>
    </row>
    <row r="364" spans="1:20" s="74" customFormat="1" x14ac:dyDescent="0.35">
      <c r="A364" s="11">
        <f t="shared" si="61"/>
        <v>21</v>
      </c>
      <c r="B364" s="11">
        <v>5948</v>
      </c>
      <c r="C364" s="46" t="s">
        <v>505</v>
      </c>
      <c r="D364" s="11">
        <v>1967</v>
      </c>
      <c r="E364" s="124" t="s">
        <v>439</v>
      </c>
      <c r="F364" s="124" t="s">
        <v>158</v>
      </c>
      <c r="G364" s="22">
        <v>6049.4</v>
      </c>
      <c r="H364" s="22">
        <v>3853.4</v>
      </c>
      <c r="I364" s="26">
        <v>192</v>
      </c>
      <c r="J364" s="19">
        <f>'Форма 2'!I1351</f>
        <v>3934321.4</v>
      </c>
      <c r="K364" s="22">
        <v>0</v>
      </c>
      <c r="L364" s="22">
        <v>0</v>
      </c>
      <c r="M364" s="22">
        <v>0</v>
      </c>
      <c r="N364" s="22">
        <f t="shared" si="59"/>
        <v>3934321.4</v>
      </c>
      <c r="O364" s="22">
        <v>0</v>
      </c>
      <c r="P364" s="22">
        <f t="shared" si="60"/>
        <v>1021</v>
      </c>
      <c r="Q364" s="19">
        <f>'Форма 2'!K1351</f>
        <v>1043</v>
      </c>
      <c r="R364" s="34" t="s">
        <v>164</v>
      </c>
      <c r="S364" s="172">
        <v>1</v>
      </c>
      <c r="T364" s="33"/>
    </row>
    <row r="365" spans="1:20" s="74" customFormat="1" x14ac:dyDescent="0.35">
      <c r="A365" s="11">
        <f t="shared" si="61"/>
        <v>22</v>
      </c>
      <c r="B365" s="11">
        <v>6071</v>
      </c>
      <c r="C365" s="46" t="s">
        <v>199</v>
      </c>
      <c r="D365" s="11">
        <v>1953</v>
      </c>
      <c r="E365" s="124" t="s">
        <v>200</v>
      </c>
      <c r="F365" s="124" t="s">
        <v>486</v>
      </c>
      <c r="G365" s="22">
        <v>1764.35</v>
      </c>
      <c r="H365" s="22">
        <v>615.65</v>
      </c>
      <c r="I365" s="26">
        <v>25</v>
      </c>
      <c r="J365" s="19">
        <f>'Форма 2'!I1354</f>
        <v>376654.67</v>
      </c>
      <c r="K365" s="22">
        <v>0</v>
      </c>
      <c r="L365" s="22">
        <v>0</v>
      </c>
      <c r="M365" s="22">
        <v>0</v>
      </c>
      <c r="N365" s="22">
        <f t="shared" si="59"/>
        <v>376654.67</v>
      </c>
      <c r="O365" s="22">
        <v>0</v>
      </c>
      <c r="P365" s="22">
        <f t="shared" si="60"/>
        <v>611.79999999999995</v>
      </c>
      <c r="Q365" s="19">
        <f>'Форма 2'!K1354</f>
        <v>893</v>
      </c>
      <c r="R365" s="34" t="s">
        <v>164</v>
      </c>
      <c r="S365" s="172">
        <v>1</v>
      </c>
      <c r="T365" s="33"/>
    </row>
    <row r="366" spans="1:20" s="74" customFormat="1" x14ac:dyDescent="0.35">
      <c r="A366" s="11">
        <f t="shared" si="61"/>
        <v>23</v>
      </c>
      <c r="B366" s="11">
        <v>6072</v>
      </c>
      <c r="C366" s="46" t="s">
        <v>201</v>
      </c>
      <c r="D366" s="11">
        <v>1953</v>
      </c>
      <c r="E366" s="124" t="s">
        <v>75</v>
      </c>
      <c r="F366" s="124" t="s">
        <v>486</v>
      </c>
      <c r="G366" s="22">
        <v>1251.5999999999999</v>
      </c>
      <c r="H366" s="22">
        <v>534.9</v>
      </c>
      <c r="I366" s="26">
        <v>26</v>
      </c>
      <c r="J366" s="19">
        <f>'Форма 2'!I1359</f>
        <v>2590306.7400000002</v>
      </c>
      <c r="K366" s="22">
        <v>0</v>
      </c>
      <c r="L366" s="22">
        <v>0</v>
      </c>
      <c r="M366" s="22">
        <v>0</v>
      </c>
      <c r="N366" s="22">
        <f t="shared" si="59"/>
        <v>2590306.7400000002</v>
      </c>
      <c r="O366" s="22">
        <v>0</v>
      </c>
      <c r="P366" s="22">
        <f t="shared" si="60"/>
        <v>4842.6000000000004</v>
      </c>
      <c r="Q366" s="19">
        <f>'Форма 2'!K1359</f>
        <v>7066</v>
      </c>
      <c r="R366" s="34" t="s">
        <v>164</v>
      </c>
      <c r="S366" s="172">
        <v>1</v>
      </c>
      <c r="T366" s="33"/>
    </row>
    <row r="367" spans="1:20" s="74" customFormat="1" x14ac:dyDescent="0.35">
      <c r="A367" s="11">
        <f t="shared" si="61"/>
        <v>24</v>
      </c>
      <c r="B367" s="11">
        <v>6074</v>
      </c>
      <c r="C367" s="46" t="s">
        <v>202</v>
      </c>
      <c r="D367" s="11">
        <v>1953</v>
      </c>
      <c r="E367" s="124" t="s">
        <v>75</v>
      </c>
      <c r="F367" s="124" t="s">
        <v>486</v>
      </c>
      <c r="G367" s="22">
        <v>1695.18</v>
      </c>
      <c r="H367" s="22">
        <v>599.02</v>
      </c>
      <c r="I367" s="26">
        <v>25</v>
      </c>
      <c r="J367" s="19">
        <f>'Форма 2'!I1362</f>
        <v>2900814.25</v>
      </c>
      <c r="K367" s="22">
        <v>0</v>
      </c>
      <c r="L367" s="22">
        <v>0</v>
      </c>
      <c r="M367" s="22">
        <v>0</v>
      </c>
      <c r="N367" s="22">
        <f t="shared" si="59"/>
        <v>2900814.25</v>
      </c>
      <c r="O367" s="22">
        <v>0</v>
      </c>
      <c r="P367" s="22">
        <f t="shared" si="60"/>
        <v>4842.6000000000004</v>
      </c>
      <c r="Q367" s="19">
        <f>'Форма 2'!K1362</f>
        <v>7066</v>
      </c>
      <c r="R367" s="34" t="s">
        <v>164</v>
      </c>
      <c r="S367" s="172">
        <v>1</v>
      </c>
      <c r="T367" s="33"/>
    </row>
    <row r="368" spans="1:20" s="74" customFormat="1" x14ac:dyDescent="0.35">
      <c r="A368" s="11">
        <f t="shared" si="61"/>
        <v>25</v>
      </c>
      <c r="B368" s="11">
        <v>6076</v>
      </c>
      <c r="C368" s="46" t="s">
        <v>203</v>
      </c>
      <c r="D368" s="11">
        <v>1953</v>
      </c>
      <c r="E368" s="124" t="s">
        <v>75</v>
      </c>
      <c r="F368" s="124" t="s">
        <v>486</v>
      </c>
      <c r="G368" s="22">
        <v>1237.5999999999999</v>
      </c>
      <c r="H368" s="22">
        <v>529.9</v>
      </c>
      <c r="I368" s="26">
        <v>25</v>
      </c>
      <c r="J368" s="19">
        <f>'Форма 2'!I1365</f>
        <v>2566093.7400000002</v>
      </c>
      <c r="K368" s="22">
        <v>0</v>
      </c>
      <c r="L368" s="22">
        <v>0</v>
      </c>
      <c r="M368" s="22">
        <v>0</v>
      </c>
      <c r="N368" s="22">
        <f t="shared" si="59"/>
        <v>2566093.7400000002</v>
      </c>
      <c r="O368" s="22">
        <v>0</v>
      </c>
      <c r="P368" s="22">
        <f t="shared" si="60"/>
        <v>4842.6000000000004</v>
      </c>
      <c r="Q368" s="19">
        <f>'Форма 2'!K1365</f>
        <v>7066</v>
      </c>
      <c r="R368" s="34" t="s">
        <v>164</v>
      </c>
      <c r="S368" s="172">
        <v>1</v>
      </c>
      <c r="T368" s="33"/>
    </row>
    <row r="369" spans="1:20" s="74" customFormat="1" x14ac:dyDescent="0.35">
      <c r="A369" s="11">
        <f t="shared" si="61"/>
        <v>26</v>
      </c>
      <c r="B369" s="11">
        <v>6087</v>
      </c>
      <c r="C369" s="46" t="s">
        <v>204</v>
      </c>
      <c r="D369" s="11">
        <v>1964</v>
      </c>
      <c r="E369" s="124" t="s">
        <v>205</v>
      </c>
      <c r="F369" s="124" t="s">
        <v>732</v>
      </c>
      <c r="G369" s="22">
        <v>6557</v>
      </c>
      <c r="H369" s="22">
        <v>2447.1999999999998</v>
      </c>
      <c r="I369" s="26">
        <v>221</v>
      </c>
      <c r="J369" s="19">
        <f>'Форма 2'!I1368</f>
        <v>3230304</v>
      </c>
      <c r="K369" s="22">
        <v>0</v>
      </c>
      <c r="L369" s="22">
        <v>0</v>
      </c>
      <c r="M369" s="22">
        <v>0</v>
      </c>
      <c r="N369" s="22">
        <f t="shared" si="59"/>
        <v>3230304</v>
      </c>
      <c r="O369" s="22">
        <v>0</v>
      </c>
      <c r="P369" s="22">
        <f t="shared" si="60"/>
        <v>1320</v>
      </c>
      <c r="Q369" s="19">
        <f>'Форма 2'!K1368</f>
        <v>1349</v>
      </c>
      <c r="R369" s="34" t="s">
        <v>164</v>
      </c>
      <c r="S369" s="172">
        <v>1</v>
      </c>
      <c r="T369" s="33"/>
    </row>
    <row r="370" spans="1:20" s="74" customFormat="1" x14ac:dyDescent="0.35">
      <c r="A370" s="11">
        <f t="shared" si="61"/>
        <v>27</v>
      </c>
      <c r="B370" s="11">
        <v>6139</v>
      </c>
      <c r="C370" s="46" t="s">
        <v>206</v>
      </c>
      <c r="D370" s="11">
        <v>1954</v>
      </c>
      <c r="E370" s="124" t="s">
        <v>75</v>
      </c>
      <c r="F370" s="124" t="s">
        <v>486</v>
      </c>
      <c r="G370" s="22">
        <v>2337.1</v>
      </c>
      <c r="H370" s="22">
        <v>2152.6</v>
      </c>
      <c r="I370" s="26">
        <v>67</v>
      </c>
      <c r="J370" s="19">
        <f>'Форма 2'!I1375</f>
        <v>6975069.7800000003</v>
      </c>
      <c r="K370" s="22">
        <v>0</v>
      </c>
      <c r="L370" s="22">
        <v>0</v>
      </c>
      <c r="M370" s="22">
        <v>0</v>
      </c>
      <c r="N370" s="22">
        <f t="shared" si="59"/>
        <v>6975069.7800000003</v>
      </c>
      <c r="O370" s="22">
        <v>0</v>
      </c>
      <c r="P370" s="22">
        <f t="shared" si="60"/>
        <v>3240.3</v>
      </c>
      <c r="Q370" s="19">
        <f>'Форма 2'!K1375</f>
        <v>4728</v>
      </c>
      <c r="R370" s="34" t="s">
        <v>164</v>
      </c>
      <c r="S370" s="172">
        <v>1</v>
      </c>
      <c r="T370" s="33"/>
    </row>
    <row r="371" spans="1:20" s="74" customFormat="1" x14ac:dyDescent="0.35">
      <c r="A371" s="11">
        <f t="shared" si="61"/>
        <v>28</v>
      </c>
      <c r="B371" s="11">
        <v>6147</v>
      </c>
      <c r="C371" s="46" t="s">
        <v>208</v>
      </c>
      <c r="D371" s="11">
        <v>1954</v>
      </c>
      <c r="E371" s="19" t="s">
        <v>75</v>
      </c>
      <c r="F371" s="124" t="s">
        <v>486</v>
      </c>
      <c r="G371" s="22">
        <v>2576.3000000000002</v>
      </c>
      <c r="H371" s="22">
        <v>2345.3000000000002</v>
      </c>
      <c r="I371" s="26">
        <v>91</v>
      </c>
      <c r="J371" s="19">
        <f>'Форма 2'!I1378</f>
        <v>7599475.5899999999</v>
      </c>
      <c r="K371" s="22">
        <v>0</v>
      </c>
      <c r="L371" s="22">
        <v>0</v>
      </c>
      <c r="M371" s="22">
        <v>0</v>
      </c>
      <c r="N371" s="22">
        <f t="shared" si="59"/>
        <v>7599475.5899999999</v>
      </c>
      <c r="O371" s="22">
        <v>0</v>
      </c>
      <c r="P371" s="22">
        <f t="shared" si="60"/>
        <v>3240.3</v>
      </c>
      <c r="Q371" s="19">
        <f>'Форма 2'!K1378</f>
        <v>4728</v>
      </c>
      <c r="R371" s="34" t="s">
        <v>164</v>
      </c>
      <c r="S371" s="172">
        <v>1</v>
      </c>
      <c r="T371" s="33"/>
    </row>
    <row r="372" spans="1:20" s="74" customFormat="1" x14ac:dyDescent="0.35">
      <c r="A372" s="11">
        <f t="shared" si="61"/>
        <v>29</v>
      </c>
      <c r="B372" s="110">
        <v>6169</v>
      </c>
      <c r="C372" s="46" t="s">
        <v>506</v>
      </c>
      <c r="D372" s="124">
        <v>1965</v>
      </c>
      <c r="E372" s="118" t="s">
        <v>75</v>
      </c>
      <c r="F372" s="124" t="s">
        <v>155</v>
      </c>
      <c r="G372" s="22">
        <v>5448</v>
      </c>
      <c r="H372" s="22">
        <v>3518</v>
      </c>
      <c r="I372" s="26">
        <v>183</v>
      </c>
      <c r="J372" s="19">
        <f>'Форма 2'!I1381</f>
        <v>576952</v>
      </c>
      <c r="K372" s="22">
        <v>0</v>
      </c>
      <c r="L372" s="22">
        <v>0</v>
      </c>
      <c r="M372" s="22">
        <v>0</v>
      </c>
      <c r="N372" s="22">
        <f>J372-K372-L372-M372-O372</f>
        <v>576952</v>
      </c>
      <c r="O372" s="22">
        <v>0</v>
      </c>
      <c r="P372" s="22">
        <f>J372/H372</f>
        <v>164</v>
      </c>
      <c r="Q372" s="19">
        <f>'Форма 2'!K1381</f>
        <v>164</v>
      </c>
      <c r="R372" s="34" t="s">
        <v>164</v>
      </c>
      <c r="S372" s="172">
        <v>1</v>
      </c>
      <c r="T372" s="33"/>
    </row>
    <row r="373" spans="1:20" s="74" customFormat="1" x14ac:dyDescent="0.35">
      <c r="A373" s="11">
        <f t="shared" si="61"/>
        <v>30</v>
      </c>
      <c r="B373" s="110">
        <v>6174</v>
      </c>
      <c r="C373" s="46" t="s">
        <v>507</v>
      </c>
      <c r="D373" s="124">
        <v>1973</v>
      </c>
      <c r="E373" s="118" t="s">
        <v>75</v>
      </c>
      <c r="F373" s="124" t="s">
        <v>155</v>
      </c>
      <c r="G373" s="22">
        <v>5753.6</v>
      </c>
      <c r="H373" s="22">
        <v>4381.5200000000004</v>
      </c>
      <c r="I373" s="26">
        <v>254</v>
      </c>
      <c r="J373" s="19">
        <f>'Форма 2'!I1383</f>
        <v>718569.28</v>
      </c>
      <c r="K373" s="22">
        <v>0</v>
      </c>
      <c r="L373" s="22">
        <v>0</v>
      </c>
      <c r="M373" s="22">
        <v>0</v>
      </c>
      <c r="N373" s="22">
        <f>J373-K373-L373-M373-O373</f>
        <v>718569.28</v>
      </c>
      <c r="O373" s="22">
        <v>0</v>
      </c>
      <c r="P373" s="22">
        <f>J373/H373</f>
        <v>164</v>
      </c>
      <c r="Q373" s="19">
        <f>'Форма 2'!K1383</f>
        <v>164</v>
      </c>
      <c r="R373" s="34" t="s">
        <v>164</v>
      </c>
      <c r="S373" s="172">
        <v>1</v>
      </c>
      <c r="T373" s="33"/>
    </row>
    <row r="374" spans="1:20" s="74" customFormat="1" x14ac:dyDescent="0.35">
      <c r="A374" s="11">
        <f t="shared" si="61"/>
        <v>31</v>
      </c>
      <c r="B374" s="11">
        <v>6207</v>
      </c>
      <c r="C374" s="46" t="s">
        <v>213</v>
      </c>
      <c r="D374" s="11">
        <v>1954</v>
      </c>
      <c r="E374" s="19" t="s">
        <v>75</v>
      </c>
      <c r="F374" s="124" t="s">
        <v>158</v>
      </c>
      <c r="G374" s="22">
        <v>2235.6999999999998</v>
      </c>
      <c r="H374" s="22">
        <v>2063.3000000000002</v>
      </c>
      <c r="I374" s="26">
        <v>79</v>
      </c>
      <c r="J374" s="19">
        <f>'Форма 2'!I1385</f>
        <v>9551015.6999999993</v>
      </c>
      <c r="K374" s="22">
        <v>0</v>
      </c>
      <c r="L374" s="22">
        <v>0</v>
      </c>
      <c r="M374" s="22">
        <v>0</v>
      </c>
      <c r="N374" s="22">
        <f t="shared" si="59"/>
        <v>9551015.6999999993</v>
      </c>
      <c r="O374" s="22">
        <v>0</v>
      </c>
      <c r="P374" s="22">
        <f t="shared" si="60"/>
        <v>4629</v>
      </c>
      <c r="Q374" s="19">
        <f>'Форма 2'!K1385</f>
        <v>4728</v>
      </c>
      <c r="R374" s="34" t="s">
        <v>164</v>
      </c>
      <c r="S374" s="172">
        <v>1</v>
      </c>
      <c r="T374" s="33"/>
    </row>
    <row r="375" spans="1:20" s="191" customFormat="1" x14ac:dyDescent="0.35">
      <c r="A375" s="124">
        <f t="shared" si="61"/>
        <v>32</v>
      </c>
      <c r="B375" s="124">
        <v>6208</v>
      </c>
      <c r="C375" s="46" t="s">
        <v>214</v>
      </c>
      <c r="D375" s="124">
        <v>1954</v>
      </c>
      <c r="E375" s="118" t="s">
        <v>181</v>
      </c>
      <c r="F375" s="124" t="s">
        <v>158</v>
      </c>
      <c r="G375" s="86">
        <v>1693</v>
      </c>
      <c r="H375" s="86">
        <v>1569.5</v>
      </c>
      <c r="I375" s="99">
        <v>53</v>
      </c>
      <c r="J375" s="118">
        <f>'Форма 2'!I1388</f>
        <v>5592128.5</v>
      </c>
      <c r="K375" s="86">
        <v>0</v>
      </c>
      <c r="L375" s="86">
        <v>0</v>
      </c>
      <c r="M375" s="86">
        <v>0</v>
      </c>
      <c r="N375" s="86">
        <f t="shared" si="59"/>
        <v>5592128.5</v>
      </c>
      <c r="O375" s="86">
        <v>0</v>
      </c>
      <c r="P375" s="86">
        <f t="shared" si="60"/>
        <v>3563</v>
      </c>
      <c r="Q375" s="118">
        <f>'Форма 2'!K1388</f>
        <v>3640</v>
      </c>
      <c r="R375" s="189" t="s">
        <v>164</v>
      </c>
      <c r="S375" s="183">
        <v>1</v>
      </c>
      <c r="T375" s="33"/>
    </row>
    <row r="376" spans="1:20" s="191" customFormat="1" x14ac:dyDescent="0.35">
      <c r="A376" s="124">
        <f t="shared" si="61"/>
        <v>33</v>
      </c>
      <c r="B376" s="124">
        <v>6234</v>
      </c>
      <c r="C376" s="46" t="s">
        <v>215</v>
      </c>
      <c r="D376" s="124">
        <v>1954</v>
      </c>
      <c r="E376" s="118" t="s">
        <v>181</v>
      </c>
      <c r="F376" s="124" t="s">
        <v>158</v>
      </c>
      <c r="G376" s="86">
        <v>2282.1</v>
      </c>
      <c r="H376" s="86">
        <v>2118.1</v>
      </c>
      <c r="I376" s="99">
        <v>73</v>
      </c>
      <c r="J376" s="118">
        <f>'Форма 2'!I1395</f>
        <v>7546790.2999999998</v>
      </c>
      <c r="K376" s="86">
        <v>0</v>
      </c>
      <c r="L376" s="86">
        <v>0</v>
      </c>
      <c r="M376" s="86">
        <v>0</v>
      </c>
      <c r="N376" s="86">
        <f t="shared" si="59"/>
        <v>7546790.2999999998</v>
      </c>
      <c r="O376" s="86">
        <v>0</v>
      </c>
      <c r="P376" s="86">
        <f t="shared" si="60"/>
        <v>3563</v>
      </c>
      <c r="Q376" s="118">
        <f>'Форма 2'!K1395</f>
        <v>3640</v>
      </c>
      <c r="R376" s="189" t="s">
        <v>164</v>
      </c>
      <c r="S376" s="183">
        <v>1</v>
      </c>
      <c r="T376" s="33"/>
    </row>
    <row r="377" spans="1:20" s="74" customFormat="1" x14ac:dyDescent="0.35">
      <c r="A377" s="11">
        <f t="shared" si="61"/>
        <v>34</v>
      </c>
      <c r="B377" s="11">
        <v>6237</v>
      </c>
      <c r="C377" s="46" t="s">
        <v>508</v>
      </c>
      <c r="D377" s="11">
        <v>1953</v>
      </c>
      <c r="E377" s="124" t="s">
        <v>509</v>
      </c>
      <c r="F377" s="124" t="s">
        <v>155</v>
      </c>
      <c r="G377" s="22">
        <v>928.7</v>
      </c>
      <c r="H377" s="22">
        <v>542.70000000000005</v>
      </c>
      <c r="I377" s="26">
        <v>25</v>
      </c>
      <c r="J377" s="19">
        <f>'Форма 2'!I1402</f>
        <v>156454.39999999999</v>
      </c>
      <c r="K377" s="22">
        <v>0</v>
      </c>
      <c r="L377" s="22">
        <v>0</v>
      </c>
      <c r="M377" s="22">
        <v>0</v>
      </c>
      <c r="N377" s="22">
        <f t="shared" si="59"/>
        <v>156454.39999999999</v>
      </c>
      <c r="O377" s="22">
        <v>0</v>
      </c>
      <c r="P377" s="22">
        <f t="shared" si="60"/>
        <v>288.29000000000002</v>
      </c>
      <c r="Q377" s="19">
        <f>'Форма 2'!K1402</f>
        <v>299</v>
      </c>
      <c r="R377" s="34" t="s">
        <v>164</v>
      </c>
      <c r="S377" s="172">
        <v>1</v>
      </c>
      <c r="T377" s="33"/>
    </row>
    <row r="378" spans="1:20" s="191" customFormat="1" x14ac:dyDescent="0.35">
      <c r="A378" s="124">
        <f t="shared" si="61"/>
        <v>35</v>
      </c>
      <c r="B378" s="124">
        <v>6244</v>
      </c>
      <c r="C378" s="46" t="s">
        <v>216</v>
      </c>
      <c r="D378" s="124">
        <v>1951</v>
      </c>
      <c r="E378" s="118" t="s">
        <v>181</v>
      </c>
      <c r="F378" s="124" t="s">
        <v>486</v>
      </c>
      <c r="G378" s="86">
        <v>946.7</v>
      </c>
      <c r="H378" s="86">
        <v>520.5</v>
      </c>
      <c r="I378" s="99">
        <v>20</v>
      </c>
      <c r="J378" s="118">
        <f>'Форма 2'!I1405</f>
        <v>1298907.75</v>
      </c>
      <c r="K378" s="86">
        <v>0</v>
      </c>
      <c r="L378" s="86">
        <v>0</v>
      </c>
      <c r="M378" s="86">
        <v>0</v>
      </c>
      <c r="N378" s="86">
        <f t="shared" si="59"/>
        <v>1298907.75</v>
      </c>
      <c r="O378" s="86">
        <v>0</v>
      </c>
      <c r="P378" s="86">
        <f t="shared" si="60"/>
        <v>2495.5</v>
      </c>
      <c r="Q378" s="118">
        <f>'Форма 2'!K1405</f>
        <v>3642</v>
      </c>
      <c r="R378" s="189" t="s">
        <v>164</v>
      </c>
      <c r="S378" s="183">
        <v>1</v>
      </c>
      <c r="T378" s="33"/>
    </row>
    <row r="379" spans="1:20" s="74" customFormat="1" x14ac:dyDescent="0.35">
      <c r="A379" s="11">
        <f t="shared" si="61"/>
        <v>36</v>
      </c>
      <c r="B379" s="11">
        <v>6248</v>
      </c>
      <c r="C379" s="46" t="s">
        <v>510</v>
      </c>
      <c r="D379" s="11">
        <v>1951</v>
      </c>
      <c r="E379" s="124" t="s">
        <v>75</v>
      </c>
      <c r="F379" s="124" t="s">
        <v>155</v>
      </c>
      <c r="G379" s="22">
        <v>955.7</v>
      </c>
      <c r="H379" s="22">
        <v>526.4</v>
      </c>
      <c r="I379" s="26">
        <v>23</v>
      </c>
      <c r="J379" s="19">
        <f>'Форма 2'!I1412</f>
        <v>93699.199999999997</v>
      </c>
      <c r="K379" s="22">
        <v>0</v>
      </c>
      <c r="L379" s="22">
        <v>0</v>
      </c>
      <c r="M379" s="22">
        <v>0</v>
      </c>
      <c r="N379" s="22">
        <f t="shared" si="59"/>
        <v>93699.199999999997</v>
      </c>
      <c r="O379" s="22">
        <v>0</v>
      </c>
      <c r="P379" s="22">
        <f t="shared" si="60"/>
        <v>178</v>
      </c>
      <c r="Q379" s="19">
        <f>'Форма 2'!K1412</f>
        <v>178</v>
      </c>
      <c r="R379" s="34" t="s">
        <v>164</v>
      </c>
      <c r="S379" s="172">
        <v>1</v>
      </c>
      <c r="T379" s="33"/>
    </row>
    <row r="380" spans="1:20" s="74" customFormat="1" x14ac:dyDescent="0.35">
      <c r="A380" s="11">
        <f t="shared" si="61"/>
        <v>37</v>
      </c>
      <c r="B380" s="11">
        <v>6250</v>
      </c>
      <c r="C380" s="46" t="s">
        <v>511</v>
      </c>
      <c r="D380" s="11">
        <v>1951</v>
      </c>
      <c r="E380" s="124" t="s">
        <v>75</v>
      </c>
      <c r="F380" s="124" t="s">
        <v>155</v>
      </c>
      <c r="G380" s="22">
        <v>950.8</v>
      </c>
      <c r="H380" s="22">
        <v>520.9</v>
      </c>
      <c r="I380" s="26">
        <v>21</v>
      </c>
      <c r="J380" s="19">
        <f>'Форма 2'!I1414</f>
        <v>92720.2</v>
      </c>
      <c r="K380" s="22">
        <v>0</v>
      </c>
      <c r="L380" s="22">
        <v>0</v>
      </c>
      <c r="M380" s="22">
        <v>0</v>
      </c>
      <c r="N380" s="22">
        <f t="shared" si="59"/>
        <v>92720.2</v>
      </c>
      <c r="O380" s="22">
        <v>0</v>
      </c>
      <c r="P380" s="22">
        <f t="shared" si="60"/>
        <v>178</v>
      </c>
      <c r="Q380" s="19">
        <f>'Форма 2'!K1414</f>
        <v>178</v>
      </c>
      <c r="R380" s="34" t="s">
        <v>164</v>
      </c>
      <c r="S380" s="172">
        <v>1</v>
      </c>
      <c r="T380" s="33"/>
    </row>
    <row r="381" spans="1:20" s="74" customFormat="1" x14ac:dyDescent="0.35">
      <c r="A381" s="11">
        <f t="shared" si="61"/>
        <v>38</v>
      </c>
      <c r="B381" s="11">
        <v>6271</v>
      </c>
      <c r="C381" s="46" t="s">
        <v>512</v>
      </c>
      <c r="D381" s="11">
        <v>1953</v>
      </c>
      <c r="E381" s="124" t="s">
        <v>75</v>
      </c>
      <c r="F381" s="124" t="s">
        <v>155</v>
      </c>
      <c r="G381" s="22">
        <v>1600.5</v>
      </c>
      <c r="H381" s="22">
        <v>1461</v>
      </c>
      <c r="I381" s="26">
        <v>65</v>
      </c>
      <c r="J381" s="19">
        <f>'Форма 2'!I1416</f>
        <v>156557.54</v>
      </c>
      <c r="K381" s="22">
        <v>0</v>
      </c>
      <c r="L381" s="22">
        <v>0</v>
      </c>
      <c r="M381" s="22">
        <v>0</v>
      </c>
      <c r="N381" s="22">
        <f t="shared" si="59"/>
        <v>156557.54</v>
      </c>
      <c r="O381" s="22">
        <v>0</v>
      </c>
      <c r="P381" s="22">
        <f t="shared" si="60"/>
        <v>107.16</v>
      </c>
      <c r="Q381" s="19">
        <f>'Форма 2'!K1416</f>
        <v>178</v>
      </c>
      <c r="R381" s="34" t="s">
        <v>164</v>
      </c>
      <c r="S381" s="172">
        <v>1</v>
      </c>
      <c r="T381" s="33"/>
    </row>
    <row r="382" spans="1:20" s="74" customFormat="1" x14ac:dyDescent="0.35">
      <c r="A382" s="11">
        <f t="shared" si="61"/>
        <v>39</v>
      </c>
      <c r="B382" s="11">
        <v>6282</v>
      </c>
      <c r="C382" s="46" t="s">
        <v>513</v>
      </c>
      <c r="D382" s="11">
        <v>1951</v>
      </c>
      <c r="E382" s="124" t="s">
        <v>75</v>
      </c>
      <c r="F382" s="124" t="s">
        <v>155</v>
      </c>
      <c r="G382" s="22">
        <v>960.4</v>
      </c>
      <c r="H382" s="22">
        <v>532.9</v>
      </c>
      <c r="I382" s="26">
        <v>21</v>
      </c>
      <c r="J382" s="19">
        <f>'Форма 2'!I1418</f>
        <v>94856.2</v>
      </c>
      <c r="K382" s="22">
        <v>0</v>
      </c>
      <c r="L382" s="22">
        <v>0</v>
      </c>
      <c r="M382" s="22">
        <v>0</v>
      </c>
      <c r="N382" s="22">
        <f t="shared" si="59"/>
        <v>94856.2</v>
      </c>
      <c r="O382" s="22">
        <v>0</v>
      </c>
      <c r="P382" s="22">
        <f t="shared" si="60"/>
        <v>178</v>
      </c>
      <c r="Q382" s="19">
        <f>'Форма 2'!K1418</f>
        <v>178</v>
      </c>
      <c r="R382" s="34" t="s">
        <v>164</v>
      </c>
      <c r="S382" s="172">
        <v>1</v>
      </c>
      <c r="T382" s="33"/>
    </row>
    <row r="383" spans="1:20" s="74" customFormat="1" x14ac:dyDescent="0.35">
      <c r="A383" s="11">
        <f t="shared" si="61"/>
        <v>40</v>
      </c>
      <c r="B383" s="11">
        <v>6296</v>
      </c>
      <c r="C383" s="46" t="s">
        <v>217</v>
      </c>
      <c r="D383" s="11">
        <v>1953</v>
      </c>
      <c r="E383" s="124" t="s">
        <v>75</v>
      </c>
      <c r="F383" s="124" t="s">
        <v>486</v>
      </c>
      <c r="G383" s="22">
        <v>1600.5</v>
      </c>
      <c r="H383" s="22">
        <v>1473.9</v>
      </c>
      <c r="I383" s="26">
        <v>51</v>
      </c>
      <c r="J383" s="19">
        <f>'Форма 2'!I1420</f>
        <v>4775878.17</v>
      </c>
      <c r="K383" s="22">
        <v>0</v>
      </c>
      <c r="L383" s="22">
        <v>0</v>
      </c>
      <c r="M383" s="22">
        <v>0</v>
      </c>
      <c r="N383" s="22">
        <f t="shared" si="59"/>
        <v>4775878.17</v>
      </c>
      <c r="O383" s="22">
        <v>0</v>
      </c>
      <c r="P383" s="22">
        <f t="shared" si="60"/>
        <v>3240.3</v>
      </c>
      <c r="Q383" s="19">
        <f>'Форма 2'!K1420</f>
        <v>4728</v>
      </c>
      <c r="R383" s="34" t="s">
        <v>164</v>
      </c>
      <c r="S383" s="172">
        <v>1</v>
      </c>
      <c r="T383" s="33"/>
    </row>
    <row r="384" spans="1:20" s="74" customFormat="1" x14ac:dyDescent="0.35">
      <c r="A384" s="11">
        <f t="shared" si="61"/>
        <v>41</v>
      </c>
      <c r="B384" s="11">
        <v>6341</v>
      </c>
      <c r="C384" s="46" t="s">
        <v>514</v>
      </c>
      <c r="D384" s="11">
        <v>1951</v>
      </c>
      <c r="E384" s="124" t="s">
        <v>75</v>
      </c>
      <c r="F384" s="124" t="s">
        <v>155</v>
      </c>
      <c r="G384" s="22">
        <v>1619.6</v>
      </c>
      <c r="H384" s="22">
        <v>884.5</v>
      </c>
      <c r="I384" s="26">
        <v>46</v>
      </c>
      <c r="J384" s="19">
        <f>'Форма 2'!I1423</f>
        <v>110728.95</v>
      </c>
      <c r="K384" s="22">
        <v>0</v>
      </c>
      <c r="L384" s="22">
        <v>0</v>
      </c>
      <c r="M384" s="22">
        <v>0</v>
      </c>
      <c r="N384" s="22">
        <f t="shared" si="59"/>
        <v>110728.95</v>
      </c>
      <c r="O384" s="22">
        <v>0</v>
      </c>
      <c r="P384" s="22">
        <f t="shared" si="60"/>
        <v>125.19</v>
      </c>
      <c r="Q384" s="19">
        <f>'Форма 2'!K1423</f>
        <v>178</v>
      </c>
      <c r="R384" s="34" t="s">
        <v>164</v>
      </c>
      <c r="S384" s="172">
        <v>1</v>
      </c>
      <c r="T384" s="33"/>
    </row>
    <row r="385" spans="1:20" s="74" customFormat="1" x14ac:dyDescent="0.35">
      <c r="A385" s="11">
        <f t="shared" si="61"/>
        <v>42</v>
      </c>
      <c r="B385" s="11">
        <v>6343</v>
      </c>
      <c r="C385" s="46" t="s">
        <v>223</v>
      </c>
      <c r="D385" s="11">
        <v>1951</v>
      </c>
      <c r="E385" s="124" t="s">
        <v>75</v>
      </c>
      <c r="F385" s="124" t="s">
        <v>158</v>
      </c>
      <c r="G385" s="22">
        <v>964.5</v>
      </c>
      <c r="H385" s="22">
        <v>877.1</v>
      </c>
      <c r="I385" s="26">
        <v>30</v>
      </c>
      <c r="J385" s="19">
        <f>'Форма 2'!I1425</f>
        <v>6067777.7999999998</v>
      </c>
      <c r="K385" s="22">
        <v>0</v>
      </c>
      <c r="L385" s="22">
        <v>0</v>
      </c>
      <c r="M385" s="22">
        <v>0</v>
      </c>
      <c r="N385" s="22">
        <f t="shared" si="59"/>
        <v>6067777.7999999998</v>
      </c>
      <c r="O385" s="22">
        <v>0</v>
      </c>
      <c r="P385" s="22">
        <f t="shared" si="60"/>
        <v>6918</v>
      </c>
      <c r="Q385" s="19">
        <f>'Форма 2'!K1425</f>
        <v>7066</v>
      </c>
      <c r="R385" s="34" t="s">
        <v>164</v>
      </c>
      <c r="S385" s="172">
        <v>1</v>
      </c>
      <c r="T385" s="33"/>
    </row>
    <row r="386" spans="1:20" x14ac:dyDescent="0.35">
      <c r="A386" s="11">
        <f t="shared" si="61"/>
        <v>43</v>
      </c>
      <c r="B386" s="11">
        <v>6345</v>
      </c>
      <c r="C386" s="46" t="s">
        <v>515</v>
      </c>
      <c r="D386" s="11">
        <v>1951</v>
      </c>
      <c r="E386" s="124" t="s">
        <v>75</v>
      </c>
      <c r="F386" s="124" t="s">
        <v>155</v>
      </c>
      <c r="G386" s="22">
        <v>977.4</v>
      </c>
      <c r="H386" s="22">
        <v>889.8</v>
      </c>
      <c r="I386" s="26">
        <v>37</v>
      </c>
      <c r="J386" s="19">
        <f>'Форма 2'!I1428</f>
        <v>107863.13</v>
      </c>
      <c r="K386" s="22">
        <v>0</v>
      </c>
      <c r="L386" s="22">
        <v>0</v>
      </c>
      <c r="M386" s="22">
        <v>0</v>
      </c>
      <c r="N386" s="22">
        <f t="shared" si="59"/>
        <v>107863.13</v>
      </c>
      <c r="O386" s="22">
        <v>0</v>
      </c>
      <c r="P386" s="22">
        <f t="shared" si="60"/>
        <v>121.22</v>
      </c>
      <c r="Q386" s="19">
        <f>'Форма 2'!K1428</f>
        <v>178</v>
      </c>
      <c r="R386" s="34" t="s">
        <v>164</v>
      </c>
      <c r="S386" s="172">
        <v>1</v>
      </c>
      <c r="T386" s="33"/>
    </row>
    <row r="387" spans="1:20" s="190" customFormat="1" x14ac:dyDescent="0.35">
      <c r="A387" s="124">
        <f t="shared" si="61"/>
        <v>44</v>
      </c>
      <c r="B387" s="124">
        <v>6351</v>
      </c>
      <c r="C387" s="46" t="s">
        <v>225</v>
      </c>
      <c r="D387" s="124">
        <v>1953</v>
      </c>
      <c r="E387" s="118" t="s">
        <v>181</v>
      </c>
      <c r="F387" s="124" t="s">
        <v>158</v>
      </c>
      <c r="G387" s="86">
        <v>1538</v>
      </c>
      <c r="H387" s="86">
        <v>899.1</v>
      </c>
      <c r="I387" s="99">
        <v>43</v>
      </c>
      <c r="J387" s="86">
        <f>'Форма 2'!I1430</f>
        <v>3205291.5</v>
      </c>
      <c r="K387" s="86">
        <v>0</v>
      </c>
      <c r="L387" s="86">
        <v>0</v>
      </c>
      <c r="M387" s="86">
        <v>0</v>
      </c>
      <c r="N387" s="86">
        <f t="shared" si="59"/>
        <v>3205291.5</v>
      </c>
      <c r="O387" s="86">
        <v>0</v>
      </c>
      <c r="P387" s="86">
        <f t="shared" si="60"/>
        <v>3565</v>
      </c>
      <c r="Q387" s="86">
        <f>'Форма 2'!K1430</f>
        <v>3642</v>
      </c>
      <c r="R387" s="189" t="s">
        <v>164</v>
      </c>
      <c r="S387" s="183">
        <v>1</v>
      </c>
      <c r="T387" s="33"/>
    </row>
    <row r="388" spans="1:20" x14ac:dyDescent="0.35">
      <c r="A388" s="11">
        <f t="shared" si="61"/>
        <v>45</v>
      </c>
      <c r="B388" s="11">
        <v>6354</v>
      </c>
      <c r="C388" s="46" t="s">
        <v>226</v>
      </c>
      <c r="D388" s="11">
        <v>1957</v>
      </c>
      <c r="E388" s="124" t="s">
        <v>75</v>
      </c>
      <c r="F388" s="124" t="s">
        <v>486</v>
      </c>
      <c r="G388" s="22">
        <v>4033</v>
      </c>
      <c r="H388" s="22">
        <v>2328</v>
      </c>
      <c r="I388" s="26">
        <v>110</v>
      </c>
      <c r="J388" s="22">
        <f>'Форма 2'!I1437</f>
        <v>7543418.4000000004</v>
      </c>
      <c r="K388" s="22">
        <v>0</v>
      </c>
      <c r="L388" s="22">
        <v>0</v>
      </c>
      <c r="M388" s="22">
        <v>0</v>
      </c>
      <c r="N388" s="22">
        <f t="shared" si="59"/>
        <v>7543418.4000000004</v>
      </c>
      <c r="O388" s="22">
        <v>0</v>
      </c>
      <c r="P388" s="22">
        <f t="shared" si="60"/>
        <v>3240.3</v>
      </c>
      <c r="Q388" s="22">
        <f>'Форма 2'!K1437</f>
        <v>4728</v>
      </c>
      <c r="R388" s="34" t="s">
        <v>164</v>
      </c>
      <c r="S388" s="172">
        <v>1</v>
      </c>
      <c r="T388" s="33"/>
    </row>
    <row r="389" spans="1:20" x14ac:dyDescent="0.35">
      <c r="A389" s="11">
        <f t="shared" si="61"/>
        <v>46</v>
      </c>
      <c r="B389" s="11">
        <v>6356</v>
      </c>
      <c r="C389" s="46" t="s">
        <v>227</v>
      </c>
      <c r="D389" s="11">
        <v>1957</v>
      </c>
      <c r="E389" s="124" t="s">
        <v>75</v>
      </c>
      <c r="F389" s="124" t="s">
        <v>486</v>
      </c>
      <c r="G389" s="22">
        <v>4296</v>
      </c>
      <c r="H389" s="22">
        <v>2350</v>
      </c>
      <c r="I389" s="26">
        <v>107</v>
      </c>
      <c r="J389" s="22">
        <f>'Форма 2'!I1440</f>
        <v>7614705</v>
      </c>
      <c r="K389" s="22">
        <v>0</v>
      </c>
      <c r="L389" s="22">
        <v>0</v>
      </c>
      <c r="M389" s="22">
        <v>0</v>
      </c>
      <c r="N389" s="22">
        <f t="shared" si="59"/>
        <v>7614705</v>
      </c>
      <c r="O389" s="22">
        <v>0</v>
      </c>
      <c r="P389" s="22">
        <f t="shared" si="60"/>
        <v>3240.3</v>
      </c>
      <c r="Q389" s="22">
        <f>'Форма 2'!K1440</f>
        <v>4728</v>
      </c>
      <c r="R389" s="34" t="s">
        <v>164</v>
      </c>
      <c r="S389" s="172">
        <v>1</v>
      </c>
      <c r="T389" s="33"/>
    </row>
    <row r="390" spans="1:20" x14ac:dyDescent="0.35">
      <c r="A390" s="11">
        <f t="shared" si="61"/>
        <v>47</v>
      </c>
      <c r="B390" s="110">
        <v>6366</v>
      </c>
      <c r="C390" s="46" t="s">
        <v>516</v>
      </c>
      <c r="D390" s="124">
        <v>1967</v>
      </c>
      <c r="E390" s="118" t="s">
        <v>75</v>
      </c>
      <c r="F390" s="124" t="s">
        <v>155</v>
      </c>
      <c r="G390" s="22">
        <v>3386.5</v>
      </c>
      <c r="H390" s="22">
        <v>2500</v>
      </c>
      <c r="I390" s="26">
        <v>122</v>
      </c>
      <c r="J390" s="22">
        <f>'Форма 2'!I1443</f>
        <v>410000</v>
      </c>
      <c r="K390" s="22">
        <v>0</v>
      </c>
      <c r="L390" s="22">
        <v>0</v>
      </c>
      <c r="M390" s="22">
        <v>0</v>
      </c>
      <c r="N390" s="22">
        <f>J390-K390-L390-M390-O390</f>
        <v>410000</v>
      </c>
      <c r="O390" s="22">
        <v>0</v>
      </c>
      <c r="P390" s="22">
        <f>J390/H390</f>
        <v>164</v>
      </c>
      <c r="Q390" s="22">
        <f>'Форма 2'!K1443</f>
        <v>164</v>
      </c>
      <c r="R390" s="34" t="s">
        <v>164</v>
      </c>
      <c r="S390" s="172">
        <v>1</v>
      </c>
      <c r="T390" s="33"/>
    </row>
    <row r="391" spans="1:20" x14ac:dyDescent="0.35">
      <c r="A391" s="11">
        <f t="shared" si="61"/>
        <v>48</v>
      </c>
      <c r="B391" s="11">
        <v>6389</v>
      </c>
      <c r="C391" s="46" t="s">
        <v>517</v>
      </c>
      <c r="D391" s="11">
        <v>1958</v>
      </c>
      <c r="E391" s="124" t="s">
        <v>75</v>
      </c>
      <c r="F391" s="124" t="s">
        <v>163</v>
      </c>
      <c r="G391" s="22">
        <v>4156</v>
      </c>
      <c r="H391" s="22">
        <v>2320</v>
      </c>
      <c r="I391" s="26">
        <v>98</v>
      </c>
      <c r="J391" s="19">
        <f>'Форма 2'!I1445</f>
        <v>3436447.58</v>
      </c>
      <c r="K391" s="22">
        <v>0</v>
      </c>
      <c r="L391" s="22">
        <v>0</v>
      </c>
      <c r="M391" s="22">
        <v>0</v>
      </c>
      <c r="N391" s="22">
        <f t="shared" si="59"/>
        <v>3436447.58</v>
      </c>
      <c r="O391" s="22">
        <v>0</v>
      </c>
      <c r="P391" s="22">
        <f t="shared" si="60"/>
        <v>1481.23</v>
      </c>
      <c r="Q391" s="19">
        <f>'Форма 2'!K1445</f>
        <v>4793</v>
      </c>
      <c r="R391" s="34" t="s">
        <v>498</v>
      </c>
      <c r="S391" s="172">
        <v>1</v>
      </c>
      <c r="T391" s="33"/>
    </row>
    <row r="392" spans="1:20" s="190" customFormat="1" x14ac:dyDescent="0.35">
      <c r="A392" s="124">
        <f t="shared" si="61"/>
        <v>49</v>
      </c>
      <c r="B392" s="124">
        <v>6392</v>
      </c>
      <c r="C392" s="46" t="s">
        <v>518</v>
      </c>
      <c r="D392" s="124">
        <v>1958</v>
      </c>
      <c r="E392" s="124" t="s">
        <v>239</v>
      </c>
      <c r="F392" s="124" t="s">
        <v>163</v>
      </c>
      <c r="G392" s="86">
        <v>5405</v>
      </c>
      <c r="H392" s="86">
        <v>2953.7</v>
      </c>
      <c r="I392" s="99">
        <v>91</v>
      </c>
      <c r="J392" s="118">
        <f>'Форма 2'!I1448</f>
        <v>2730104.91</v>
      </c>
      <c r="K392" s="86">
        <v>0</v>
      </c>
      <c r="L392" s="86">
        <v>0</v>
      </c>
      <c r="M392" s="86">
        <v>0</v>
      </c>
      <c r="N392" s="86">
        <f t="shared" si="59"/>
        <v>2730104.91</v>
      </c>
      <c r="O392" s="86">
        <v>0</v>
      </c>
      <c r="P392" s="86">
        <f t="shared" si="60"/>
        <v>924.3</v>
      </c>
      <c r="Q392" s="118">
        <f>'Форма 2'!K1448</f>
        <v>2808</v>
      </c>
      <c r="R392" s="189" t="s">
        <v>498</v>
      </c>
      <c r="S392" s="183">
        <v>1</v>
      </c>
      <c r="T392" s="33"/>
    </row>
    <row r="393" spans="1:20" x14ac:dyDescent="0.35">
      <c r="A393" s="11">
        <f t="shared" si="61"/>
        <v>50</v>
      </c>
      <c r="B393" s="11">
        <v>6394</v>
      </c>
      <c r="C393" s="46" t="s">
        <v>519</v>
      </c>
      <c r="D393" s="11">
        <v>1958</v>
      </c>
      <c r="E393" s="124" t="s">
        <v>75</v>
      </c>
      <c r="F393" s="124" t="s">
        <v>163</v>
      </c>
      <c r="G393" s="22">
        <v>3388</v>
      </c>
      <c r="H393" s="22">
        <v>2015.8</v>
      </c>
      <c r="I393" s="26">
        <v>90</v>
      </c>
      <c r="J393" s="19">
        <f>'Форма 2'!I1451</f>
        <v>3002844.53</v>
      </c>
      <c r="K393" s="22">
        <v>0</v>
      </c>
      <c r="L393" s="22">
        <v>0</v>
      </c>
      <c r="M393" s="22">
        <v>0</v>
      </c>
      <c r="N393" s="22">
        <f t="shared" si="59"/>
        <v>3002844.53</v>
      </c>
      <c r="O393" s="22">
        <v>0</v>
      </c>
      <c r="P393" s="22">
        <f t="shared" si="60"/>
        <v>1489.65</v>
      </c>
      <c r="Q393" s="19">
        <f>'Форма 2'!K1451</f>
        <v>4793</v>
      </c>
      <c r="R393" s="34" t="s">
        <v>498</v>
      </c>
      <c r="S393" s="172">
        <v>1</v>
      </c>
      <c r="T393" s="33"/>
    </row>
    <row r="394" spans="1:20" x14ac:dyDescent="0.35">
      <c r="A394" s="11">
        <f t="shared" si="61"/>
        <v>51</v>
      </c>
      <c r="B394" s="110">
        <v>6397</v>
      </c>
      <c r="C394" s="46" t="s">
        <v>520</v>
      </c>
      <c r="D394" s="124">
        <v>1959</v>
      </c>
      <c r="E394" s="118" t="s">
        <v>75</v>
      </c>
      <c r="F394" s="124" t="s">
        <v>155</v>
      </c>
      <c r="G394" s="85">
        <v>3760</v>
      </c>
      <c r="H394" s="22">
        <v>2127</v>
      </c>
      <c r="I394" s="26">
        <v>74</v>
      </c>
      <c r="J394" s="19">
        <f>'Форма 2'!I1454</f>
        <v>348828</v>
      </c>
      <c r="K394" s="22">
        <v>0</v>
      </c>
      <c r="L394" s="22">
        <v>0</v>
      </c>
      <c r="M394" s="22">
        <v>0</v>
      </c>
      <c r="N394" s="22">
        <f>J394-K394-L394-M394-O394</f>
        <v>348828</v>
      </c>
      <c r="O394" s="22">
        <v>0</v>
      </c>
      <c r="P394" s="22">
        <f>J394/H394</f>
        <v>164</v>
      </c>
      <c r="Q394" s="19">
        <f>'Форма 2'!K1454</f>
        <v>164</v>
      </c>
      <c r="R394" s="34" t="s">
        <v>164</v>
      </c>
      <c r="S394" s="172">
        <v>1</v>
      </c>
      <c r="T394" s="33"/>
    </row>
    <row r="395" spans="1:20" x14ac:dyDescent="0.35">
      <c r="A395" s="11">
        <f t="shared" si="61"/>
        <v>52</v>
      </c>
      <c r="B395" s="110">
        <v>6406</v>
      </c>
      <c r="C395" s="46" t="s">
        <v>521</v>
      </c>
      <c r="D395" s="124">
        <v>1972</v>
      </c>
      <c r="E395" s="118" t="s">
        <v>75</v>
      </c>
      <c r="F395" s="124" t="s">
        <v>155</v>
      </c>
      <c r="G395" s="85">
        <v>5695.12</v>
      </c>
      <c r="H395" s="22">
        <v>4336.58</v>
      </c>
      <c r="I395" s="26">
        <v>251</v>
      </c>
      <c r="J395" s="19">
        <f>'Форма 2'!I1456</f>
        <v>711199.12</v>
      </c>
      <c r="K395" s="22">
        <v>0</v>
      </c>
      <c r="L395" s="22">
        <v>0</v>
      </c>
      <c r="M395" s="22">
        <v>0</v>
      </c>
      <c r="N395" s="22">
        <f>J395-K395-L395-M395-O395</f>
        <v>711199.12</v>
      </c>
      <c r="O395" s="22">
        <v>0</v>
      </c>
      <c r="P395" s="22">
        <f>J395/H395</f>
        <v>164</v>
      </c>
      <c r="Q395" s="19">
        <f>'Форма 2'!K1456</f>
        <v>164</v>
      </c>
      <c r="R395" s="34" t="s">
        <v>164</v>
      </c>
      <c r="S395" s="172">
        <v>1</v>
      </c>
      <c r="T395" s="33"/>
    </row>
    <row r="396" spans="1:20" x14ac:dyDescent="0.35">
      <c r="A396" s="11">
        <f t="shared" si="61"/>
        <v>53</v>
      </c>
      <c r="B396" s="11">
        <v>6420</v>
      </c>
      <c r="C396" s="46" t="s">
        <v>229</v>
      </c>
      <c r="D396" s="11">
        <v>1955</v>
      </c>
      <c r="E396" s="124" t="s">
        <v>75</v>
      </c>
      <c r="F396" s="124" t="s">
        <v>486</v>
      </c>
      <c r="G396" s="22">
        <v>882</v>
      </c>
      <c r="H396" s="22">
        <v>486</v>
      </c>
      <c r="I396" s="26">
        <v>33</v>
      </c>
      <c r="J396" s="19">
        <f>'Форма 2'!I1458</f>
        <v>2353503.6</v>
      </c>
      <c r="K396" s="22">
        <v>0</v>
      </c>
      <c r="L396" s="22">
        <v>0</v>
      </c>
      <c r="M396" s="22">
        <v>0</v>
      </c>
      <c r="N396" s="22">
        <f t="shared" si="59"/>
        <v>2353503.6</v>
      </c>
      <c r="O396" s="22">
        <v>0</v>
      </c>
      <c r="P396" s="22">
        <f t="shared" si="60"/>
        <v>4842.6000000000004</v>
      </c>
      <c r="Q396" s="19">
        <f>'Форма 2'!K1458</f>
        <v>7066</v>
      </c>
      <c r="R396" s="34" t="s">
        <v>164</v>
      </c>
      <c r="S396" s="172">
        <v>1</v>
      </c>
      <c r="T396" s="33"/>
    </row>
    <row r="397" spans="1:20" x14ac:dyDescent="0.35">
      <c r="A397" s="11">
        <f t="shared" si="61"/>
        <v>54</v>
      </c>
      <c r="B397" s="11">
        <v>6421</v>
      </c>
      <c r="C397" s="46" t="s">
        <v>522</v>
      </c>
      <c r="D397" s="11">
        <v>1954</v>
      </c>
      <c r="E397" s="124" t="s">
        <v>509</v>
      </c>
      <c r="F397" s="124" t="s">
        <v>155</v>
      </c>
      <c r="G397" s="22">
        <v>898</v>
      </c>
      <c r="H397" s="22">
        <v>491.4</v>
      </c>
      <c r="I397" s="26">
        <v>27</v>
      </c>
      <c r="J397" s="19">
        <f>'Форма 2'!I1461</f>
        <v>146928.6</v>
      </c>
      <c r="K397" s="22">
        <v>0</v>
      </c>
      <c r="L397" s="22">
        <v>0</v>
      </c>
      <c r="M397" s="22">
        <v>0</v>
      </c>
      <c r="N397" s="22">
        <f t="shared" si="59"/>
        <v>146928.6</v>
      </c>
      <c r="O397" s="22">
        <v>0</v>
      </c>
      <c r="P397" s="22">
        <f t="shared" si="60"/>
        <v>299</v>
      </c>
      <c r="Q397" s="19">
        <f>'Форма 2'!K1461</f>
        <v>299</v>
      </c>
      <c r="R397" s="34" t="s">
        <v>164</v>
      </c>
      <c r="S397" s="172">
        <v>1</v>
      </c>
      <c r="T397" s="33"/>
    </row>
    <row r="398" spans="1:20" x14ac:dyDescent="0.35">
      <c r="A398" s="11">
        <f t="shared" si="61"/>
        <v>55</v>
      </c>
      <c r="B398" s="11">
        <v>6447</v>
      </c>
      <c r="C398" s="46" t="s">
        <v>523</v>
      </c>
      <c r="D398" s="11">
        <v>1958</v>
      </c>
      <c r="E398" s="124" t="s">
        <v>75</v>
      </c>
      <c r="F398" s="124" t="s">
        <v>155</v>
      </c>
      <c r="G398" s="22">
        <v>7156</v>
      </c>
      <c r="H398" s="22">
        <v>4297.8</v>
      </c>
      <c r="I398" s="26">
        <v>193</v>
      </c>
      <c r="J398" s="19">
        <f>'Форма 2'!I1464</f>
        <v>314006.93</v>
      </c>
      <c r="K398" s="22">
        <v>0</v>
      </c>
      <c r="L398" s="22">
        <v>0</v>
      </c>
      <c r="M398" s="22">
        <v>0</v>
      </c>
      <c r="N398" s="22">
        <f t="shared" si="59"/>
        <v>314006.93</v>
      </c>
      <c r="O398" s="22">
        <v>0</v>
      </c>
      <c r="P398" s="22">
        <f t="shared" si="60"/>
        <v>73.06</v>
      </c>
      <c r="Q398" s="19">
        <f>'Форма 2'!K1465</f>
        <v>164</v>
      </c>
      <c r="R398" s="34" t="s">
        <v>164</v>
      </c>
      <c r="S398" s="172">
        <v>1</v>
      </c>
      <c r="T398" s="33"/>
    </row>
    <row r="399" spans="1:20" x14ac:dyDescent="0.35">
      <c r="A399" s="11">
        <f t="shared" si="61"/>
        <v>56</v>
      </c>
      <c r="B399" s="110">
        <v>6452</v>
      </c>
      <c r="C399" s="46" t="s">
        <v>524</v>
      </c>
      <c r="D399" s="11">
        <v>1958</v>
      </c>
      <c r="E399" s="124" t="s">
        <v>75</v>
      </c>
      <c r="F399" s="124" t="s">
        <v>155</v>
      </c>
      <c r="G399" s="22">
        <v>5213</v>
      </c>
      <c r="H399" s="22">
        <v>2935.1</v>
      </c>
      <c r="I399" s="26">
        <v>129</v>
      </c>
      <c r="J399" s="19">
        <f>'Форма 2'!I1466</f>
        <v>481356.4</v>
      </c>
      <c r="K399" s="22">
        <v>0</v>
      </c>
      <c r="L399" s="22">
        <v>0</v>
      </c>
      <c r="M399" s="22">
        <v>0</v>
      </c>
      <c r="N399" s="22">
        <f>J399-K399-L399-M399-O399</f>
        <v>481356.4</v>
      </c>
      <c r="O399" s="22">
        <v>0</v>
      </c>
      <c r="P399" s="22">
        <f t="shared" si="60"/>
        <v>164</v>
      </c>
      <c r="Q399" s="19">
        <f>'Форма 2'!K1466</f>
        <v>164</v>
      </c>
      <c r="R399" s="34" t="s">
        <v>164</v>
      </c>
      <c r="S399" s="172">
        <v>1</v>
      </c>
      <c r="T399" s="33"/>
    </row>
    <row r="400" spans="1:20" x14ac:dyDescent="0.35">
      <c r="A400" s="11">
        <f t="shared" si="61"/>
        <v>57</v>
      </c>
      <c r="B400" s="11">
        <v>6453</v>
      </c>
      <c r="C400" s="46" t="s">
        <v>525</v>
      </c>
      <c r="D400" s="11">
        <v>1958</v>
      </c>
      <c r="E400" s="124" t="s">
        <v>75</v>
      </c>
      <c r="F400" s="124" t="s">
        <v>155</v>
      </c>
      <c r="G400" s="22">
        <v>5255</v>
      </c>
      <c r="H400" s="22">
        <v>2955.7</v>
      </c>
      <c r="I400" s="26">
        <v>109</v>
      </c>
      <c r="J400" s="19">
        <f>'Форма 2'!I1468</f>
        <v>484734.8</v>
      </c>
      <c r="K400" s="22">
        <v>0</v>
      </c>
      <c r="L400" s="22">
        <v>0</v>
      </c>
      <c r="M400" s="22">
        <v>0</v>
      </c>
      <c r="N400" s="22">
        <f t="shared" si="59"/>
        <v>484734.8</v>
      </c>
      <c r="O400" s="22">
        <v>0</v>
      </c>
      <c r="P400" s="22">
        <f t="shared" si="60"/>
        <v>164</v>
      </c>
      <c r="Q400" s="19">
        <f>'Форма 2'!K1468</f>
        <v>164</v>
      </c>
      <c r="R400" s="34" t="s">
        <v>164</v>
      </c>
      <c r="S400" s="172">
        <v>1</v>
      </c>
      <c r="T400" s="33"/>
    </row>
    <row r="401" spans="1:20" x14ac:dyDescent="0.35">
      <c r="A401" s="11">
        <f t="shared" si="61"/>
        <v>58</v>
      </c>
      <c r="B401" s="11">
        <v>6461</v>
      </c>
      <c r="C401" s="46" t="s">
        <v>526</v>
      </c>
      <c r="D401" s="11">
        <v>1955</v>
      </c>
      <c r="E401" s="124" t="s">
        <v>75</v>
      </c>
      <c r="F401" s="124" t="s">
        <v>155</v>
      </c>
      <c r="G401" s="22">
        <v>975</v>
      </c>
      <c r="H401" s="22">
        <v>483.4</v>
      </c>
      <c r="I401" s="26">
        <v>38</v>
      </c>
      <c r="J401" s="19">
        <f>'Форма 2'!I1470</f>
        <v>86045.2</v>
      </c>
      <c r="K401" s="22">
        <v>0</v>
      </c>
      <c r="L401" s="22">
        <v>0</v>
      </c>
      <c r="M401" s="22">
        <v>0</v>
      </c>
      <c r="N401" s="22">
        <f t="shared" si="59"/>
        <v>86045.2</v>
      </c>
      <c r="O401" s="22">
        <v>0</v>
      </c>
      <c r="P401" s="22">
        <f t="shared" si="60"/>
        <v>178</v>
      </c>
      <c r="Q401" s="19">
        <f>'Форма 2'!K1470</f>
        <v>178</v>
      </c>
      <c r="R401" s="34" t="s">
        <v>164</v>
      </c>
      <c r="S401" s="172">
        <v>1</v>
      </c>
      <c r="T401" s="33"/>
    </row>
    <row r="402" spans="1:20" x14ac:dyDescent="0.35">
      <c r="A402" s="11">
        <f>A401+1</f>
        <v>59</v>
      </c>
      <c r="B402" s="11">
        <v>6480</v>
      </c>
      <c r="C402" s="46" t="s">
        <v>527</v>
      </c>
      <c r="D402" s="11">
        <v>1954</v>
      </c>
      <c r="E402" s="124" t="s">
        <v>509</v>
      </c>
      <c r="F402" s="124" t="s">
        <v>155</v>
      </c>
      <c r="G402" s="22">
        <v>1861</v>
      </c>
      <c r="H402" s="22">
        <v>402.4</v>
      </c>
      <c r="I402" s="26">
        <v>24</v>
      </c>
      <c r="J402" s="19">
        <f>'Форма 2'!I1472</f>
        <v>120317.6</v>
      </c>
      <c r="K402" s="22">
        <v>0</v>
      </c>
      <c r="L402" s="22">
        <v>0</v>
      </c>
      <c r="M402" s="22">
        <v>0</v>
      </c>
      <c r="N402" s="22">
        <f>J402-K402-L402-M402-O402</f>
        <v>120317.6</v>
      </c>
      <c r="O402" s="22">
        <v>0</v>
      </c>
      <c r="P402" s="22">
        <f t="shared" ref="P402:P410" si="62">J402/H402</f>
        <v>299</v>
      </c>
      <c r="Q402" s="19">
        <f>'Форма 2'!K1472</f>
        <v>299</v>
      </c>
      <c r="R402" s="34" t="s">
        <v>164</v>
      </c>
      <c r="S402" s="172">
        <v>1</v>
      </c>
      <c r="T402" s="33"/>
    </row>
    <row r="403" spans="1:20" s="190" customFormat="1" ht="31" x14ac:dyDescent="0.35">
      <c r="A403" s="124">
        <f t="shared" si="61"/>
        <v>60</v>
      </c>
      <c r="B403" s="124">
        <v>6482</v>
      </c>
      <c r="C403" s="46" t="s">
        <v>231</v>
      </c>
      <c r="D403" s="124">
        <v>1955</v>
      </c>
      <c r="E403" s="118" t="s">
        <v>808</v>
      </c>
      <c r="F403" s="124" t="s">
        <v>158</v>
      </c>
      <c r="G403" s="86">
        <v>1442</v>
      </c>
      <c r="H403" s="86">
        <v>892.1</v>
      </c>
      <c r="I403" s="99">
        <v>58</v>
      </c>
      <c r="J403" s="118">
        <f>'Форма 2'!I1475</f>
        <v>3299505.42</v>
      </c>
      <c r="K403" s="86">
        <v>0</v>
      </c>
      <c r="L403" s="86">
        <v>0</v>
      </c>
      <c r="M403" s="86">
        <v>0</v>
      </c>
      <c r="N403" s="86">
        <f>J403-K403-L403-M403-O403</f>
        <v>3299505.42</v>
      </c>
      <c r="O403" s="86">
        <v>0</v>
      </c>
      <c r="P403" s="86">
        <f t="shared" si="62"/>
        <v>3698.58</v>
      </c>
      <c r="Q403" s="118">
        <f>'Форма 2'!K1475</f>
        <v>4843</v>
      </c>
      <c r="R403" s="189" t="s">
        <v>164</v>
      </c>
      <c r="S403" s="183">
        <v>1</v>
      </c>
      <c r="T403" s="33"/>
    </row>
    <row r="404" spans="1:20" x14ac:dyDescent="0.35">
      <c r="A404" s="11">
        <f t="shared" si="61"/>
        <v>61</v>
      </c>
      <c r="B404" s="110">
        <v>6496</v>
      </c>
      <c r="C404" s="46" t="s">
        <v>528</v>
      </c>
      <c r="D404" s="124">
        <v>1966</v>
      </c>
      <c r="E404" s="118" t="s">
        <v>75</v>
      </c>
      <c r="F404" s="124" t="s">
        <v>155</v>
      </c>
      <c r="G404" s="85">
        <v>5542.5</v>
      </c>
      <c r="H404" s="22">
        <v>3824.9</v>
      </c>
      <c r="I404" s="26">
        <v>198</v>
      </c>
      <c r="J404" s="19">
        <f>'Форма 2'!I1484</f>
        <v>627283.6</v>
      </c>
      <c r="K404" s="22">
        <v>0</v>
      </c>
      <c r="L404" s="22">
        <v>0</v>
      </c>
      <c r="M404" s="22">
        <v>0</v>
      </c>
      <c r="N404" s="22">
        <f>J404-K404-L404-M404-O404</f>
        <v>627283.6</v>
      </c>
      <c r="O404" s="22">
        <v>0</v>
      </c>
      <c r="P404" s="22">
        <f t="shared" si="62"/>
        <v>164</v>
      </c>
      <c r="Q404" s="19">
        <f>'Форма 2'!K1484</f>
        <v>164</v>
      </c>
      <c r="R404" s="34" t="s">
        <v>164</v>
      </c>
      <c r="S404" s="172">
        <v>1</v>
      </c>
      <c r="T404" s="33"/>
    </row>
    <row r="405" spans="1:20" x14ac:dyDescent="0.35">
      <c r="A405" s="11">
        <f t="shared" si="61"/>
        <v>62</v>
      </c>
      <c r="B405" s="11">
        <v>6550</v>
      </c>
      <c r="C405" s="46" t="s">
        <v>232</v>
      </c>
      <c r="D405" s="11">
        <v>1957</v>
      </c>
      <c r="E405" s="124" t="s">
        <v>233</v>
      </c>
      <c r="F405" s="124" t="s">
        <v>163</v>
      </c>
      <c r="G405" s="22">
        <v>531.6</v>
      </c>
      <c r="H405" s="22">
        <v>485.6</v>
      </c>
      <c r="I405" s="26">
        <v>27</v>
      </c>
      <c r="J405" s="19">
        <f>'Форма 2'!I1486</f>
        <v>853830.48</v>
      </c>
      <c r="K405" s="22">
        <v>0</v>
      </c>
      <c r="L405" s="22">
        <v>0</v>
      </c>
      <c r="M405" s="22">
        <v>0</v>
      </c>
      <c r="N405" s="22">
        <f>J405-K405-L405-M405-O405</f>
        <v>853830.48</v>
      </c>
      <c r="O405" s="22">
        <v>0</v>
      </c>
      <c r="P405" s="22">
        <f t="shared" si="62"/>
        <v>1758.3</v>
      </c>
      <c r="Q405" s="19">
        <f>'Форма 2'!K1486</f>
        <v>5343</v>
      </c>
      <c r="R405" s="47" t="s">
        <v>498</v>
      </c>
      <c r="S405" s="172">
        <v>1</v>
      </c>
      <c r="T405" s="33"/>
    </row>
    <row r="406" spans="1:20" x14ac:dyDescent="0.35">
      <c r="A406" s="11">
        <f t="shared" si="61"/>
        <v>63</v>
      </c>
      <c r="B406" s="11">
        <v>6551</v>
      </c>
      <c r="C406" s="46" t="s">
        <v>234</v>
      </c>
      <c r="D406" s="11">
        <v>1957</v>
      </c>
      <c r="E406" s="124" t="s">
        <v>233</v>
      </c>
      <c r="F406" s="124" t="s">
        <v>163</v>
      </c>
      <c r="G406" s="22">
        <v>531.6</v>
      </c>
      <c r="H406" s="22">
        <v>476</v>
      </c>
      <c r="I406" s="26">
        <v>23</v>
      </c>
      <c r="J406" s="19">
        <f>'Форма 2'!I1489</f>
        <v>836950.8</v>
      </c>
      <c r="K406" s="22">
        <v>0</v>
      </c>
      <c r="L406" s="22">
        <v>0</v>
      </c>
      <c r="M406" s="22">
        <v>0</v>
      </c>
      <c r="N406" s="22">
        <f>J406-K406-L406-M406-O406</f>
        <v>836950.8</v>
      </c>
      <c r="O406" s="22">
        <v>0</v>
      </c>
      <c r="P406" s="22">
        <f t="shared" si="62"/>
        <v>1758.3</v>
      </c>
      <c r="Q406" s="19">
        <f>'Форма 2'!K1489</f>
        <v>5343</v>
      </c>
      <c r="R406" s="47" t="s">
        <v>498</v>
      </c>
      <c r="S406" s="172">
        <v>1</v>
      </c>
      <c r="T406" s="33"/>
    </row>
    <row r="407" spans="1:20" s="190" customFormat="1" x14ac:dyDescent="0.35">
      <c r="A407" s="124">
        <f t="shared" si="61"/>
        <v>64</v>
      </c>
      <c r="B407" s="124">
        <v>6514</v>
      </c>
      <c r="C407" s="46" t="s">
        <v>235</v>
      </c>
      <c r="D407" s="124">
        <v>1957</v>
      </c>
      <c r="E407" s="118" t="s">
        <v>181</v>
      </c>
      <c r="F407" s="124" t="s">
        <v>158</v>
      </c>
      <c r="G407" s="86">
        <v>481.3</v>
      </c>
      <c r="H407" s="86">
        <v>432.5</v>
      </c>
      <c r="I407" s="99">
        <v>19</v>
      </c>
      <c r="J407" s="118">
        <f>'Форма 2'!I1492</f>
        <v>1541862.5</v>
      </c>
      <c r="K407" s="86">
        <v>0</v>
      </c>
      <c r="L407" s="86">
        <v>0</v>
      </c>
      <c r="M407" s="86">
        <v>0</v>
      </c>
      <c r="N407" s="86">
        <f t="shared" si="59"/>
        <v>1541862.5</v>
      </c>
      <c r="O407" s="86">
        <v>0</v>
      </c>
      <c r="P407" s="86">
        <f t="shared" si="62"/>
        <v>3565</v>
      </c>
      <c r="Q407" s="118">
        <f>'Форма 2'!K1492</f>
        <v>3642</v>
      </c>
      <c r="R407" s="189" t="s">
        <v>164</v>
      </c>
      <c r="S407" s="183">
        <v>1</v>
      </c>
      <c r="T407" s="33"/>
    </row>
    <row r="408" spans="1:20" s="190" customFormat="1" x14ac:dyDescent="0.35">
      <c r="A408" s="124">
        <f>A407+1</f>
        <v>65</v>
      </c>
      <c r="B408" s="124">
        <v>6516</v>
      </c>
      <c r="C408" s="46" t="s">
        <v>236</v>
      </c>
      <c r="D408" s="124">
        <v>1957</v>
      </c>
      <c r="E408" s="118" t="s">
        <v>181</v>
      </c>
      <c r="F408" s="124" t="s">
        <v>158</v>
      </c>
      <c r="G408" s="86">
        <v>471.9</v>
      </c>
      <c r="H408" s="86">
        <v>424.9</v>
      </c>
      <c r="I408" s="99">
        <v>17</v>
      </c>
      <c r="J408" s="118">
        <f>'Форма 2'!I1499</f>
        <v>1514768.5</v>
      </c>
      <c r="K408" s="86">
        <v>0</v>
      </c>
      <c r="L408" s="86">
        <v>0</v>
      </c>
      <c r="M408" s="86">
        <v>0</v>
      </c>
      <c r="N408" s="86">
        <f t="shared" si="59"/>
        <v>1514768.5</v>
      </c>
      <c r="O408" s="86">
        <v>0</v>
      </c>
      <c r="P408" s="86">
        <f t="shared" si="62"/>
        <v>3565</v>
      </c>
      <c r="Q408" s="118">
        <f>'Форма 2'!K1499</f>
        <v>3642</v>
      </c>
      <c r="R408" s="189" t="s">
        <v>164</v>
      </c>
      <c r="S408" s="183">
        <v>1</v>
      </c>
      <c r="T408" s="33"/>
    </row>
    <row r="409" spans="1:20" s="190" customFormat="1" x14ac:dyDescent="0.35">
      <c r="A409" s="124">
        <f>A408+1</f>
        <v>66</v>
      </c>
      <c r="B409" s="124">
        <v>6517</v>
      </c>
      <c r="C409" s="46" t="s">
        <v>237</v>
      </c>
      <c r="D409" s="124">
        <v>1956</v>
      </c>
      <c r="E409" s="118" t="s">
        <v>736</v>
      </c>
      <c r="F409" s="124" t="s">
        <v>158</v>
      </c>
      <c r="G409" s="86">
        <v>341.69</v>
      </c>
      <c r="H409" s="86">
        <v>315.08999999999997</v>
      </c>
      <c r="I409" s="99">
        <v>18</v>
      </c>
      <c r="J409" s="118">
        <f>'Форма 2'!I1506</f>
        <v>1131488.19</v>
      </c>
      <c r="K409" s="86">
        <v>0</v>
      </c>
      <c r="L409" s="86">
        <v>0</v>
      </c>
      <c r="M409" s="86">
        <v>0</v>
      </c>
      <c r="N409" s="86">
        <f t="shared" si="59"/>
        <v>1131488.19</v>
      </c>
      <c r="O409" s="86">
        <v>0</v>
      </c>
      <c r="P409" s="86">
        <f t="shared" si="62"/>
        <v>3591</v>
      </c>
      <c r="Q409" s="118">
        <f>'Форма 2'!K1506</f>
        <v>3669</v>
      </c>
      <c r="R409" s="189" t="s">
        <v>164</v>
      </c>
      <c r="S409" s="183">
        <v>1</v>
      </c>
      <c r="T409" s="33"/>
    </row>
    <row r="410" spans="1:20" s="190" customFormat="1" x14ac:dyDescent="0.35">
      <c r="A410" s="124">
        <f>A409+1</f>
        <v>67</v>
      </c>
      <c r="B410" s="124">
        <v>6524</v>
      </c>
      <c r="C410" s="46" t="s">
        <v>238</v>
      </c>
      <c r="D410" s="124">
        <v>1930</v>
      </c>
      <c r="E410" s="124" t="s">
        <v>239</v>
      </c>
      <c r="F410" s="124" t="s">
        <v>732</v>
      </c>
      <c r="G410" s="86">
        <v>675.65</v>
      </c>
      <c r="H410" s="86">
        <v>536.63</v>
      </c>
      <c r="I410" s="99">
        <v>38</v>
      </c>
      <c r="J410" s="118">
        <f>'Форма 2'!I1513</f>
        <v>1444071.33</v>
      </c>
      <c r="K410" s="86">
        <v>0</v>
      </c>
      <c r="L410" s="86">
        <v>0</v>
      </c>
      <c r="M410" s="86">
        <v>0</v>
      </c>
      <c r="N410" s="86">
        <f t="shared" si="59"/>
        <v>1444071.33</v>
      </c>
      <c r="O410" s="86">
        <v>0</v>
      </c>
      <c r="P410" s="86">
        <f t="shared" si="62"/>
        <v>2691</v>
      </c>
      <c r="Q410" s="118">
        <f>'Форма 2'!K1513</f>
        <v>2749</v>
      </c>
      <c r="R410" s="189" t="s">
        <v>164</v>
      </c>
      <c r="S410" s="183">
        <v>1</v>
      </c>
      <c r="T410" s="33"/>
    </row>
    <row r="411" spans="1:20" x14ac:dyDescent="0.35">
      <c r="A411" s="248" t="s">
        <v>46</v>
      </c>
      <c r="B411" s="249"/>
      <c r="C411" s="250"/>
      <c r="D411" s="23" t="s">
        <v>13</v>
      </c>
      <c r="E411" s="22" t="s">
        <v>13</v>
      </c>
      <c r="F411" s="22" t="s">
        <v>13</v>
      </c>
      <c r="G411" s="22">
        <f>SUM(G412:G432)</f>
        <v>83148.800000000003</v>
      </c>
      <c r="H411" s="22">
        <f t="shared" ref="H411:O411" si="63">SUM(H412:H432)</f>
        <v>69349.05</v>
      </c>
      <c r="I411" s="26">
        <f t="shared" si="63"/>
        <v>2785</v>
      </c>
      <c r="J411" s="22">
        <f t="shared" si="63"/>
        <v>70017854.129999995</v>
      </c>
      <c r="K411" s="22">
        <f t="shared" si="63"/>
        <v>0</v>
      </c>
      <c r="L411" s="22">
        <f t="shared" si="63"/>
        <v>0</v>
      </c>
      <c r="M411" s="22">
        <f t="shared" si="63"/>
        <v>0</v>
      </c>
      <c r="N411" s="22">
        <f t="shared" si="63"/>
        <v>70017854.129999995</v>
      </c>
      <c r="O411" s="22">
        <f t="shared" si="63"/>
        <v>0</v>
      </c>
      <c r="P411" s="22" t="s">
        <v>13</v>
      </c>
      <c r="Q411" s="22" t="s">
        <v>13</v>
      </c>
      <c r="R411" s="22" t="s">
        <v>13</v>
      </c>
      <c r="S411" s="26" t="s">
        <v>13</v>
      </c>
      <c r="T411" s="33"/>
    </row>
    <row r="412" spans="1:20" s="190" customFormat="1" ht="31" x14ac:dyDescent="0.35">
      <c r="A412" s="146">
        <v>1</v>
      </c>
      <c r="B412" s="120">
        <v>5072</v>
      </c>
      <c r="C412" s="117" t="s">
        <v>529</v>
      </c>
      <c r="D412" s="124">
        <v>1979</v>
      </c>
      <c r="E412" s="124" t="s">
        <v>371</v>
      </c>
      <c r="F412" s="124" t="s">
        <v>155</v>
      </c>
      <c r="G412" s="186">
        <v>3478.9</v>
      </c>
      <c r="H412" s="86">
        <v>3100.9</v>
      </c>
      <c r="I412" s="192">
        <v>117</v>
      </c>
      <c r="J412" s="86">
        <f>'Форма 2'!I1517</f>
        <v>496144</v>
      </c>
      <c r="K412" s="86">
        <v>0</v>
      </c>
      <c r="L412" s="187">
        <v>0</v>
      </c>
      <c r="M412" s="187">
        <v>0</v>
      </c>
      <c r="N412" s="86">
        <f>J412-K412-L412-M412-O412</f>
        <v>496144</v>
      </c>
      <c r="O412" s="86">
        <v>0</v>
      </c>
      <c r="P412" s="86">
        <f>J412/H412</f>
        <v>160</v>
      </c>
      <c r="Q412" s="118">
        <f>'Форма 2'!K1517</f>
        <v>160</v>
      </c>
      <c r="R412" s="188" t="s">
        <v>164</v>
      </c>
      <c r="S412" s="124">
        <v>1</v>
      </c>
      <c r="T412" s="33"/>
    </row>
    <row r="413" spans="1:20" s="190" customFormat="1" ht="31" x14ac:dyDescent="0.35">
      <c r="A413" s="41">
        <f>A412+1</f>
        <v>2</v>
      </c>
      <c r="B413" s="120">
        <v>5098</v>
      </c>
      <c r="C413" s="40" t="s">
        <v>530</v>
      </c>
      <c r="D413" s="41">
        <v>1972</v>
      </c>
      <c r="E413" s="41" t="s">
        <v>809</v>
      </c>
      <c r="F413" s="41" t="s">
        <v>155</v>
      </c>
      <c r="G413" s="186">
        <v>396.5</v>
      </c>
      <c r="H413" s="86">
        <v>374.5</v>
      </c>
      <c r="I413" s="192">
        <v>23</v>
      </c>
      <c r="J413" s="86">
        <f>'Форма 2'!I1522</f>
        <v>126955.5</v>
      </c>
      <c r="K413" s="187">
        <v>0</v>
      </c>
      <c r="L413" s="187">
        <v>0</v>
      </c>
      <c r="M413" s="187">
        <v>0</v>
      </c>
      <c r="N413" s="86">
        <f>J413-K413-L413-M413-O413</f>
        <v>126955.5</v>
      </c>
      <c r="O413" s="86">
        <v>0</v>
      </c>
      <c r="P413" s="86">
        <f t="shared" ref="P413:P432" si="64">J413/H413</f>
        <v>339</v>
      </c>
      <c r="Q413" s="86">
        <f>'Форма 2'!K1522</f>
        <v>339</v>
      </c>
      <c r="R413" s="193" t="s">
        <v>164</v>
      </c>
      <c r="S413" s="99">
        <v>1</v>
      </c>
      <c r="T413" s="33"/>
    </row>
    <row r="414" spans="1:20" s="190" customFormat="1" ht="31" x14ac:dyDescent="0.35">
      <c r="A414" s="41">
        <f t="shared" ref="A414:A432" si="65">A413+1</f>
        <v>3</v>
      </c>
      <c r="B414" s="120">
        <v>5099</v>
      </c>
      <c r="C414" s="40" t="s">
        <v>531</v>
      </c>
      <c r="D414" s="41">
        <v>1972</v>
      </c>
      <c r="E414" s="41" t="s">
        <v>809</v>
      </c>
      <c r="F414" s="41" t="s">
        <v>155</v>
      </c>
      <c r="G414" s="186">
        <v>393.3</v>
      </c>
      <c r="H414" s="86">
        <v>368.8</v>
      </c>
      <c r="I414" s="192">
        <v>18</v>
      </c>
      <c r="J414" s="86">
        <f>'Форма 2'!I1528</f>
        <v>125023.2</v>
      </c>
      <c r="K414" s="187">
        <v>0</v>
      </c>
      <c r="L414" s="187">
        <v>0</v>
      </c>
      <c r="M414" s="187">
        <v>0</v>
      </c>
      <c r="N414" s="86">
        <f>J414-K414-L414-M414-O414</f>
        <v>125023.2</v>
      </c>
      <c r="O414" s="86">
        <v>0</v>
      </c>
      <c r="P414" s="86">
        <f t="shared" si="64"/>
        <v>339</v>
      </c>
      <c r="Q414" s="86">
        <f>'Форма 2'!K1528</f>
        <v>339</v>
      </c>
      <c r="R414" s="193" t="s">
        <v>164</v>
      </c>
      <c r="S414" s="99">
        <v>1</v>
      </c>
      <c r="T414" s="33"/>
    </row>
    <row r="415" spans="1:20" x14ac:dyDescent="0.35">
      <c r="A415" s="41">
        <f t="shared" si="65"/>
        <v>4</v>
      </c>
      <c r="B415" s="120">
        <v>5100</v>
      </c>
      <c r="C415" s="40" t="s">
        <v>532</v>
      </c>
      <c r="D415" s="42">
        <v>1974</v>
      </c>
      <c r="E415" s="42" t="s">
        <v>75</v>
      </c>
      <c r="F415" s="41" t="s">
        <v>163</v>
      </c>
      <c r="G415" s="25">
        <v>3099.7</v>
      </c>
      <c r="H415" s="22">
        <v>2705.3</v>
      </c>
      <c r="I415" s="100">
        <v>139</v>
      </c>
      <c r="J415" s="22">
        <f>'Форма 2'!I1534</f>
        <v>2888989.87</v>
      </c>
      <c r="K415" s="48">
        <v>0</v>
      </c>
      <c r="L415" s="48">
        <v>0</v>
      </c>
      <c r="M415" s="48">
        <v>0</v>
      </c>
      <c r="N415" s="22">
        <f t="shared" ref="N415:N428" si="66">J415-K415-L415-M415-O415</f>
        <v>2888989.87</v>
      </c>
      <c r="O415" s="22">
        <v>0</v>
      </c>
      <c r="P415" s="22">
        <f t="shared" si="64"/>
        <v>1067.9000000000001</v>
      </c>
      <c r="Q415" s="22">
        <f>'Форма 2'!K1534</f>
        <v>3170</v>
      </c>
      <c r="R415" s="34" t="s">
        <v>498</v>
      </c>
      <c r="S415" s="26">
        <v>1</v>
      </c>
      <c r="T415" s="33"/>
    </row>
    <row r="416" spans="1:20" s="190" customFormat="1" ht="31" x14ac:dyDescent="0.35">
      <c r="A416" s="41">
        <f t="shared" si="65"/>
        <v>5</v>
      </c>
      <c r="B416" s="120">
        <v>5102</v>
      </c>
      <c r="C416" s="40" t="s">
        <v>533</v>
      </c>
      <c r="D416" s="41">
        <v>1973</v>
      </c>
      <c r="E416" s="41" t="s">
        <v>534</v>
      </c>
      <c r="F416" s="41" t="s">
        <v>163</v>
      </c>
      <c r="G416" s="186">
        <v>4103.3</v>
      </c>
      <c r="H416" s="86">
        <v>3535.3</v>
      </c>
      <c r="I416" s="192">
        <v>183</v>
      </c>
      <c r="J416" s="86">
        <f>'Форма 2'!I1537</f>
        <v>4478164.51</v>
      </c>
      <c r="K416" s="187">
        <v>0</v>
      </c>
      <c r="L416" s="187">
        <v>0</v>
      </c>
      <c r="M416" s="187">
        <v>0</v>
      </c>
      <c r="N416" s="86">
        <f t="shared" si="66"/>
        <v>4478164.51</v>
      </c>
      <c r="O416" s="86">
        <v>0</v>
      </c>
      <c r="P416" s="86">
        <f t="shared" si="64"/>
        <v>1266.7</v>
      </c>
      <c r="Q416" s="86">
        <f>'Форма 2'!K1537</f>
        <v>3849</v>
      </c>
      <c r="R416" s="189" t="s">
        <v>498</v>
      </c>
      <c r="S416" s="99">
        <v>1</v>
      </c>
      <c r="T416" s="33"/>
    </row>
    <row r="417" spans="1:20" s="21" customFormat="1" x14ac:dyDescent="0.35">
      <c r="A417" s="41">
        <f t="shared" si="65"/>
        <v>6</v>
      </c>
      <c r="B417" s="123">
        <v>5107</v>
      </c>
      <c r="C417" s="40" t="s">
        <v>535</v>
      </c>
      <c r="D417" s="42">
        <v>1972</v>
      </c>
      <c r="E417" s="42" t="s">
        <v>75</v>
      </c>
      <c r="F417" s="42" t="s">
        <v>155</v>
      </c>
      <c r="G417" s="25">
        <v>804.2</v>
      </c>
      <c r="H417" s="22">
        <v>743</v>
      </c>
      <c r="I417" s="100">
        <v>43</v>
      </c>
      <c r="J417" s="22">
        <f>'Форма 2'!I1546</f>
        <v>124081</v>
      </c>
      <c r="K417" s="48">
        <v>0</v>
      </c>
      <c r="L417" s="48">
        <v>0</v>
      </c>
      <c r="M417" s="48">
        <v>0</v>
      </c>
      <c r="N417" s="22">
        <f t="shared" si="66"/>
        <v>124081</v>
      </c>
      <c r="O417" s="22">
        <v>0</v>
      </c>
      <c r="P417" s="22">
        <f t="shared" si="64"/>
        <v>167</v>
      </c>
      <c r="Q417" s="22">
        <f>'Форма 2'!K1546</f>
        <v>167</v>
      </c>
      <c r="R417" s="49" t="s">
        <v>164</v>
      </c>
      <c r="S417" s="26">
        <v>1</v>
      </c>
      <c r="T417" s="33"/>
    </row>
    <row r="418" spans="1:20" s="190" customFormat="1" ht="31" x14ac:dyDescent="0.35">
      <c r="A418" s="41">
        <f t="shared" si="65"/>
        <v>7</v>
      </c>
      <c r="B418" s="123">
        <v>5108</v>
      </c>
      <c r="C418" s="40" t="s">
        <v>536</v>
      </c>
      <c r="D418" s="41">
        <v>1973</v>
      </c>
      <c r="E418" s="41" t="s">
        <v>534</v>
      </c>
      <c r="F418" s="41" t="s">
        <v>155</v>
      </c>
      <c r="G418" s="186">
        <v>2778.4</v>
      </c>
      <c r="H418" s="86">
        <v>2556</v>
      </c>
      <c r="I418" s="192">
        <v>159</v>
      </c>
      <c r="J418" s="86">
        <f>'Форма 2'!I1548</f>
        <v>475416</v>
      </c>
      <c r="K418" s="187">
        <v>0</v>
      </c>
      <c r="L418" s="187">
        <v>0</v>
      </c>
      <c r="M418" s="187">
        <v>0</v>
      </c>
      <c r="N418" s="86">
        <f t="shared" si="66"/>
        <v>475416</v>
      </c>
      <c r="O418" s="86">
        <v>0</v>
      </c>
      <c r="P418" s="86">
        <f t="shared" si="64"/>
        <v>186</v>
      </c>
      <c r="Q418" s="86">
        <f>'Форма 2'!K1548</f>
        <v>186</v>
      </c>
      <c r="R418" s="193" t="s">
        <v>164</v>
      </c>
      <c r="S418" s="99">
        <v>1</v>
      </c>
      <c r="T418" s="33"/>
    </row>
    <row r="419" spans="1:20" x14ac:dyDescent="0.35">
      <c r="A419" s="41">
        <f t="shared" si="65"/>
        <v>8</v>
      </c>
      <c r="B419" s="120">
        <v>5109</v>
      </c>
      <c r="C419" s="40" t="s">
        <v>537</v>
      </c>
      <c r="D419" s="42">
        <v>1973</v>
      </c>
      <c r="E419" s="42" t="s">
        <v>75</v>
      </c>
      <c r="F419" s="41" t="s">
        <v>163</v>
      </c>
      <c r="G419" s="25">
        <v>989.4</v>
      </c>
      <c r="H419" s="22">
        <v>901.46</v>
      </c>
      <c r="I419" s="100">
        <v>52</v>
      </c>
      <c r="J419" s="22">
        <f>'Форма 2'!I1553</f>
        <v>2146646.7000000002</v>
      </c>
      <c r="K419" s="48">
        <v>0</v>
      </c>
      <c r="L419" s="48">
        <v>0</v>
      </c>
      <c r="M419" s="48">
        <v>0</v>
      </c>
      <c r="N419" s="22">
        <f t="shared" si="66"/>
        <v>2146646.7000000002</v>
      </c>
      <c r="O419" s="22">
        <v>0</v>
      </c>
      <c r="P419" s="22">
        <f t="shared" si="64"/>
        <v>2381.3000000000002</v>
      </c>
      <c r="Q419" s="22">
        <f>'Форма 2'!K1553</f>
        <v>7548</v>
      </c>
      <c r="R419" s="34" t="s">
        <v>498</v>
      </c>
      <c r="S419" s="26">
        <v>1</v>
      </c>
      <c r="T419" s="33"/>
    </row>
    <row r="420" spans="1:20" s="194" customFormat="1" ht="31" x14ac:dyDescent="0.35">
      <c r="A420" s="41">
        <f t="shared" si="65"/>
        <v>9</v>
      </c>
      <c r="B420" s="123">
        <v>5114</v>
      </c>
      <c r="C420" s="40" t="s">
        <v>538</v>
      </c>
      <c r="D420" s="41">
        <v>1973</v>
      </c>
      <c r="E420" s="41" t="s">
        <v>534</v>
      </c>
      <c r="F420" s="41" t="s">
        <v>155</v>
      </c>
      <c r="G420" s="186">
        <v>1002.9</v>
      </c>
      <c r="H420" s="86">
        <v>909.6</v>
      </c>
      <c r="I420" s="192">
        <v>56</v>
      </c>
      <c r="J420" s="86">
        <f>'Форма 2'!I1556</f>
        <v>169185.6</v>
      </c>
      <c r="K420" s="187">
        <v>0</v>
      </c>
      <c r="L420" s="187">
        <v>0</v>
      </c>
      <c r="M420" s="187">
        <v>0</v>
      </c>
      <c r="N420" s="86">
        <f t="shared" si="66"/>
        <v>169185.6</v>
      </c>
      <c r="O420" s="86">
        <v>0</v>
      </c>
      <c r="P420" s="86">
        <f t="shared" si="64"/>
        <v>186</v>
      </c>
      <c r="Q420" s="86">
        <f>'Форма 2'!K1556</f>
        <v>186</v>
      </c>
      <c r="R420" s="189" t="s">
        <v>164</v>
      </c>
      <c r="S420" s="99">
        <v>1</v>
      </c>
      <c r="T420" s="33"/>
    </row>
    <row r="421" spans="1:20" s="190" customFormat="1" ht="31" x14ac:dyDescent="0.35">
      <c r="A421" s="41">
        <f t="shared" si="65"/>
        <v>10</v>
      </c>
      <c r="B421" s="123">
        <v>5127</v>
      </c>
      <c r="C421" s="40" t="s">
        <v>539</v>
      </c>
      <c r="D421" s="41">
        <v>1974</v>
      </c>
      <c r="E421" s="41" t="s">
        <v>534</v>
      </c>
      <c r="F421" s="41" t="s">
        <v>155</v>
      </c>
      <c r="G421" s="186">
        <v>3744.4</v>
      </c>
      <c r="H421" s="86">
        <v>3273.7</v>
      </c>
      <c r="I421" s="192">
        <v>187</v>
      </c>
      <c r="J421" s="86">
        <f>'Форма 2'!I1561</f>
        <v>523792</v>
      </c>
      <c r="K421" s="187">
        <v>0</v>
      </c>
      <c r="L421" s="187">
        <v>0</v>
      </c>
      <c r="M421" s="187">
        <v>0</v>
      </c>
      <c r="N421" s="86">
        <f t="shared" si="66"/>
        <v>523792</v>
      </c>
      <c r="O421" s="86">
        <v>0</v>
      </c>
      <c r="P421" s="86">
        <f t="shared" si="64"/>
        <v>160</v>
      </c>
      <c r="Q421" s="86">
        <f>'Форма 2'!K1561</f>
        <v>160</v>
      </c>
      <c r="R421" s="193" t="s">
        <v>164</v>
      </c>
      <c r="S421" s="99">
        <v>1</v>
      </c>
      <c r="T421" s="33"/>
    </row>
    <row r="422" spans="1:20" s="190" customFormat="1" ht="31" x14ac:dyDescent="0.35">
      <c r="A422" s="41">
        <f t="shared" si="65"/>
        <v>11</v>
      </c>
      <c r="B422" s="123">
        <v>5128</v>
      </c>
      <c r="C422" s="40" t="s">
        <v>540</v>
      </c>
      <c r="D422" s="41">
        <v>1992</v>
      </c>
      <c r="E422" s="124" t="s">
        <v>371</v>
      </c>
      <c r="F422" s="124" t="s">
        <v>155</v>
      </c>
      <c r="G422" s="186">
        <v>3176.8</v>
      </c>
      <c r="H422" s="86">
        <v>3054.1</v>
      </c>
      <c r="I422" s="192">
        <v>97</v>
      </c>
      <c r="J422" s="86">
        <f>'Форма 2'!I1566</f>
        <v>488656</v>
      </c>
      <c r="K422" s="187">
        <v>0</v>
      </c>
      <c r="L422" s="187">
        <v>0</v>
      </c>
      <c r="M422" s="187">
        <v>0</v>
      </c>
      <c r="N422" s="86">
        <f t="shared" si="66"/>
        <v>488656</v>
      </c>
      <c r="O422" s="86">
        <v>0</v>
      </c>
      <c r="P422" s="86">
        <f t="shared" si="64"/>
        <v>160</v>
      </c>
      <c r="Q422" s="86">
        <f>'Форма 2'!K1566</f>
        <v>160</v>
      </c>
      <c r="R422" s="189" t="s">
        <v>164</v>
      </c>
      <c r="S422" s="124">
        <v>1</v>
      </c>
      <c r="T422" s="33"/>
    </row>
    <row r="423" spans="1:20" x14ac:dyDescent="0.35">
      <c r="A423" s="41">
        <f t="shared" si="65"/>
        <v>12</v>
      </c>
      <c r="B423" s="120">
        <v>5130</v>
      </c>
      <c r="C423" s="40" t="s">
        <v>244</v>
      </c>
      <c r="D423" s="42">
        <v>1977</v>
      </c>
      <c r="E423" s="42" t="s">
        <v>75</v>
      </c>
      <c r="F423" s="42" t="s">
        <v>158</v>
      </c>
      <c r="G423" s="25">
        <v>8894</v>
      </c>
      <c r="H423" s="22">
        <v>7561.6</v>
      </c>
      <c r="I423" s="100">
        <v>303</v>
      </c>
      <c r="J423" s="22">
        <f>'Форма 2'!I1571</f>
        <v>12605187.199999999</v>
      </c>
      <c r="K423" s="48">
        <v>0</v>
      </c>
      <c r="L423" s="48">
        <v>0</v>
      </c>
      <c r="M423" s="48">
        <v>0</v>
      </c>
      <c r="N423" s="22">
        <f t="shared" si="66"/>
        <v>12605187.199999999</v>
      </c>
      <c r="O423" s="22">
        <v>0</v>
      </c>
      <c r="P423" s="22">
        <f t="shared" si="64"/>
        <v>1667</v>
      </c>
      <c r="Q423" s="22">
        <f>'Форма 2'!K1571</f>
        <v>1667</v>
      </c>
      <c r="R423" s="22" t="s">
        <v>164</v>
      </c>
      <c r="S423" s="26">
        <v>1</v>
      </c>
      <c r="T423" s="33"/>
    </row>
    <row r="424" spans="1:20" x14ac:dyDescent="0.35">
      <c r="A424" s="41">
        <f t="shared" si="65"/>
        <v>13</v>
      </c>
      <c r="B424" s="120">
        <v>5131</v>
      </c>
      <c r="C424" s="40" t="s">
        <v>245</v>
      </c>
      <c r="D424" s="42">
        <v>1978</v>
      </c>
      <c r="E424" s="42" t="s">
        <v>75</v>
      </c>
      <c r="F424" s="42" t="s">
        <v>158</v>
      </c>
      <c r="G424" s="25">
        <v>9757.6</v>
      </c>
      <c r="H424" s="22">
        <v>8069.69</v>
      </c>
      <c r="I424" s="100">
        <v>307</v>
      </c>
      <c r="J424" s="22">
        <f>'Форма 2'!I1574</f>
        <v>13452173.23</v>
      </c>
      <c r="K424" s="48">
        <v>0</v>
      </c>
      <c r="L424" s="48">
        <v>0</v>
      </c>
      <c r="M424" s="48">
        <v>0</v>
      </c>
      <c r="N424" s="22">
        <f t="shared" si="66"/>
        <v>13452173.23</v>
      </c>
      <c r="O424" s="22">
        <v>0</v>
      </c>
      <c r="P424" s="22">
        <f t="shared" si="64"/>
        <v>1667</v>
      </c>
      <c r="Q424" s="22">
        <f>'Форма 2'!K1574</f>
        <v>1667</v>
      </c>
      <c r="R424" s="22" t="s">
        <v>164</v>
      </c>
      <c r="S424" s="26">
        <v>1</v>
      </c>
      <c r="T424" s="33"/>
    </row>
    <row r="425" spans="1:20" x14ac:dyDescent="0.35">
      <c r="A425" s="41">
        <f t="shared" si="65"/>
        <v>14</v>
      </c>
      <c r="B425" s="123">
        <v>5133</v>
      </c>
      <c r="C425" s="40" t="s">
        <v>246</v>
      </c>
      <c r="D425" s="42">
        <v>1979</v>
      </c>
      <c r="E425" s="42" t="s">
        <v>75</v>
      </c>
      <c r="F425" s="42" t="s">
        <v>158</v>
      </c>
      <c r="G425" s="25">
        <v>10531.4</v>
      </c>
      <c r="H425" s="22">
        <v>8595.5</v>
      </c>
      <c r="I425" s="100">
        <v>406</v>
      </c>
      <c r="J425" s="22">
        <f>'Форма 2'!I1577</f>
        <v>14328698.5</v>
      </c>
      <c r="K425" s="48">
        <v>0</v>
      </c>
      <c r="L425" s="48">
        <v>0</v>
      </c>
      <c r="M425" s="48">
        <v>0</v>
      </c>
      <c r="N425" s="22">
        <f t="shared" si="66"/>
        <v>14328698.5</v>
      </c>
      <c r="O425" s="22">
        <v>0</v>
      </c>
      <c r="P425" s="22">
        <f t="shared" si="64"/>
        <v>1667</v>
      </c>
      <c r="Q425" s="22">
        <f>'Форма 2'!K1577</f>
        <v>1667</v>
      </c>
      <c r="R425" s="22" t="s">
        <v>164</v>
      </c>
      <c r="S425" s="26">
        <v>1</v>
      </c>
      <c r="T425" s="33"/>
    </row>
    <row r="426" spans="1:20" x14ac:dyDescent="0.35">
      <c r="A426" s="41">
        <f t="shared" si="65"/>
        <v>15</v>
      </c>
      <c r="B426" s="120">
        <v>5140</v>
      </c>
      <c r="C426" s="40" t="s">
        <v>541</v>
      </c>
      <c r="D426" s="42">
        <v>1980</v>
      </c>
      <c r="E426" s="42" t="s">
        <v>75</v>
      </c>
      <c r="F426" s="41" t="s">
        <v>163</v>
      </c>
      <c r="G426" s="25">
        <v>10503.6</v>
      </c>
      <c r="H426" s="25">
        <v>8292.2000000000007</v>
      </c>
      <c r="I426" s="101">
        <v>381</v>
      </c>
      <c r="J426" s="22">
        <f>'Форма 2'!I1580</f>
        <v>5444658.5199999996</v>
      </c>
      <c r="K426" s="22">
        <v>0</v>
      </c>
      <c r="L426" s="48">
        <v>0</v>
      </c>
      <c r="M426" s="22">
        <v>0</v>
      </c>
      <c r="N426" s="22">
        <f t="shared" si="66"/>
        <v>5444658.5199999996</v>
      </c>
      <c r="O426" s="22">
        <v>0</v>
      </c>
      <c r="P426" s="22">
        <f t="shared" si="64"/>
        <v>656.6</v>
      </c>
      <c r="Q426" s="22">
        <f>'Форма 2'!K1580</f>
        <v>1799</v>
      </c>
      <c r="R426" s="34" t="s">
        <v>498</v>
      </c>
      <c r="S426" s="26">
        <v>1</v>
      </c>
      <c r="T426" s="33"/>
    </row>
    <row r="427" spans="1:20" s="21" customFormat="1" x14ac:dyDescent="0.35">
      <c r="A427" s="41">
        <f t="shared" si="65"/>
        <v>16</v>
      </c>
      <c r="B427" s="120">
        <v>5164</v>
      </c>
      <c r="C427" s="40" t="s">
        <v>542</v>
      </c>
      <c r="D427" s="42">
        <v>1986</v>
      </c>
      <c r="E427" s="42" t="s">
        <v>75</v>
      </c>
      <c r="F427" s="42" t="s">
        <v>155</v>
      </c>
      <c r="G427" s="25">
        <v>3212.9</v>
      </c>
      <c r="H427" s="25">
        <v>2523.3000000000002</v>
      </c>
      <c r="I427" s="101">
        <v>118</v>
      </c>
      <c r="J427" s="22">
        <f>'Форма 2'!I1583</f>
        <v>421391.1</v>
      </c>
      <c r="K427" s="22">
        <v>0</v>
      </c>
      <c r="L427" s="48">
        <v>0</v>
      </c>
      <c r="M427" s="48">
        <v>0</v>
      </c>
      <c r="N427" s="22">
        <f t="shared" si="66"/>
        <v>421391.1</v>
      </c>
      <c r="O427" s="22">
        <v>0</v>
      </c>
      <c r="P427" s="22">
        <f t="shared" si="64"/>
        <v>167</v>
      </c>
      <c r="Q427" s="22">
        <f>'Форма 2'!K1583</f>
        <v>167</v>
      </c>
      <c r="R427" s="49" t="s">
        <v>164</v>
      </c>
      <c r="S427" s="26">
        <v>1</v>
      </c>
      <c r="T427" s="33"/>
    </row>
    <row r="428" spans="1:20" s="21" customFormat="1" x14ac:dyDescent="0.35">
      <c r="A428" s="41">
        <f t="shared" si="65"/>
        <v>17</v>
      </c>
      <c r="B428" s="120">
        <v>5186</v>
      </c>
      <c r="C428" s="40" t="s">
        <v>543</v>
      </c>
      <c r="D428" s="42">
        <v>1992</v>
      </c>
      <c r="E428" s="41" t="s">
        <v>185</v>
      </c>
      <c r="F428" s="41" t="s">
        <v>158</v>
      </c>
      <c r="G428" s="25">
        <v>13110.3</v>
      </c>
      <c r="H428" s="25">
        <v>10091</v>
      </c>
      <c r="I428" s="101">
        <v>107</v>
      </c>
      <c r="J428" s="22">
        <f>'Форма 2'!I1585</f>
        <v>8752630</v>
      </c>
      <c r="K428" s="22">
        <v>0</v>
      </c>
      <c r="L428" s="48">
        <v>0</v>
      </c>
      <c r="M428" s="48">
        <v>0</v>
      </c>
      <c r="N428" s="22">
        <f t="shared" si="66"/>
        <v>8752630</v>
      </c>
      <c r="O428" s="22">
        <v>0</v>
      </c>
      <c r="P428" s="22">
        <f>J428/H428</f>
        <v>867.37</v>
      </c>
      <c r="Q428" s="22">
        <f>'Форма 2'!K1585</f>
        <v>867.37</v>
      </c>
      <c r="R428" s="38" t="s">
        <v>164</v>
      </c>
      <c r="S428" s="26">
        <v>1</v>
      </c>
      <c r="T428" s="33"/>
    </row>
    <row r="429" spans="1:20" s="194" customFormat="1" x14ac:dyDescent="0.35">
      <c r="A429" s="41">
        <f t="shared" si="65"/>
        <v>18</v>
      </c>
      <c r="B429" s="123">
        <v>5210</v>
      </c>
      <c r="C429" s="40" t="s">
        <v>253</v>
      </c>
      <c r="D429" s="41">
        <v>1976</v>
      </c>
      <c r="E429" s="41" t="s">
        <v>254</v>
      </c>
      <c r="F429" s="41" t="s">
        <v>486</v>
      </c>
      <c r="G429" s="186">
        <v>1063.2</v>
      </c>
      <c r="H429" s="186">
        <v>990.3</v>
      </c>
      <c r="I429" s="103">
        <v>25</v>
      </c>
      <c r="J429" s="86">
        <f>'Форма 2'!I1596</f>
        <v>2685693.6</v>
      </c>
      <c r="K429" s="86">
        <v>0</v>
      </c>
      <c r="L429" s="187">
        <v>0</v>
      </c>
      <c r="M429" s="86">
        <v>0</v>
      </c>
      <c r="N429" s="86">
        <f>J429-K429-L429-M429-O429</f>
        <v>2685693.6</v>
      </c>
      <c r="O429" s="86">
        <v>0</v>
      </c>
      <c r="P429" s="86">
        <f t="shared" si="64"/>
        <v>2712</v>
      </c>
      <c r="Q429" s="86">
        <f>'Форма 2'!K1596</f>
        <v>3840</v>
      </c>
      <c r="R429" s="86" t="s">
        <v>164</v>
      </c>
      <c r="S429" s="183">
        <v>1</v>
      </c>
      <c r="T429" s="33"/>
    </row>
    <row r="430" spans="1:20" s="21" customFormat="1" x14ac:dyDescent="0.35">
      <c r="A430" s="41">
        <f t="shared" si="65"/>
        <v>19</v>
      </c>
      <c r="B430" s="123">
        <v>5257</v>
      </c>
      <c r="C430" s="40" t="s">
        <v>797</v>
      </c>
      <c r="D430" s="42">
        <v>1978</v>
      </c>
      <c r="E430" s="42" t="s">
        <v>75</v>
      </c>
      <c r="F430" s="42" t="s">
        <v>155</v>
      </c>
      <c r="G430" s="25">
        <v>713.8</v>
      </c>
      <c r="H430" s="25">
        <v>576.6</v>
      </c>
      <c r="I430" s="101">
        <v>22</v>
      </c>
      <c r="J430" s="22">
        <f>'Форма 2'!I1603</f>
        <v>96292.2</v>
      </c>
      <c r="K430" s="48">
        <v>0</v>
      </c>
      <c r="L430" s="48">
        <v>0</v>
      </c>
      <c r="M430" s="48">
        <v>0</v>
      </c>
      <c r="N430" s="22">
        <f>J430-K430-L430-M430-O430</f>
        <v>96292.2</v>
      </c>
      <c r="O430" s="22">
        <v>0</v>
      </c>
      <c r="P430" s="22">
        <f t="shared" si="64"/>
        <v>167</v>
      </c>
      <c r="Q430" s="22">
        <f>'Форма 2'!K1603</f>
        <v>167</v>
      </c>
      <c r="R430" s="49" t="s">
        <v>164</v>
      </c>
      <c r="S430" s="26">
        <v>1</v>
      </c>
      <c r="T430" s="33"/>
    </row>
    <row r="431" spans="1:20" s="21" customFormat="1" x14ac:dyDescent="0.35">
      <c r="A431" s="41">
        <f t="shared" si="65"/>
        <v>20</v>
      </c>
      <c r="B431" s="123">
        <v>5259</v>
      </c>
      <c r="C431" s="40" t="s">
        <v>798</v>
      </c>
      <c r="D431" s="42">
        <v>1978</v>
      </c>
      <c r="E431" s="42" t="s">
        <v>75</v>
      </c>
      <c r="F431" s="42" t="s">
        <v>155</v>
      </c>
      <c r="G431" s="25">
        <v>696.4</v>
      </c>
      <c r="H431" s="25">
        <v>565.6</v>
      </c>
      <c r="I431" s="101">
        <v>21</v>
      </c>
      <c r="J431" s="22">
        <f>'Форма 2'!I1605</f>
        <v>94455.2</v>
      </c>
      <c r="K431" s="48">
        <v>0</v>
      </c>
      <c r="L431" s="48">
        <v>0</v>
      </c>
      <c r="M431" s="48">
        <v>0</v>
      </c>
      <c r="N431" s="22">
        <f>J431-K431-L431-M431-O431</f>
        <v>94455.2</v>
      </c>
      <c r="O431" s="22">
        <v>0</v>
      </c>
      <c r="P431" s="22">
        <f t="shared" si="64"/>
        <v>167</v>
      </c>
      <c r="Q431" s="22">
        <f>'Форма 2'!K1605</f>
        <v>167</v>
      </c>
      <c r="R431" s="49" t="s">
        <v>164</v>
      </c>
      <c r="S431" s="26">
        <v>1</v>
      </c>
      <c r="T431" s="33"/>
    </row>
    <row r="432" spans="1:20" s="21" customFormat="1" x14ac:dyDescent="0.35">
      <c r="A432" s="41">
        <f t="shared" si="65"/>
        <v>21</v>
      </c>
      <c r="B432" s="123">
        <v>5263</v>
      </c>
      <c r="C432" s="40" t="s">
        <v>799</v>
      </c>
      <c r="D432" s="42">
        <v>1978</v>
      </c>
      <c r="E432" s="42" t="s">
        <v>75</v>
      </c>
      <c r="F432" s="42" t="s">
        <v>155</v>
      </c>
      <c r="G432" s="25">
        <v>697.8</v>
      </c>
      <c r="H432" s="25">
        <v>560.6</v>
      </c>
      <c r="I432" s="101">
        <v>21</v>
      </c>
      <c r="J432" s="22">
        <f>'Форма 2'!I1607</f>
        <v>93620.2</v>
      </c>
      <c r="K432" s="48">
        <v>0</v>
      </c>
      <c r="L432" s="48">
        <v>0</v>
      </c>
      <c r="M432" s="48">
        <v>0</v>
      </c>
      <c r="N432" s="22">
        <f>J432-K432-L432-M432-O432</f>
        <v>93620.2</v>
      </c>
      <c r="O432" s="22">
        <v>0</v>
      </c>
      <c r="P432" s="22">
        <f t="shared" si="64"/>
        <v>167</v>
      </c>
      <c r="Q432" s="22">
        <f>'Форма 2'!K1607</f>
        <v>167</v>
      </c>
      <c r="R432" s="49" t="s">
        <v>164</v>
      </c>
      <c r="S432" s="172">
        <v>1</v>
      </c>
      <c r="T432" s="33"/>
    </row>
    <row r="433" spans="1:20" s="21" customFormat="1" x14ac:dyDescent="0.35">
      <c r="A433" s="227" t="s">
        <v>47</v>
      </c>
      <c r="B433" s="227"/>
      <c r="C433" s="227"/>
      <c r="D433" s="97" t="s">
        <v>13</v>
      </c>
      <c r="E433" s="97" t="s">
        <v>13</v>
      </c>
      <c r="F433" s="97" t="s">
        <v>13</v>
      </c>
      <c r="G433" s="22">
        <f>G434+G510+G558+G644</f>
        <v>1110775.77</v>
      </c>
      <c r="H433" s="22">
        <f t="shared" ref="H433:O433" si="67">H434+H510+H558+H644</f>
        <v>971352.08</v>
      </c>
      <c r="I433" s="26">
        <f t="shared" si="67"/>
        <v>39884</v>
      </c>
      <c r="J433" s="22">
        <f t="shared" si="67"/>
        <v>733471236.44000006</v>
      </c>
      <c r="K433" s="22">
        <f t="shared" si="67"/>
        <v>0</v>
      </c>
      <c r="L433" s="22">
        <f t="shared" si="67"/>
        <v>0</v>
      </c>
      <c r="M433" s="22">
        <f t="shared" si="67"/>
        <v>0</v>
      </c>
      <c r="N433" s="22">
        <f t="shared" si="67"/>
        <v>733471236.44000006</v>
      </c>
      <c r="O433" s="22">
        <f t="shared" si="67"/>
        <v>0</v>
      </c>
      <c r="P433" s="22" t="s">
        <v>13</v>
      </c>
      <c r="Q433" s="22" t="s">
        <v>13</v>
      </c>
      <c r="R433" s="22" t="s">
        <v>13</v>
      </c>
      <c r="S433" s="22" t="s">
        <v>13</v>
      </c>
      <c r="T433" s="33"/>
    </row>
    <row r="434" spans="1:20" s="21" customFormat="1" x14ac:dyDescent="0.35">
      <c r="A434" s="227" t="s">
        <v>258</v>
      </c>
      <c r="B434" s="227"/>
      <c r="C434" s="227"/>
      <c r="D434" s="97" t="s">
        <v>13</v>
      </c>
      <c r="E434" s="97" t="s">
        <v>13</v>
      </c>
      <c r="F434" s="97" t="s">
        <v>13</v>
      </c>
      <c r="G434" s="22">
        <f t="shared" ref="G434:O434" si="68">SUM(G435:G509)</f>
        <v>243692.73</v>
      </c>
      <c r="H434" s="22">
        <f t="shared" si="68"/>
        <v>213749.02</v>
      </c>
      <c r="I434" s="26">
        <f t="shared" si="68"/>
        <v>8669</v>
      </c>
      <c r="J434" s="22">
        <f t="shared" si="68"/>
        <v>255868197.52000001</v>
      </c>
      <c r="K434" s="22">
        <f t="shared" si="68"/>
        <v>0</v>
      </c>
      <c r="L434" s="22">
        <f t="shared" si="68"/>
        <v>0</v>
      </c>
      <c r="M434" s="22">
        <f t="shared" si="68"/>
        <v>0</v>
      </c>
      <c r="N434" s="22">
        <f t="shared" si="68"/>
        <v>255868197.52000001</v>
      </c>
      <c r="O434" s="22">
        <f t="shared" si="68"/>
        <v>0</v>
      </c>
      <c r="P434" s="22" t="s">
        <v>13</v>
      </c>
      <c r="Q434" s="22" t="s">
        <v>13</v>
      </c>
      <c r="R434" s="97" t="s">
        <v>13</v>
      </c>
      <c r="S434" s="97" t="s">
        <v>13</v>
      </c>
      <c r="T434" s="33"/>
    </row>
    <row r="435" spans="1:20" s="21" customFormat="1" x14ac:dyDescent="0.35">
      <c r="A435" s="11">
        <v>1</v>
      </c>
      <c r="B435" s="109">
        <v>654</v>
      </c>
      <c r="C435" s="175" t="s">
        <v>544</v>
      </c>
      <c r="D435" s="97">
        <v>1979</v>
      </c>
      <c r="E435" s="96" t="s">
        <v>439</v>
      </c>
      <c r="F435" s="96" t="s">
        <v>155</v>
      </c>
      <c r="G435" s="22">
        <v>4341.5</v>
      </c>
      <c r="H435" s="22">
        <v>3916.7</v>
      </c>
      <c r="I435" s="108">
        <v>191</v>
      </c>
      <c r="J435" s="22">
        <f>'Форма 2'!I1610</f>
        <v>834257.1</v>
      </c>
      <c r="K435" s="22">
        <v>0</v>
      </c>
      <c r="L435" s="22">
        <v>0</v>
      </c>
      <c r="M435" s="22">
        <v>0</v>
      </c>
      <c r="N435" s="22">
        <f t="shared" ref="N435:N498" si="69">J435-K435-L435-M435-O435</f>
        <v>834257.1</v>
      </c>
      <c r="O435" s="22">
        <v>0</v>
      </c>
      <c r="P435" s="22">
        <f t="shared" ref="P435:P498" si="70">J435/H435</f>
        <v>213</v>
      </c>
      <c r="Q435" s="22">
        <f>'Форма 2'!K1610</f>
        <v>213</v>
      </c>
      <c r="R435" s="38" t="s">
        <v>164</v>
      </c>
      <c r="S435" s="172">
        <v>1</v>
      </c>
      <c r="T435" s="33"/>
    </row>
    <row r="436" spans="1:20" s="21" customFormat="1" x14ac:dyDescent="0.35">
      <c r="A436" s="11">
        <f>A435+1</f>
        <v>2</v>
      </c>
      <c r="B436" s="11">
        <v>734</v>
      </c>
      <c r="C436" s="37" t="s">
        <v>259</v>
      </c>
      <c r="D436" s="97">
        <v>1982</v>
      </c>
      <c r="E436" s="96" t="s">
        <v>75</v>
      </c>
      <c r="F436" s="96" t="s">
        <v>486</v>
      </c>
      <c r="G436" s="22">
        <v>4395.8999999999996</v>
      </c>
      <c r="H436" s="22">
        <v>3971.1</v>
      </c>
      <c r="I436" s="26">
        <v>212</v>
      </c>
      <c r="J436" s="22">
        <f>'Форма 2'!I1613</f>
        <v>7939817.3399999999</v>
      </c>
      <c r="K436" s="22">
        <v>0</v>
      </c>
      <c r="L436" s="22">
        <v>0</v>
      </c>
      <c r="M436" s="22">
        <v>0</v>
      </c>
      <c r="N436" s="22">
        <f t="shared" si="69"/>
        <v>7939817.3399999999</v>
      </c>
      <c r="O436" s="22">
        <v>0</v>
      </c>
      <c r="P436" s="22">
        <f t="shared" si="70"/>
        <v>1999.4</v>
      </c>
      <c r="Q436" s="22">
        <f>'Форма 2'!K1613</f>
        <v>2831</v>
      </c>
      <c r="R436" s="38" t="s">
        <v>164</v>
      </c>
      <c r="S436" s="172">
        <v>1</v>
      </c>
      <c r="T436" s="33"/>
    </row>
    <row r="437" spans="1:20" s="21" customFormat="1" x14ac:dyDescent="0.35">
      <c r="A437" s="11">
        <f t="shared" ref="A437:A500" si="71">A436+1</f>
        <v>3</v>
      </c>
      <c r="B437" s="109">
        <v>736</v>
      </c>
      <c r="C437" s="175" t="s">
        <v>545</v>
      </c>
      <c r="D437" s="97">
        <v>1982</v>
      </c>
      <c r="E437" s="97" t="s">
        <v>312</v>
      </c>
      <c r="F437" s="97" t="s">
        <v>155</v>
      </c>
      <c r="G437" s="22">
        <v>1017</v>
      </c>
      <c r="H437" s="22">
        <v>930.1</v>
      </c>
      <c r="I437" s="108">
        <v>35</v>
      </c>
      <c r="J437" s="22">
        <f>'Форма 2'!I1616</f>
        <v>350647.7</v>
      </c>
      <c r="K437" s="22">
        <v>0</v>
      </c>
      <c r="L437" s="22">
        <v>0</v>
      </c>
      <c r="M437" s="22">
        <v>0</v>
      </c>
      <c r="N437" s="22">
        <f t="shared" si="69"/>
        <v>350647.7</v>
      </c>
      <c r="O437" s="22">
        <v>0</v>
      </c>
      <c r="P437" s="22">
        <f t="shared" si="70"/>
        <v>377</v>
      </c>
      <c r="Q437" s="22">
        <f>'Форма 2'!K1616</f>
        <v>377</v>
      </c>
      <c r="R437" s="38" t="s">
        <v>164</v>
      </c>
      <c r="S437" s="172">
        <v>1</v>
      </c>
      <c r="T437" s="33"/>
    </row>
    <row r="438" spans="1:20" s="21" customFormat="1" x14ac:dyDescent="0.35">
      <c r="A438" s="11">
        <f t="shared" si="71"/>
        <v>4</v>
      </c>
      <c r="B438" s="109">
        <v>822</v>
      </c>
      <c r="C438" s="175" t="s">
        <v>785</v>
      </c>
      <c r="D438" s="97">
        <v>1988</v>
      </c>
      <c r="E438" s="96" t="s">
        <v>312</v>
      </c>
      <c r="F438" s="96" t="s">
        <v>155</v>
      </c>
      <c r="G438" s="22">
        <v>1281.0999999999999</v>
      </c>
      <c r="H438" s="22">
        <v>982.57</v>
      </c>
      <c r="I438" s="108">
        <v>37</v>
      </c>
      <c r="J438" s="22">
        <f>'Форма 2'!I1620</f>
        <v>370428.89</v>
      </c>
      <c r="K438" s="22">
        <v>0</v>
      </c>
      <c r="L438" s="22">
        <v>0</v>
      </c>
      <c r="M438" s="22">
        <v>0</v>
      </c>
      <c r="N438" s="22">
        <f t="shared" si="69"/>
        <v>370428.89</v>
      </c>
      <c r="O438" s="22">
        <v>0</v>
      </c>
      <c r="P438" s="22">
        <f t="shared" si="70"/>
        <v>377</v>
      </c>
      <c r="Q438" s="22">
        <f>'Форма 2'!K1620</f>
        <v>377</v>
      </c>
      <c r="R438" s="38" t="s">
        <v>164</v>
      </c>
      <c r="S438" s="172">
        <v>1</v>
      </c>
      <c r="T438" s="33"/>
    </row>
    <row r="439" spans="1:20" s="21" customFormat="1" x14ac:dyDescent="0.35">
      <c r="A439" s="11">
        <f t="shared" si="71"/>
        <v>5</v>
      </c>
      <c r="B439" s="11">
        <v>818</v>
      </c>
      <c r="C439" s="37" t="s">
        <v>262</v>
      </c>
      <c r="D439" s="97">
        <v>1987</v>
      </c>
      <c r="E439" s="96" t="s">
        <v>75</v>
      </c>
      <c r="F439" s="96" t="s">
        <v>486</v>
      </c>
      <c r="G439" s="22">
        <v>816.04</v>
      </c>
      <c r="H439" s="22">
        <v>746.74</v>
      </c>
      <c r="I439" s="26">
        <v>32</v>
      </c>
      <c r="J439" s="22">
        <f>'Форма 2'!I1624</f>
        <v>2381933.11</v>
      </c>
      <c r="K439" s="22">
        <v>0</v>
      </c>
      <c r="L439" s="22">
        <v>0</v>
      </c>
      <c r="M439" s="22">
        <v>0</v>
      </c>
      <c r="N439" s="22">
        <f t="shared" si="69"/>
        <v>2381933.11</v>
      </c>
      <c r="O439" s="22">
        <v>0</v>
      </c>
      <c r="P439" s="22">
        <f t="shared" si="70"/>
        <v>3189.78</v>
      </c>
      <c r="Q439" s="22">
        <f>'Форма 2'!K1624</f>
        <v>4728</v>
      </c>
      <c r="R439" s="38" t="s">
        <v>164</v>
      </c>
      <c r="S439" s="172">
        <v>1</v>
      </c>
      <c r="T439" s="33"/>
    </row>
    <row r="440" spans="1:20" s="21" customFormat="1" x14ac:dyDescent="0.35">
      <c r="A440" s="11">
        <f t="shared" si="71"/>
        <v>6</v>
      </c>
      <c r="B440" s="11">
        <v>722</v>
      </c>
      <c r="C440" s="37" t="s">
        <v>263</v>
      </c>
      <c r="D440" s="97">
        <v>1981</v>
      </c>
      <c r="E440" s="96" t="s">
        <v>75</v>
      </c>
      <c r="F440" s="96" t="s">
        <v>486</v>
      </c>
      <c r="G440" s="22">
        <v>833.48</v>
      </c>
      <c r="H440" s="22">
        <v>722.6</v>
      </c>
      <c r="I440" s="26">
        <v>28</v>
      </c>
      <c r="J440" s="22">
        <f>'Форма 2'!I1627</f>
        <v>2288180.9</v>
      </c>
      <c r="K440" s="22">
        <v>0</v>
      </c>
      <c r="L440" s="22">
        <v>0</v>
      </c>
      <c r="M440" s="22">
        <v>0</v>
      </c>
      <c r="N440" s="22">
        <f t="shared" si="69"/>
        <v>2288180.9</v>
      </c>
      <c r="O440" s="22">
        <v>0</v>
      </c>
      <c r="P440" s="22">
        <f t="shared" si="70"/>
        <v>3166.59</v>
      </c>
      <c r="Q440" s="22">
        <f>'Форма 2'!K1627</f>
        <v>4728</v>
      </c>
      <c r="R440" s="38" t="s">
        <v>164</v>
      </c>
      <c r="S440" s="172">
        <v>1</v>
      </c>
      <c r="T440" s="33"/>
    </row>
    <row r="441" spans="1:20" s="21" customFormat="1" x14ac:dyDescent="0.35">
      <c r="A441" s="11">
        <f t="shared" si="71"/>
        <v>7</v>
      </c>
      <c r="B441" s="109">
        <v>887</v>
      </c>
      <c r="C441" s="175" t="s">
        <v>743</v>
      </c>
      <c r="D441" s="97">
        <v>1993</v>
      </c>
      <c r="E441" s="97" t="s">
        <v>439</v>
      </c>
      <c r="F441" s="97" t="s">
        <v>155</v>
      </c>
      <c r="G441" s="22">
        <v>2904.4</v>
      </c>
      <c r="H441" s="22">
        <v>2590.4</v>
      </c>
      <c r="I441" s="108">
        <v>98</v>
      </c>
      <c r="J441" s="22">
        <f>'Форма 2'!I1630</f>
        <v>676094.4</v>
      </c>
      <c r="K441" s="22">
        <v>0</v>
      </c>
      <c r="L441" s="22">
        <v>0</v>
      </c>
      <c r="M441" s="22">
        <v>0</v>
      </c>
      <c r="N441" s="22">
        <f t="shared" si="69"/>
        <v>676094.4</v>
      </c>
      <c r="O441" s="22">
        <v>0</v>
      </c>
      <c r="P441" s="22">
        <f t="shared" si="70"/>
        <v>261</v>
      </c>
      <c r="Q441" s="22">
        <f>'Форма 2'!K1630</f>
        <v>261</v>
      </c>
      <c r="R441" s="38" t="s">
        <v>164</v>
      </c>
      <c r="S441" s="172">
        <v>1</v>
      </c>
      <c r="T441" s="33"/>
    </row>
    <row r="442" spans="1:20" s="21" customFormat="1" x14ac:dyDescent="0.35">
      <c r="A442" s="11">
        <f t="shared" si="71"/>
        <v>8</v>
      </c>
      <c r="B442" s="109">
        <v>875</v>
      </c>
      <c r="C442" s="175" t="s">
        <v>744</v>
      </c>
      <c r="D442" s="97">
        <v>1991</v>
      </c>
      <c r="E442" s="97" t="s">
        <v>312</v>
      </c>
      <c r="F442" s="97" t="s">
        <v>155</v>
      </c>
      <c r="G442" s="22">
        <v>3020.2</v>
      </c>
      <c r="H442" s="22">
        <v>2739.2</v>
      </c>
      <c r="I442" s="108">
        <v>103</v>
      </c>
      <c r="J442" s="22">
        <f>'Форма 2'!I1633</f>
        <v>1032678.4</v>
      </c>
      <c r="K442" s="22">
        <v>0</v>
      </c>
      <c r="L442" s="22">
        <v>0</v>
      </c>
      <c r="M442" s="22">
        <v>0</v>
      </c>
      <c r="N442" s="22">
        <f t="shared" si="69"/>
        <v>1032678.4</v>
      </c>
      <c r="O442" s="22">
        <v>0</v>
      </c>
      <c r="P442" s="22">
        <f t="shared" si="70"/>
        <v>377</v>
      </c>
      <c r="Q442" s="22">
        <f>'Форма 2'!K1633</f>
        <v>377</v>
      </c>
      <c r="R442" s="38" t="s">
        <v>164</v>
      </c>
      <c r="S442" s="172">
        <v>1</v>
      </c>
      <c r="T442" s="33"/>
    </row>
    <row r="443" spans="1:20" s="21" customFormat="1" x14ac:dyDescent="0.35">
      <c r="A443" s="11">
        <f t="shared" si="71"/>
        <v>9</v>
      </c>
      <c r="B443" s="109">
        <v>876</v>
      </c>
      <c r="C443" s="175" t="s">
        <v>745</v>
      </c>
      <c r="D443" s="97">
        <v>1991</v>
      </c>
      <c r="E443" s="97" t="s">
        <v>312</v>
      </c>
      <c r="F443" s="97" t="s">
        <v>155</v>
      </c>
      <c r="G443" s="22">
        <v>3026.8</v>
      </c>
      <c r="H443" s="22">
        <v>2745.8</v>
      </c>
      <c r="I443" s="108">
        <v>104</v>
      </c>
      <c r="J443" s="22">
        <f>'Форма 2'!I1637</f>
        <v>1035166.6</v>
      </c>
      <c r="K443" s="22">
        <v>0</v>
      </c>
      <c r="L443" s="22">
        <v>0</v>
      </c>
      <c r="M443" s="22">
        <v>0</v>
      </c>
      <c r="N443" s="22">
        <f t="shared" si="69"/>
        <v>1035166.6</v>
      </c>
      <c r="O443" s="22">
        <v>0</v>
      </c>
      <c r="P443" s="22">
        <f t="shared" si="70"/>
        <v>377</v>
      </c>
      <c r="Q443" s="22">
        <f>'Форма 2'!K1637</f>
        <v>377</v>
      </c>
      <c r="R443" s="38" t="s">
        <v>164</v>
      </c>
      <c r="S443" s="172">
        <v>1</v>
      </c>
      <c r="T443" s="33"/>
    </row>
    <row r="444" spans="1:20" s="21" customFormat="1" x14ac:dyDescent="0.35">
      <c r="A444" s="11">
        <f t="shared" si="71"/>
        <v>10</v>
      </c>
      <c r="B444" s="11">
        <v>339</v>
      </c>
      <c r="C444" s="37" t="s">
        <v>270</v>
      </c>
      <c r="D444" s="97">
        <v>1960</v>
      </c>
      <c r="E444" s="96" t="s">
        <v>75</v>
      </c>
      <c r="F444" s="96" t="s">
        <v>486</v>
      </c>
      <c r="G444" s="22">
        <v>8006.3</v>
      </c>
      <c r="H444" s="22">
        <v>7469.5</v>
      </c>
      <c r="I444" s="26">
        <v>201</v>
      </c>
      <c r="J444" s="22">
        <f>'Форма 2'!I1641</f>
        <v>5447928.1299999999</v>
      </c>
      <c r="K444" s="22">
        <v>0</v>
      </c>
      <c r="L444" s="22">
        <v>0</v>
      </c>
      <c r="M444" s="22">
        <v>0</v>
      </c>
      <c r="N444" s="22">
        <f t="shared" si="69"/>
        <v>5447928.1299999999</v>
      </c>
      <c r="O444" s="22">
        <v>0</v>
      </c>
      <c r="P444" s="22">
        <f t="shared" si="70"/>
        <v>729.36</v>
      </c>
      <c r="Q444" s="22">
        <f>'Форма 2'!K1641</f>
        <v>2831</v>
      </c>
      <c r="R444" s="38" t="s">
        <v>164</v>
      </c>
      <c r="S444" s="172">
        <v>1</v>
      </c>
      <c r="T444" s="33"/>
    </row>
    <row r="445" spans="1:20" s="21" customFormat="1" x14ac:dyDescent="0.35">
      <c r="A445" s="11">
        <f t="shared" si="71"/>
        <v>11</v>
      </c>
      <c r="B445" s="109">
        <v>122</v>
      </c>
      <c r="C445" s="175" t="s">
        <v>91</v>
      </c>
      <c r="D445" s="97">
        <v>1946</v>
      </c>
      <c r="E445" s="96" t="s">
        <v>439</v>
      </c>
      <c r="F445" s="96" t="s">
        <v>155</v>
      </c>
      <c r="G445" s="22">
        <v>896.3</v>
      </c>
      <c r="H445" s="22">
        <v>821.3</v>
      </c>
      <c r="I445" s="84">
        <v>31</v>
      </c>
      <c r="J445" s="22">
        <f>'Форма 2'!I1644</f>
        <v>174115.6</v>
      </c>
      <c r="K445" s="22">
        <v>0</v>
      </c>
      <c r="L445" s="22">
        <v>0</v>
      </c>
      <c r="M445" s="22">
        <v>0</v>
      </c>
      <c r="N445" s="22">
        <f t="shared" si="69"/>
        <v>174115.6</v>
      </c>
      <c r="O445" s="22">
        <v>0</v>
      </c>
      <c r="P445" s="22">
        <f t="shared" si="70"/>
        <v>212</v>
      </c>
      <c r="Q445" s="22">
        <f>'Форма 2'!K1644</f>
        <v>212</v>
      </c>
      <c r="R445" s="38" t="s">
        <v>164</v>
      </c>
      <c r="S445" s="172">
        <v>1</v>
      </c>
      <c r="T445" s="33"/>
    </row>
    <row r="446" spans="1:20" s="21" customFormat="1" x14ac:dyDescent="0.35">
      <c r="A446" s="11">
        <f t="shared" si="71"/>
        <v>12</v>
      </c>
      <c r="B446" s="109">
        <v>347</v>
      </c>
      <c r="C446" s="175" t="s">
        <v>92</v>
      </c>
      <c r="D446" s="97">
        <v>1960</v>
      </c>
      <c r="E446" s="96" t="s">
        <v>75</v>
      </c>
      <c r="F446" s="96" t="s">
        <v>155</v>
      </c>
      <c r="G446" s="22">
        <v>3366.7</v>
      </c>
      <c r="H446" s="22">
        <v>3127.4</v>
      </c>
      <c r="I446" s="108">
        <v>118</v>
      </c>
      <c r="J446" s="22">
        <f>'Форма 2'!I1646</f>
        <v>512893.6</v>
      </c>
      <c r="K446" s="22">
        <v>0</v>
      </c>
      <c r="L446" s="22">
        <v>0</v>
      </c>
      <c r="M446" s="22">
        <v>0</v>
      </c>
      <c r="N446" s="22">
        <f t="shared" si="69"/>
        <v>512893.6</v>
      </c>
      <c r="O446" s="22">
        <v>0</v>
      </c>
      <c r="P446" s="22">
        <f t="shared" si="70"/>
        <v>164</v>
      </c>
      <c r="Q446" s="22">
        <f>'Форма 2'!K1646</f>
        <v>164</v>
      </c>
      <c r="R446" s="38" t="s">
        <v>164</v>
      </c>
      <c r="S446" s="172">
        <v>1</v>
      </c>
      <c r="T446" s="33"/>
    </row>
    <row r="447" spans="1:20" s="21" customFormat="1" x14ac:dyDescent="0.35">
      <c r="A447" s="11">
        <f t="shared" si="71"/>
        <v>13</v>
      </c>
      <c r="B447" s="109">
        <v>367</v>
      </c>
      <c r="C447" s="175" t="s">
        <v>93</v>
      </c>
      <c r="D447" s="97">
        <v>1961</v>
      </c>
      <c r="E447" s="96" t="s">
        <v>546</v>
      </c>
      <c r="F447" s="96" t="s">
        <v>155</v>
      </c>
      <c r="G447" s="22">
        <v>3386</v>
      </c>
      <c r="H447" s="22">
        <v>3136</v>
      </c>
      <c r="I447" s="108">
        <v>118</v>
      </c>
      <c r="J447" s="22">
        <f>'Форма 2'!I1648</f>
        <v>652288</v>
      </c>
      <c r="K447" s="22">
        <v>0</v>
      </c>
      <c r="L447" s="22">
        <v>0</v>
      </c>
      <c r="M447" s="22">
        <v>0</v>
      </c>
      <c r="N447" s="22">
        <f t="shared" si="69"/>
        <v>652288</v>
      </c>
      <c r="O447" s="22">
        <v>0</v>
      </c>
      <c r="P447" s="22">
        <f t="shared" si="70"/>
        <v>208</v>
      </c>
      <c r="Q447" s="22">
        <f>'Форма 2'!K1648</f>
        <v>208</v>
      </c>
      <c r="R447" s="38" t="s">
        <v>164</v>
      </c>
      <c r="S447" s="172">
        <v>1</v>
      </c>
      <c r="T447" s="33"/>
    </row>
    <row r="448" spans="1:20" s="21" customFormat="1" ht="31" x14ac:dyDescent="0.35">
      <c r="A448" s="11">
        <f t="shared" si="71"/>
        <v>14</v>
      </c>
      <c r="B448" s="11">
        <v>626</v>
      </c>
      <c r="C448" s="37" t="s">
        <v>272</v>
      </c>
      <c r="D448" s="97">
        <v>1975</v>
      </c>
      <c r="E448" s="97" t="s">
        <v>75</v>
      </c>
      <c r="F448" s="97" t="s">
        <v>486</v>
      </c>
      <c r="G448" s="22">
        <v>3081.9</v>
      </c>
      <c r="H448" s="22">
        <v>2793.5</v>
      </c>
      <c r="I448" s="26">
        <v>159</v>
      </c>
      <c r="J448" s="22">
        <f>'Форма 2'!I1651</f>
        <v>5585323.9000000004</v>
      </c>
      <c r="K448" s="22">
        <v>0</v>
      </c>
      <c r="L448" s="22">
        <v>0</v>
      </c>
      <c r="M448" s="22">
        <v>0</v>
      </c>
      <c r="N448" s="22">
        <f t="shared" si="69"/>
        <v>5585323.9000000004</v>
      </c>
      <c r="O448" s="22">
        <v>0</v>
      </c>
      <c r="P448" s="22">
        <f t="shared" si="70"/>
        <v>1999.4</v>
      </c>
      <c r="Q448" s="22">
        <f>'Форма 2'!K1651</f>
        <v>2831</v>
      </c>
      <c r="R448" s="38" t="s">
        <v>164</v>
      </c>
      <c r="S448" s="172">
        <v>1</v>
      </c>
      <c r="T448" s="33"/>
    </row>
    <row r="449" spans="1:20" s="21" customFormat="1" x14ac:dyDescent="0.35">
      <c r="A449" s="11">
        <f t="shared" si="71"/>
        <v>15</v>
      </c>
      <c r="B449" s="11">
        <v>759</v>
      </c>
      <c r="C449" s="37" t="s">
        <v>275</v>
      </c>
      <c r="D449" s="97">
        <v>1984</v>
      </c>
      <c r="E449" s="96" t="s">
        <v>75</v>
      </c>
      <c r="F449" s="96" t="s">
        <v>486</v>
      </c>
      <c r="G449" s="22">
        <v>1269.5</v>
      </c>
      <c r="H449" s="22">
        <v>1217.5</v>
      </c>
      <c r="I449" s="26">
        <v>43</v>
      </c>
      <c r="J449" s="22">
        <f>'Форма 2'!I1654</f>
        <v>4065597.75</v>
      </c>
      <c r="K449" s="22">
        <v>0</v>
      </c>
      <c r="L449" s="22">
        <v>0</v>
      </c>
      <c r="M449" s="22">
        <v>0</v>
      </c>
      <c r="N449" s="22">
        <f t="shared" si="69"/>
        <v>4065597.75</v>
      </c>
      <c r="O449" s="22">
        <v>0</v>
      </c>
      <c r="P449" s="22">
        <f t="shared" si="70"/>
        <v>3339.3</v>
      </c>
      <c r="Q449" s="22">
        <f>'Форма 2'!K1654</f>
        <v>4728</v>
      </c>
      <c r="R449" s="38" t="s">
        <v>164</v>
      </c>
      <c r="S449" s="172">
        <v>1</v>
      </c>
      <c r="T449" s="33"/>
    </row>
    <row r="450" spans="1:20" s="21" customFormat="1" x14ac:dyDescent="0.35">
      <c r="A450" s="11">
        <f t="shared" si="71"/>
        <v>16</v>
      </c>
      <c r="B450" s="11">
        <v>845</v>
      </c>
      <c r="C450" s="37" t="s">
        <v>276</v>
      </c>
      <c r="D450" s="97">
        <v>1989</v>
      </c>
      <c r="E450" s="96" t="s">
        <v>75</v>
      </c>
      <c r="F450" s="96" t="s">
        <v>158</v>
      </c>
      <c r="G450" s="22">
        <v>3146.3</v>
      </c>
      <c r="H450" s="22">
        <v>2810.3</v>
      </c>
      <c r="I450" s="26">
        <v>80</v>
      </c>
      <c r="J450" s="22">
        <f>'Форма 2'!I1657</f>
        <v>7955959.2999999998</v>
      </c>
      <c r="K450" s="22">
        <v>0</v>
      </c>
      <c r="L450" s="22">
        <v>0</v>
      </c>
      <c r="M450" s="22">
        <v>0</v>
      </c>
      <c r="N450" s="22">
        <f t="shared" si="69"/>
        <v>7955959.2999999998</v>
      </c>
      <c r="O450" s="22">
        <v>0</v>
      </c>
      <c r="P450" s="22">
        <f t="shared" si="70"/>
        <v>2831</v>
      </c>
      <c r="Q450" s="22">
        <f>'Форма 2'!K1657</f>
        <v>2831</v>
      </c>
      <c r="R450" s="38" t="s">
        <v>164</v>
      </c>
      <c r="S450" s="172">
        <v>1</v>
      </c>
      <c r="T450" s="33"/>
    </row>
    <row r="451" spans="1:20" s="21" customFormat="1" x14ac:dyDescent="0.35">
      <c r="A451" s="11">
        <f t="shared" si="71"/>
        <v>17</v>
      </c>
      <c r="B451" s="109">
        <v>870</v>
      </c>
      <c r="C451" s="175" t="s">
        <v>746</v>
      </c>
      <c r="D451" s="97">
        <v>1991</v>
      </c>
      <c r="E451" s="97" t="s">
        <v>75</v>
      </c>
      <c r="F451" s="97" t="s">
        <v>155</v>
      </c>
      <c r="G451" s="22">
        <v>3789.5</v>
      </c>
      <c r="H451" s="22">
        <v>3342.5</v>
      </c>
      <c r="I451" s="108">
        <v>126</v>
      </c>
      <c r="J451" s="22">
        <f>'Форма 2'!I1660</f>
        <v>548170</v>
      </c>
      <c r="K451" s="22">
        <v>0</v>
      </c>
      <c r="L451" s="22">
        <v>0</v>
      </c>
      <c r="M451" s="22">
        <v>0</v>
      </c>
      <c r="N451" s="22">
        <f t="shared" si="69"/>
        <v>548170</v>
      </c>
      <c r="O451" s="22">
        <v>0</v>
      </c>
      <c r="P451" s="22">
        <f t="shared" si="70"/>
        <v>164</v>
      </c>
      <c r="Q451" s="22">
        <f>'Форма 2'!K1660</f>
        <v>164</v>
      </c>
      <c r="R451" s="38" t="s">
        <v>164</v>
      </c>
      <c r="S451" s="172">
        <v>1</v>
      </c>
      <c r="T451" s="33"/>
    </row>
    <row r="452" spans="1:20" s="21" customFormat="1" x14ac:dyDescent="0.35">
      <c r="A452" s="11">
        <f t="shared" si="71"/>
        <v>18</v>
      </c>
      <c r="B452" s="11">
        <v>585</v>
      </c>
      <c r="C452" s="37" t="s">
        <v>281</v>
      </c>
      <c r="D452" s="97">
        <v>1972</v>
      </c>
      <c r="E452" s="97" t="s">
        <v>75</v>
      </c>
      <c r="F452" s="97" t="s">
        <v>486</v>
      </c>
      <c r="G452" s="22">
        <v>5089.3999999999996</v>
      </c>
      <c r="H452" s="22">
        <v>4627.3999999999996</v>
      </c>
      <c r="I452" s="26">
        <v>168</v>
      </c>
      <c r="J452" s="22">
        <f>'Форма 2'!I1662</f>
        <v>9252023.5600000005</v>
      </c>
      <c r="K452" s="22">
        <v>0</v>
      </c>
      <c r="L452" s="22">
        <v>0</v>
      </c>
      <c r="M452" s="22">
        <v>0</v>
      </c>
      <c r="N452" s="22">
        <f t="shared" si="69"/>
        <v>9252023.5600000005</v>
      </c>
      <c r="O452" s="22">
        <v>0</v>
      </c>
      <c r="P452" s="22">
        <f t="shared" si="70"/>
        <v>1999.4</v>
      </c>
      <c r="Q452" s="22">
        <f>'Форма 2'!K1662</f>
        <v>2831</v>
      </c>
      <c r="R452" s="38" t="s">
        <v>164</v>
      </c>
      <c r="S452" s="172">
        <v>1</v>
      </c>
      <c r="T452" s="33"/>
    </row>
    <row r="453" spans="1:20" s="21" customFormat="1" x14ac:dyDescent="0.35">
      <c r="A453" s="11">
        <f t="shared" si="71"/>
        <v>19</v>
      </c>
      <c r="B453" s="109">
        <v>518</v>
      </c>
      <c r="C453" s="175" t="s">
        <v>94</v>
      </c>
      <c r="D453" s="97">
        <v>1967</v>
      </c>
      <c r="E453" s="96" t="s">
        <v>75</v>
      </c>
      <c r="F453" s="96" t="s">
        <v>155</v>
      </c>
      <c r="G453" s="22">
        <v>3114.19</v>
      </c>
      <c r="H453" s="22">
        <v>2925.19</v>
      </c>
      <c r="I453" s="108">
        <v>111</v>
      </c>
      <c r="J453" s="22">
        <f>'Форма 2'!I1665</f>
        <v>479731.16</v>
      </c>
      <c r="K453" s="22">
        <v>0</v>
      </c>
      <c r="L453" s="22">
        <v>0</v>
      </c>
      <c r="M453" s="22">
        <v>0</v>
      </c>
      <c r="N453" s="22">
        <f t="shared" si="69"/>
        <v>479731.16</v>
      </c>
      <c r="O453" s="22">
        <v>0</v>
      </c>
      <c r="P453" s="22">
        <f t="shared" si="70"/>
        <v>164</v>
      </c>
      <c r="Q453" s="22">
        <f>'Форма 2'!K1665</f>
        <v>164</v>
      </c>
      <c r="R453" s="38" t="s">
        <v>164</v>
      </c>
      <c r="S453" s="172">
        <v>1</v>
      </c>
      <c r="T453" s="33"/>
    </row>
    <row r="454" spans="1:20" s="21" customFormat="1" x14ac:dyDescent="0.35">
      <c r="A454" s="11">
        <f t="shared" si="71"/>
        <v>20</v>
      </c>
      <c r="B454" s="11">
        <v>401</v>
      </c>
      <c r="C454" s="37" t="s">
        <v>81</v>
      </c>
      <c r="D454" s="97">
        <v>1962</v>
      </c>
      <c r="E454" s="96" t="s">
        <v>282</v>
      </c>
      <c r="F454" s="96" t="s">
        <v>155</v>
      </c>
      <c r="G454" s="22">
        <v>1419.1</v>
      </c>
      <c r="H454" s="22">
        <v>1277.0999999999999</v>
      </c>
      <c r="I454" s="26">
        <v>58</v>
      </c>
      <c r="J454" s="22">
        <f>'Форма 2'!I1667</f>
        <v>65132.1</v>
      </c>
      <c r="K454" s="22">
        <v>0</v>
      </c>
      <c r="L454" s="22">
        <v>0</v>
      </c>
      <c r="M454" s="22">
        <v>0</v>
      </c>
      <c r="N454" s="22">
        <f t="shared" si="69"/>
        <v>65132.1</v>
      </c>
      <c r="O454" s="22">
        <v>0</v>
      </c>
      <c r="P454" s="22">
        <f t="shared" si="70"/>
        <v>51</v>
      </c>
      <c r="Q454" s="22">
        <f>'Форма 2'!K1667</f>
        <v>51</v>
      </c>
      <c r="R454" s="38" t="s">
        <v>164</v>
      </c>
      <c r="S454" s="172">
        <v>1</v>
      </c>
      <c r="T454" s="33"/>
    </row>
    <row r="455" spans="1:20" s="21" customFormat="1" x14ac:dyDescent="0.35">
      <c r="A455" s="11">
        <f t="shared" si="71"/>
        <v>21</v>
      </c>
      <c r="B455" s="109">
        <v>156</v>
      </c>
      <c r="C455" s="175" t="s">
        <v>547</v>
      </c>
      <c r="D455" s="97">
        <v>1951</v>
      </c>
      <c r="E455" s="97" t="s">
        <v>548</v>
      </c>
      <c r="F455" s="97" t="s">
        <v>186</v>
      </c>
      <c r="G455" s="22">
        <v>880</v>
      </c>
      <c r="H455" s="22">
        <v>835</v>
      </c>
      <c r="I455" s="108">
        <v>32</v>
      </c>
      <c r="J455" s="22">
        <f>'Форма 2'!I1670</f>
        <v>14949840</v>
      </c>
      <c r="K455" s="22">
        <v>0</v>
      </c>
      <c r="L455" s="22">
        <v>0</v>
      </c>
      <c r="M455" s="22">
        <v>0</v>
      </c>
      <c r="N455" s="22">
        <f t="shared" si="69"/>
        <v>14949840</v>
      </c>
      <c r="O455" s="22">
        <v>0</v>
      </c>
      <c r="P455" s="22">
        <f t="shared" si="70"/>
        <v>17904</v>
      </c>
      <c r="Q455" s="22">
        <f>'Форма 2'!K1670</f>
        <v>17904</v>
      </c>
      <c r="R455" s="38" t="s">
        <v>164</v>
      </c>
      <c r="S455" s="172">
        <v>1</v>
      </c>
      <c r="T455" s="33"/>
    </row>
    <row r="456" spans="1:20" s="21" customFormat="1" x14ac:dyDescent="0.35">
      <c r="A456" s="11">
        <f t="shared" si="71"/>
        <v>22</v>
      </c>
      <c r="B456" s="109">
        <v>167</v>
      </c>
      <c r="C456" s="175" t="s">
        <v>549</v>
      </c>
      <c r="D456" s="97">
        <v>1952</v>
      </c>
      <c r="E456" s="97" t="s">
        <v>312</v>
      </c>
      <c r="F456" s="97" t="s">
        <v>186</v>
      </c>
      <c r="G456" s="22">
        <v>1004.08</v>
      </c>
      <c r="H456" s="22">
        <v>836.38</v>
      </c>
      <c r="I456" s="108">
        <v>32</v>
      </c>
      <c r="J456" s="22">
        <f>'Форма 2'!I1680</f>
        <v>10413767.380000001</v>
      </c>
      <c r="K456" s="22">
        <v>0</v>
      </c>
      <c r="L456" s="22">
        <v>0</v>
      </c>
      <c r="M456" s="22">
        <v>0</v>
      </c>
      <c r="N456" s="22">
        <f t="shared" si="69"/>
        <v>10413767.380000001</v>
      </c>
      <c r="O456" s="22">
        <v>0</v>
      </c>
      <c r="P456" s="22">
        <f t="shared" si="70"/>
        <v>12451</v>
      </c>
      <c r="Q456" s="22">
        <f>'Форма 2'!K1680</f>
        <v>12451</v>
      </c>
      <c r="R456" s="38" t="s">
        <v>164</v>
      </c>
      <c r="S456" s="172">
        <v>1</v>
      </c>
      <c r="T456" s="33"/>
    </row>
    <row r="457" spans="1:20" s="21" customFormat="1" x14ac:dyDescent="0.35">
      <c r="A457" s="11">
        <f t="shared" si="71"/>
        <v>23</v>
      </c>
      <c r="B457" s="109">
        <v>203</v>
      </c>
      <c r="C457" s="175" t="s">
        <v>95</v>
      </c>
      <c r="D457" s="97">
        <v>1954</v>
      </c>
      <c r="E457" s="96" t="s">
        <v>546</v>
      </c>
      <c r="F457" s="96" t="s">
        <v>155</v>
      </c>
      <c r="G457" s="22">
        <v>454.23</v>
      </c>
      <c r="H457" s="22">
        <v>408.23</v>
      </c>
      <c r="I457" s="108">
        <v>15</v>
      </c>
      <c r="J457" s="22">
        <f>'Форма 2'!I1687</f>
        <v>84911.84</v>
      </c>
      <c r="K457" s="22">
        <v>0</v>
      </c>
      <c r="L457" s="22">
        <v>0</v>
      </c>
      <c r="M457" s="22">
        <v>0</v>
      </c>
      <c r="N457" s="22">
        <f t="shared" si="69"/>
        <v>84911.84</v>
      </c>
      <c r="O457" s="22">
        <v>0</v>
      </c>
      <c r="P457" s="22">
        <f t="shared" si="70"/>
        <v>208</v>
      </c>
      <c r="Q457" s="22">
        <f>'Форма 2'!K1687</f>
        <v>208</v>
      </c>
      <c r="R457" s="38" t="s">
        <v>164</v>
      </c>
      <c r="S457" s="172">
        <v>1</v>
      </c>
      <c r="T457" s="33"/>
    </row>
    <row r="458" spans="1:20" s="21" customFormat="1" x14ac:dyDescent="0.35">
      <c r="A458" s="11">
        <f t="shared" si="71"/>
        <v>24</v>
      </c>
      <c r="B458" s="109">
        <v>204</v>
      </c>
      <c r="C458" s="175" t="s">
        <v>96</v>
      </c>
      <c r="D458" s="97">
        <v>1954</v>
      </c>
      <c r="E458" s="96" t="s">
        <v>312</v>
      </c>
      <c r="F458" s="96" t="s">
        <v>155</v>
      </c>
      <c r="G458" s="22">
        <v>451.9</v>
      </c>
      <c r="H458" s="22">
        <v>405.9</v>
      </c>
      <c r="I458" s="108">
        <v>15</v>
      </c>
      <c r="J458" s="22">
        <f>'Форма 2'!I1690</f>
        <v>84427.199999999997</v>
      </c>
      <c r="K458" s="22">
        <v>0</v>
      </c>
      <c r="L458" s="22">
        <v>0</v>
      </c>
      <c r="M458" s="22">
        <v>0</v>
      </c>
      <c r="N458" s="22">
        <f t="shared" si="69"/>
        <v>84427.199999999997</v>
      </c>
      <c r="O458" s="22">
        <v>0</v>
      </c>
      <c r="P458" s="22">
        <f t="shared" si="70"/>
        <v>208</v>
      </c>
      <c r="Q458" s="22">
        <f>'Форма 2'!K1690</f>
        <v>208</v>
      </c>
      <c r="R458" s="38" t="s">
        <v>164</v>
      </c>
      <c r="S458" s="172">
        <v>1</v>
      </c>
      <c r="T458" s="33"/>
    </row>
    <row r="459" spans="1:20" s="21" customFormat="1" x14ac:dyDescent="0.35">
      <c r="A459" s="11">
        <f t="shared" si="71"/>
        <v>25</v>
      </c>
      <c r="B459" s="109">
        <v>602</v>
      </c>
      <c r="C459" s="175" t="s">
        <v>550</v>
      </c>
      <c r="D459" s="97">
        <v>1973</v>
      </c>
      <c r="E459" s="97" t="s">
        <v>439</v>
      </c>
      <c r="F459" s="97" t="s">
        <v>155</v>
      </c>
      <c r="G459" s="22">
        <v>3290.6</v>
      </c>
      <c r="H459" s="22">
        <v>3240.43</v>
      </c>
      <c r="I459" s="108">
        <v>122</v>
      </c>
      <c r="J459" s="22">
        <f>'Форма 2'!I1693</f>
        <v>547632.67000000004</v>
      </c>
      <c r="K459" s="22">
        <v>0</v>
      </c>
      <c r="L459" s="22">
        <v>0</v>
      </c>
      <c r="M459" s="22">
        <v>0</v>
      </c>
      <c r="N459" s="22">
        <f t="shared" si="69"/>
        <v>547632.67000000004</v>
      </c>
      <c r="O459" s="22">
        <v>0</v>
      </c>
      <c r="P459" s="22">
        <f t="shared" si="70"/>
        <v>169</v>
      </c>
      <c r="Q459" s="22">
        <f>'Форма 2'!K1693</f>
        <v>169</v>
      </c>
      <c r="R459" s="38" t="s">
        <v>164</v>
      </c>
      <c r="S459" s="172">
        <v>1</v>
      </c>
      <c r="T459" s="33"/>
    </row>
    <row r="460" spans="1:20" s="21" customFormat="1" x14ac:dyDescent="0.35">
      <c r="A460" s="11">
        <f t="shared" si="71"/>
        <v>26</v>
      </c>
      <c r="B460" s="109">
        <v>284</v>
      </c>
      <c r="C460" s="175" t="s">
        <v>551</v>
      </c>
      <c r="D460" s="97">
        <v>1958</v>
      </c>
      <c r="E460" s="97" t="s">
        <v>546</v>
      </c>
      <c r="F460" s="97" t="s">
        <v>186</v>
      </c>
      <c r="G460" s="22">
        <v>2430.5</v>
      </c>
      <c r="H460" s="22">
        <v>2104.5</v>
      </c>
      <c r="I460" s="108">
        <v>80</v>
      </c>
      <c r="J460" s="22">
        <f>'Форма 2'!I1695</f>
        <v>12582805.5</v>
      </c>
      <c r="K460" s="22">
        <v>0</v>
      </c>
      <c r="L460" s="22">
        <v>0</v>
      </c>
      <c r="M460" s="22">
        <v>0</v>
      </c>
      <c r="N460" s="22">
        <f t="shared" si="69"/>
        <v>12582805.5</v>
      </c>
      <c r="O460" s="22">
        <v>0</v>
      </c>
      <c r="P460" s="22">
        <f t="shared" si="70"/>
        <v>5979</v>
      </c>
      <c r="Q460" s="22">
        <f>'Форма 2'!K1695</f>
        <v>5979</v>
      </c>
      <c r="R460" s="38" t="s">
        <v>164</v>
      </c>
      <c r="S460" s="172">
        <v>1</v>
      </c>
      <c r="T460" s="33"/>
    </row>
    <row r="461" spans="1:20" s="21" customFormat="1" x14ac:dyDescent="0.35">
      <c r="A461" s="11">
        <f t="shared" si="71"/>
        <v>27</v>
      </c>
      <c r="B461" s="11">
        <v>527</v>
      </c>
      <c r="C461" s="37" t="s">
        <v>284</v>
      </c>
      <c r="D461" s="97">
        <v>1967</v>
      </c>
      <c r="E461" s="97" t="s">
        <v>75</v>
      </c>
      <c r="F461" s="97" t="s">
        <v>486</v>
      </c>
      <c r="G461" s="22">
        <v>3699.7</v>
      </c>
      <c r="H461" s="22">
        <v>3506</v>
      </c>
      <c r="I461" s="26">
        <v>155</v>
      </c>
      <c r="J461" s="22">
        <f>'Форма 2'!I1702</f>
        <v>7009896.4000000004</v>
      </c>
      <c r="K461" s="22">
        <v>0</v>
      </c>
      <c r="L461" s="22">
        <v>0</v>
      </c>
      <c r="M461" s="22">
        <v>0</v>
      </c>
      <c r="N461" s="22">
        <f t="shared" si="69"/>
        <v>7009896.4000000004</v>
      </c>
      <c r="O461" s="22">
        <v>0</v>
      </c>
      <c r="P461" s="22">
        <f t="shared" si="70"/>
        <v>1999.4</v>
      </c>
      <c r="Q461" s="22">
        <f>'Форма 2'!K1702</f>
        <v>2831</v>
      </c>
      <c r="R461" s="38" t="s">
        <v>164</v>
      </c>
      <c r="S461" s="172">
        <v>1</v>
      </c>
      <c r="T461" s="33"/>
    </row>
    <row r="462" spans="1:20" s="21" customFormat="1" x14ac:dyDescent="0.35">
      <c r="A462" s="11">
        <f t="shared" si="71"/>
        <v>28</v>
      </c>
      <c r="B462" s="109">
        <v>606</v>
      </c>
      <c r="C462" s="175" t="s">
        <v>552</v>
      </c>
      <c r="D462" s="97">
        <v>1973</v>
      </c>
      <c r="E462" s="96" t="s">
        <v>75</v>
      </c>
      <c r="F462" s="96" t="s">
        <v>155</v>
      </c>
      <c r="G462" s="22">
        <v>3949.02</v>
      </c>
      <c r="H462" s="22">
        <v>3358.8</v>
      </c>
      <c r="I462" s="108">
        <v>127</v>
      </c>
      <c r="J462" s="22">
        <f>'Форма 2'!I1705</f>
        <v>550843.19999999995</v>
      </c>
      <c r="K462" s="22">
        <v>0</v>
      </c>
      <c r="L462" s="22">
        <v>0</v>
      </c>
      <c r="M462" s="22">
        <v>0</v>
      </c>
      <c r="N462" s="22">
        <f t="shared" si="69"/>
        <v>550843.19999999995</v>
      </c>
      <c r="O462" s="22">
        <v>0</v>
      </c>
      <c r="P462" s="22">
        <f t="shared" si="70"/>
        <v>164</v>
      </c>
      <c r="Q462" s="22">
        <f>'Форма 2'!K1705</f>
        <v>164</v>
      </c>
      <c r="R462" s="38" t="s">
        <v>164</v>
      </c>
      <c r="S462" s="172">
        <v>1</v>
      </c>
      <c r="T462" s="33"/>
    </row>
    <row r="463" spans="1:20" s="21" customFormat="1" x14ac:dyDescent="0.35">
      <c r="A463" s="11">
        <f t="shared" si="71"/>
        <v>29</v>
      </c>
      <c r="B463" s="11">
        <v>546</v>
      </c>
      <c r="C463" s="37" t="s">
        <v>287</v>
      </c>
      <c r="D463" s="97">
        <v>1968</v>
      </c>
      <c r="E463" s="97" t="s">
        <v>75</v>
      </c>
      <c r="F463" s="97" t="s">
        <v>486</v>
      </c>
      <c r="G463" s="22">
        <v>3855.8</v>
      </c>
      <c r="H463" s="22">
        <v>3568.8</v>
      </c>
      <c r="I463" s="26">
        <v>156</v>
      </c>
      <c r="J463" s="22">
        <f>'Форма 2'!I1707</f>
        <v>7135458.7199999997</v>
      </c>
      <c r="K463" s="22">
        <v>0</v>
      </c>
      <c r="L463" s="22">
        <v>0</v>
      </c>
      <c r="M463" s="22">
        <v>0</v>
      </c>
      <c r="N463" s="22">
        <f t="shared" si="69"/>
        <v>7135458.7199999997</v>
      </c>
      <c r="O463" s="22">
        <v>0</v>
      </c>
      <c r="P463" s="22">
        <f t="shared" si="70"/>
        <v>1999.4</v>
      </c>
      <c r="Q463" s="22">
        <f>'Форма 2'!K1707</f>
        <v>2831</v>
      </c>
      <c r="R463" s="38" t="s">
        <v>164</v>
      </c>
      <c r="S463" s="172">
        <v>1</v>
      </c>
      <c r="T463" s="33"/>
    </row>
    <row r="464" spans="1:20" s="21" customFormat="1" x14ac:dyDescent="0.35">
      <c r="A464" s="11">
        <f t="shared" si="71"/>
        <v>30</v>
      </c>
      <c r="B464" s="11">
        <v>559</v>
      </c>
      <c r="C464" s="37" t="s">
        <v>288</v>
      </c>
      <c r="D464" s="97">
        <v>1969</v>
      </c>
      <c r="E464" s="97" t="s">
        <v>75</v>
      </c>
      <c r="F464" s="97" t="s">
        <v>486</v>
      </c>
      <c r="G464" s="22">
        <v>3872.2</v>
      </c>
      <c r="H464" s="22">
        <v>3585.2</v>
      </c>
      <c r="I464" s="26">
        <v>131</v>
      </c>
      <c r="J464" s="22">
        <f>'Форма 2'!I1710</f>
        <v>7168248.8799999999</v>
      </c>
      <c r="K464" s="22">
        <v>0</v>
      </c>
      <c r="L464" s="22">
        <v>0</v>
      </c>
      <c r="M464" s="22">
        <v>0</v>
      </c>
      <c r="N464" s="22">
        <f t="shared" si="69"/>
        <v>7168248.8799999999</v>
      </c>
      <c r="O464" s="22">
        <v>0</v>
      </c>
      <c r="P464" s="22">
        <f t="shared" si="70"/>
        <v>1999.4</v>
      </c>
      <c r="Q464" s="22">
        <f>'Форма 2'!K1710</f>
        <v>2831</v>
      </c>
      <c r="R464" s="38" t="s">
        <v>164</v>
      </c>
      <c r="S464" s="172">
        <v>1</v>
      </c>
      <c r="T464" s="33"/>
    </row>
    <row r="465" spans="1:20" s="21" customFormat="1" x14ac:dyDescent="0.35">
      <c r="A465" s="11">
        <f t="shared" si="71"/>
        <v>31</v>
      </c>
      <c r="B465" s="109">
        <v>521</v>
      </c>
      <c r="C465" s="175" t="s">
        <v>97</v>
      </c>
      <c r="D465" s="97">
        <v>1967</v>
      </c>
      <c r="E465" s="97" t="s">
        <v>75</v>
      </c>
      <c r="F465" s="97" t="s">
        <v>155</v>
      </c>
      <c r="G465" s="22">
        <v>3355.6</v>
      </c>
      <c r="H465" s="22">
        <v>2828.7</v>
      </c>
      <c r="I465" s="108">
        <v>107</v>
      </c>
      <c r="J465" s="22">
        <f>'Форма 2'!I1713</f>
        <v>463906.8</v>
      </c>
      <c r="K465" s="22">
        <v>0</v>
      </c>
      <c r="L465" s="22">
        <v>0</v>
      </c>
      <c r="M465" s="22">
        <v>0</v>
      </c>
      <c r="N465" s="22">
        <f t="shared" si="69"/>
        <v>463906.8</v>
      </c>
      <c r="O465" s="22">
        <v>0</v>
      </c>
      <c r="P465" s="22">
        <f t="shared" si="70"/>
        <v>164</v>
      </c>
      <c r="Q465" s="22">
        <f>'Форма 2'!K1713</f>
        <v>164</v>
      </c>
      <c r="R465" s="38" t="s">
        <v>164</v>
      </c>
      <c r="S465" s="172">
        <v>1</v>
      </c>
      <c r="T465" s="33"/>
    </row>
    <row r="466" spans="1:20" s="21" customFormat="1" x14ac:dyDescent="0.35">
      <c r="A466" s="11">
        <f t="shared" si="71"/>
        <v>32</v>
      </c>
      <c r="B466" s="11">
        <v>524</v>
      </c>
      <c r="C466" s="37" t="s">
        <v>289</v>
      </c>
      <c r="D466" s="97">
        <v>1967</v>
      </c>
      <c r="E466" s="96" t="s">
        <v>75</v>
      </c>
      <c r="F466" s="96" t="s">
        <v>486</v>
      </c>
      <c r="G466" s="22">
        <v>4124.3100000000004</v>
      </c>
      <c r="H466" s="22">
        <v>3856.05</v>
      </c>
      <c r="I466" s="26">
        <v>103</v>
      </c>
      <c r="J466" s="22">
        <f>'Форма 2'!I1715</f>
        <v>5822108.54</v>
      </c>
      <c r="K466" s="22">
        <v>0</v>
      </c>
      <c r="L466" s="22">
        <v>0</v>
      </c>
      <c r="M466" s="22">
        <v>0</v>
      </c>
      <c r="N466" s="22">
        <f t="shared" si="69"/>
        <v>5822108.54</v>
      </c>
      <c r="O466" s="22">
        <v>0</v>
      </c>
      <c r="P466" s="22">
        <f t="shared" si="70"/>
        <v>1509.86</v>
      </c>
      <c r="Q466" s="22">
        <f>'Форма 2'!K1715</f>
        <v>2831</v>
      </c>
      <c r="R466" s="38" t="s">
        <v>164</v>
      </c>
      <c r="S466" s="172">
        <v>1</v>
      </c>
      <c r="T466" s="33"/>
    </row>
    <row r="467" spans="1:20" s="21" customFormat="1" x14ac:dyDescent="0.35">
      <c r="A467" s="11">
        <f t="shared" si="71"/>
        <v>33</v>
      </c>
      <c r="B467" s="11">
        <v>509</v>
      </c>
      <c r="C467" s="37" t="s">
        <v>290</v>
      </c>
      <c r="D467" s="97">
        <v>1965</v>
      </c>
      <c r="E467" s="96" t="s">
        <v>75</v>
      </c>
      <c r="F467" s="96" t="s">
        <v>486</v>
      </c>
      <c r="G467" s="22">
        <v>3249.8</v>
      </c>
      <c r="H467" s="22">
        <v>3004.2</v>
      </c>
      <c r="I467" s="26">
        <v>111</v>
      </c>
      <c r="J467" s="22">
        <f>'Форма 2'!I1718</f>
        <v>5358804.2699999996</v>
      </c>
      <c r="K467" s="22">
        <v>0</v>
      </c>
      <c r="L467" s="22">
        <v>0</v>
      </c>
      <c r="M467" s="22">
        <v>0</v>
      </c>
      <c r="N467" s="22">
        <f t="shared" si="69"/>
        <v>5358804.2699999996</v>
      </c>
      <c r="O467" s="22">
        <v>0</v>
      </c>
      <c r="P467" s="22">
        <f t="shared" si="70"/>
        <v>1783.77</v>
      </c>
      <c r="Q467" s="22">
        <f>'Форма 2'!K1718</f>
        <v>2831</v>
      </c>
      <c r="R467" s="38" t="s">
        <v>164</v>
      </c>
      <c r="S467" s="172">
        <v>1</v>
      </c>
      <c r="T467" s="33"/>
    </row>
    <row r="468" spans="1:20" s="21" customFormat="1" x14ac:dyDescent="0.35">
      <c r="A468" s="11">
        <f t="shared" si="71"/>
        <v>34</v>
      </c>
      <c r="B468" s="11">
        <v>617</v>
      </c>
      <c r="C468" s="37" t="s">
        <v>291</v>
      </c>
      <c r="D468" s="97">
        <v>1974</v>
      </c>
      <c r="E468" s="96" t="s">
        <v>75</v>
      </c>
      <c r="F468" s="96" t="s">
        <v>486</v>
      </c>
      <c r="G468" s="22">
        <v>5219.72</v>
      </c>
      <c r="H468" s="22">
        <v>4525.22</v>
      </c>
      <c r="I468" s="26">
        <v>182</v>
      </c>
      <c r="J468" s="22">
        <f>'Форма 2'!I1721</f>
        <v>6879593.4199999999</v>
      </c>
      <c r="K468" s="22">
        <v>0</v>
      </c>
      <c r="L468" s="22">
        <v>0</v>
      </c>
      <c r="M468" s="22">
        <v>0</v>
      </c>
      <c r="N468" s="22">
        <f t="shared" si="69"/>
        <v>6879593.4199999999</v>
      </c>
      <c r="O468" s="22">
        <v>0</v>
      </c>
      <c r="P468" s="22">
        <f t="shared" si="70"/>
        <v>1520.28</v>
      </c>
      <c r="Q468" s="22">
        <f>'Форма 2'!K1721</f>
        <v>2831</v>
      </c>
      <c r="R468" s="38" t="s">
        <v>164</v>
      </c>
      <c r="S468" s="172">
        <v>1</v>
      </c>
      <c r="T468" s="33"/>
    </row>
    <row r="469" spans="1:20" s="21" customFormat="1" x14ac:dyDescent="0.35">
      <c r="A469" s="11">
        <f t="shared" si="71"/>
        <v>35</v>
      </c>
      <c r="B469" s="109">
        <v>479</v>
      </c>
      <c r="C469" s="175" t="s">
        <v>98</v>
      </c>
      <c r="D469" s="97">
        <v>1964</v>
      </c>
      <c r="E469" s="96" t="s">
        <v>75</v>
      </c>
      <c r="F469" s="96" t="s">
        <v>155</v>
      </c>
      <c r="G469" s="22">
        <v>2748.2</v>
      </c>
      <c r="H469" s="22">
        <v>1986.2</v>
      </c>
      <c r="I469" s="108">
        <v>75</v>
      </c>
      <c r="J469" s="22">
        <f>'Форма 2'!I1724</f>
        <v>325736.8</v>
      </c>
      <c r="K469" s="22">
        <v>0</v>
      </c>
      <c r="L469" s="22">
        <v>0</v>
      </c>
      <c r="M469" s="22">
        <v>0</v>
      </c>
      <c r="N469" s="22">
        <f t="shared" si="69"/>
        <v>325736.8</v>
      </c>
      <c r="O469" s="22">
        <v>0</v>
      </c>
      <c r="P469" s="22">
        <f t="shared" si="70"/>
        <v>164</v>
      </c>
      <c r="Q469" s="22">
        <f>'Форма 2'!K1724</f>
        <v>164</v>
      </c>
      <c r="R469" s="38" t="s">
        <v>164</v>
      </c>
      <c r="S469" s="172">
        <v>1</v>
      </c>
      <c r="T469" s="33"/>
    </row>
    <row r="470" spans="1:20" s="21" customFormat="1" x14ac:dyDescent="0.35">
      <c r="A470" s="11">
        <f t="shared" si="71"/>
        <v>36</v>
      </c>
      <c r="B470" s="11">
        <v>512</v>
      </c>
      <c r="C470" s="37" t="s">
        <v>292</v>
      </c>
      <c r="D470" s="97">
        <v>1966</v>
      </c>
      <c r="E470" s="96" t="s">
        <v>293</v>
      </c>
      <c r="F470" s="96" t="s">
        <v>163</v>
      </c>
      <c r="G470" s="22">
        <v>1736.9</v>
      </c>
      <c r="H470" s="22">
        <v>1615.9</v>
      </c>
      <c r="I470" s="26">
        <v>71</v>
      </c>
      <c r="J470" s="22">
        <f>'Форма 2'!I1726</f>
        <v>150763.46</v>
      </c>
      <c r="K470" s="22">
        <v>0</v>
      </c>
      <c r="L470" s="22">
        <v>0</v>
      </c>
      <c r="M470" s="22">
        <v>0</v>
      </c>
      <c r="N470" s="22">
        <f t="shared" si="69"/>
        <v>150763.46</v>
      </c>
      <c r="O470" s="22">
        <v>0</v>
      </c>
      <c r="P470" s="22">
        <f t="shared" si="70"/>
        <v>93.3</v>
      </c>
      <c r="Q470" s="22">
        <f>'Форма 2'!K1726</f>
        <v>283</v>
      </c>
      <c r="R470" s="38" t="s">
        <v>498</v>
      </c>
      <c r="S470" s="172">
        <v>1</v>
      </c>
      <c r="T470" s="33"/>
    </row>
    <row r="471" spans="1:20" s="21" customFormat="1" x14ac:dyDescent="0.35">
      <c r="A471" s="11">
        <f t="shared" si="71"/>
        <v>37</v>
      </c>
      <c r="B471" s="109">
        <v>717</v>
      </c>
      <c r="C471" s="175" t="s">
        <v>553</v>
      </c>
      <c r="D471" s="97">
        <v>1980</v>
      </c>
      <c r="E471" s="97" t="s">
        <v>75</v>
      </c>
      <c r="F471" s="97" t="s">
        <v>155</v>
      </c>
      <c r="G471" s="22">
        <v>3065.92</v>
      </c>
      <c r="H471" s="22">
        <v>2621.92</v>
      </c>
      <c r="I471" s="108">
        <v>99</v>
      </c>
      <c r="J471" s="22">
        <f>'Форма 2'!I1729</f>
        <v>429994.88</v>
      </c>
      <c r="K471" s="22">
        <v>0</v>
      </c>
      <c r="L471" s="22">
        <v>0</v>
      </c>
      <c r="M471" s="22">
        <v>0</v>
      </c>
      <c r="N471" s="22">
        <f t="shared" si="69"/>
        <v>429994.88</v>
      </c>
      <c r="O471" s="22">
        <v>0</v>
      </c>
      <c r="P471" s="22">
        <f t="shared" si="70"/>
        <v>164</v>
      </c>
      <c r="Q471" s="22">
        <f>'Форма 2'!K1729</f>
        <v>164</v>
      </c>
      <c r="R471" s="38" t="s">
        <v>164</v>
      </c>
      <c r="S471" s="172">
        <v>1</v>
      </c>
      <c r="T471" s="33"/>
    </row>
    <row r="472" spans="1:20" s="21" customFormat="1" x14ac:dyDescent="0.35">
      <c r="A472" s="11">
        <f t="shared" si="71"/>
        <v>38</v>
      </c>
      <c r="B472" s="11">
        <v>574</v>
      </c>
      <c r="C472" s="37" t="s">
        <v>294</v>
      </c>
      <c r="D472" s="97">
        <v>1971</v>
      </c>
      <c r="E472" s="96" t="s">
        <v>75</v>
      </c>
      <c r="F472" s="96" t="s">
        <v>486</v>
      </c>
      <c r="G472" s="22">
        <v>3573</v>
      </c>
      <c r="H472" s="22">
        <v>3042.6</v>
      </c>
      <c r="I472" s="26">
        <v>180</v>
      </c>
      <c r="J472" s="22">
        <f>'Форма 2'!I1731</f>
        <v>4934058.09</v>
      </c>
      <c r="K472" s="22">
        <v>0</v>
      </c>
      <c r="L472" s="22">
        <v>0</v>
      </c>
      <c r="M472" s="22">
        <v>0</v>
      </c>
      <c r="N472" s="22">
        <f t="shared" si="69"/>
        <v>4934058.09</v>
      </c>
      <c r="O472" s="22">
        <v>0</v>
      </c>
      <c r="P472" s="22">
        <f t="shared" si="70"/>
        <v>1621.66</v>
      </c>
      <c r="Q472" s="22">
        <f>'Форма 2'!K1731</f>
        <v>2831</v>
      </c>
      <c r="R472" s="38" t="s">
        <v>164</v>
      </c>
      <c r="S472" s="172">
        <v>1</v>
      </c>
      <c r="T472" s="33"/>
    </row>
    <row r="473" spans="1:20" s="21" customFormat="1" x14ac:dyDescent="0.35">
      <c r="A473" s="11">
        <f t="shared" si="71"/>
        <v>39</v>
      </c>
      <c r="B473" s="109">
        <v>138</v>
      </c>
      <c r="C473" s="175" t="s">
        <v>554</v>
      </c>
      <c r="D473" s="97">
        <v>1949</v>
      </c>
      <c r="E473" s="96" t="s">
        <v>546</v>
      </c>
      <c r="F473" s="96" t="s">
        <v>186</v>
      </c>
      <c r="G473" s="22">
        <v>1495</v>
      </c>
      <c r="H473" s="22">
        <v>854.35</v>
      </c>
      <c r="I473" s="84">
        <v>32</v>
      </c>
      <c r="J473" s="22">
        <f>'Форма 2'!I1734</f>
        <v>10637511.85</v>
      </c>
      <c r="K473" s="22">
        <v>0</v>
      </c>
      <c r="L473" s="22">
        <v>0</v>
      </c>
      <c r="M473" s="22">
        <v>0</v>
      </c>
      <c r="N473" s="22">
        <f>J473-K473-L473-M473-O473</f>
        <v>10637511.85</v>
      </c>
      <c r="O473" s="22">
        <v>0</v>
      </c>
      <c r="P473" s="22">
        <f t="shared" si="70"/>
        <v>12451</v>
      </c>
      <c r="Q473" s="22">
        <f>'Форма 2'!K1734</f>
        <v>12451</v>
      </c>
      <c r="R473" s="38" t="s">
        <v>164</v>
      </c>
      <c r="S473" s="172">
        <v>1</v>
      </c>
      <c r="T473" s="33"/>
    </row>
    <row r="474" spans="1:20" s="21" customFormat="1" x14ac:dyDescent="0.35">
      <c r="A474" s="11">
        <f t="shared" si="71"/>
        <v>40</v>
      </c>
      <c r="B474" s="109">
        <v>139</v>
      </c>
      <c r="C474" s="175" t="s">
        <v>555</v>
      </c>
      <c r="D474" s="97">
        <v>1949</v>
      </c>
      <c r="E474" s="97" t="s">
        <v>546</v>
      </c>
      <c r="F474" s="97" t="s">
        <v>186</v>
      </c>
      <c r="G474" s="22">
        <v>1558</v>
      </c>
      <c r="H474" s="22">
        <v>1167.3</v>
      </c>
      <c r="I474" s="108">
        <v>44</v>
      </c>
      <c r="J474" s="22">
        <f>'Форма 2'!I1741</f>
        <v>11106859.5</v>
      </c>
      <c r="K474" s="22">
        <v>0</v>
      </c>
      <c r="L474" s="22">
        <v>0</v>
      </c>
      <c r="M474" s="22">
        <v>0</v>
      </c>
      <c r="N474" s="22">
        <f>J474-K474-L474-M474-O474</f>
        <v>11106859.5</v>
      </c>
      <c r="O474" s="22">
        <v>0</v>
      </c>
      <c r="P474" s="22">
        <f t="shared" si="70"/>
        <v>9515</v>
      </c>
      <c r="Q474" s="22">
        <f>'Форма 2'!K1741</f>
        <v>9515</v>
      </c>
      <c r="R474" s="38" t="s">
        <v>164</v>
      </c>
      <c r="S474" s="172">
        <v>1</v>
      </c>
      <c r="T474" s="33"/>
    </row>
    <row r="475" spans="1:20" s="21" customFormat="1" x14ac:dyDescent="0.35">
      <c r="A475" s="11">
        <f t="shared" si="71"/>
        <v>41</v>
      </c>
      <c r="B475" s="109">
        <v>565</v>
      </c>
      <c r="C475" s="175" t="s">
        <v>99</v>
      </c>
      <c r="D475" s="97">
        <v>1970</v>
      </c>
      <c r="E475" s="96" t="s">
        <v>75</v>
      </c>
      <c r="F475" s="96" t="s">
        <v>155</v>
      </c>
      <c r="G475" s="22">
        <v>2940.2</v>
      </c>
      <c r="H475" s="22">
        <v>2692.2</v>
      </c>
      <c r="I475" s="108">
        <v>102</v>
      </c>
      <c r="J475" s="22">
        <f>'Форма 2'!I1748</f>
        <v>441520.8</v>
      </c>
      <c r="K475" s="22">
        <v>0</v>
      </c>
      <c r="L475" s="22">
        <v>0</v>
      </c>
      <c r="M475" s="22">
        <v>0</v>
      </c>
      <c r="N475" s="22">
        <f t="shared" si="69"/>
        <v>441520.8</v>
      </c>
      <c r="O475" s="22">
        <v>0</v>
      </c>
      <c r="P475" s="22">
        <f t="shared" si="70"/>
        <v>164</v>
      </c>
      <c r="Q475" s="22">
        <f>'Форма 2'!K1748</f>
        <v>164</v>
      </c>
      <c r="R475" s="38" t="s">
        <v>164</v>
      </c>
      <c r="S475" s="172">
        <v>1</v>
      </c>
      <c r="T475" s="33"/>
    </row>
    <row r="476" spans="1:20" s="21" customFormat="1" x14ac:dyDescent="0.35">
      <c r="A476" s="11">
        <f t="shared" si="71"/>
        <v>42</v>
      </c>
      <c r="B476" s="11">
        <v>566</v>
      </c>
      <c r="C476" s="37" t="s">
        <v>296</v>
      </c>
      <c r="D476" s="97">
        <v>1970</v>
      </c>
      <c r="E476" s="97" t="s">
        <v>75</v>
      </c>
      <c r="F476" s="97" t="s">
        <v>486</v>
      </c>
      <c r="G476" s="22">
        <v>3405.3</v>
      </c>
      <c r="H476" s="22">
        <v>3195.7</v>
      </c>
      <c r="I476" s="26">
        <v>149</v>
      </c>
      <c r="J476" s="22">
        <f>'Форма 2'!I1750</f>
        <v>4458233.58</v>
      </c>
      <c r="K476" s="22">
        <v>0</v>
      </c>
      <c r="L476" s="22">
        <v>0</v>
      </c>
      <c r="M476" s="22">
        <v>0</v>
      </c>
      <c r="N476" s="22">
        <f t="shared" si="69"/>
        <v>4458233.58</v>
      </c>
      <c r="O476" s="22">
        <v>0</v>
      </c>
      <c r="P476" s="22">
        <f t="shared" si="70"/>
        <v>1395.07</v>
      </c>
      <c r="Q476" s="22">
        <f>'Форма 2'!K1750</f>
        <v>2831</v>
      </c>
      <c r="R476" s="38" t="s">
        <v>164</v>
      </c>
      <c r="S476" s="172">
        <v>1</v>
      </c>
      <c r="T476" s="33"/>
    </row>
    <row r="477" spans="1:20" s="21" customFormat="1" x14ac:dyDescent="0.35">
      <c r="A477" s="11">
        <f t="shared" si="71"/>
        <v>43</v>
      </c>
      <c r="B477" s="109">
        <v>519</v>
      </c>
      <c r="C477" s="175" t="s">
        <v>100</v>
      </c>
      <c r="D477" s="97">
        <v>1967</v>
      </c>
      <c r="E477" s="97" t="s">
        <v>75</v>
      </c>
      <c r="F477" s="97" t="s">
        <v>155</v>
      </c>
      <c r="G477" s="22">
        <v>3152.8</v>
      </c>
      <c r="H477" s="22">
        <v>2547.1999999999998</v>
      </c>
      <c r="I477" s="108">
        <v>96</v>
      </c>
      <c r="J477" s="22">
        <f>'Форма 2'!I1753</f>
        <v>417740.79999999999</v>
      </c>
      <c r="K477" s="22">
        <v>0</v>
      </c>
      <c r="L477" s="22">
        <v>0</v>
      </c>
      <c r="M477" s="22">
        <v>0</v>
      </c>
      <c r="N477" s="22">
        <f t="shared" si="69"/>
        <v>417740.79999999999</v>
      </c>
      <c r="O477" s="22">
        <v>0</v>
      </c>
      <c r="P477" s="22">
        <f t="shared" si="70"/>
        <v>164</v>
      </c>
      <c r="Q477" s="22">
        <f>'Форма 2'!K1753</f>
        <v>164</v>
      </c>
      <c r="R477" s="38" t="s">
        <v>164</v>
      </c>
      <c r="S477" s="172">
        <v>1</v>
      </c>
      <c r="T477" s="33"/>
    </row>
    <row r="478" spans="1:20" s="21" customFormat="1" x14ac:dyDescent="0.35">
      <c r="A478" s="11">
        <f t="shared" si="71"/>
        <v>44</v>
      </c>
      <c r="B478" s="11">
        <v>653</v>
      </c>
      <c r="C478" s="37" t="s">
        <v>297</v>
      </c>
      <c r="D478" s="97">
        <v>1978</v>
      </c>
      <c r="E478" s="96" t="s">
        <v>75</v>
      </c>
      <c r="F478" s="96" t="s">
        <v>486</v>
      </c>
      <c r="G478" s="22">
        <v>3299.15</v>
      </c>
      <c r="H478" s="22">
        <v>3054.95</v>
      </c>
      <c r="I478" s="26">
        <v>137</v>
      </c>
      <c r="J478" s="22">
        <f>'Форма 2'!I1755</f>
        <v>4819128.2</v>
      </c>
      <c r="K478" s="22">
        <v>0</v>
      </c>
      <c r="L478" s="22">
        <v>0</v>
      </c>
      <c r="M478" s="22">
        <v>0</v>
      </c>
      <c r="N478" s="22">
        <f t="shared" si="69"/>
        <v>4819128.2</v>
      </c>
      <c r="O478" s="22">
        <v>0</v>
      </c>
      <c r="P478" s="22">
        <f t="shared" si="70"/>
        <v>1577.48</v>
      </c>
      <c r="Q478" s="22">
        <f>'Форма 2'!K1755</f>
        <v>2831</v>
      </c>
      <c r="R478" s="38" t="s">
        <v>164</v>
      </c>
      <c r="S478" s="172">
        <v>1</v>
      </c>
      <c r="T478" s="33"/>
    </row>
    <row r="479" spans="1:20" s="194" customFormat="1" ht="31" x14ac:dyDescent="0.35">
      <c r="A479" s="124">
        <f t="shared" si="71"/>
        <v>45</v>
      </c>
      <c r="B479" s="124">
        <v>562</v>
      </c>
      <c r="C479" s="37" t="s">
        <v>556</v>
      </c>
      <c r="D479" s="96">
        <v>1970</v>
      </c>
      <c r="E479" s="96" t="s">
        <v>557</v>
      </c>
      <c r="F479" s="96" t="s">
        <v>186</v>
      </c>
      <c r="G479" s="86">
        <v>3642.3</v>
      </c>
      <c r="H479" s="86">
        <v>3330.3</v>
      </c>
      <c r="I479" s="108">
        <v>126</v>
      </c>
      <c r="J479" s="86">
        <f>'Форма 2'!I1758</f>
        <v>20148315</v>
      </c>
      <c r="K479" s="86"/>
      <c r="L479" s="86">
        <v>0</v>
      </c>
      <c r="M479" s="86">
        <v>0</v>
      </c>
      <c r="N479" s="86">
        <f t="shared" si="69"/>
        <v>20148315</v>
      </c>
      <c r="O479" s="86">
        <v>0</v>
      </c>
      <c r="P479" s="86">
        <f t="shared" si="70"/>
        <v>6050</v>
      </c>
      <c r="Q479" s="86">
        <f>'Форма 2'!K1758</f>
        <v>6050</v>
      </c>
      <c r="R479" s="182" t="s">
        <v>164</v>
      </c>
      <c r="S479" s="183">
        <v>1</v>
      </c>
      <c r="T479" s="33"/>
    </row>
    <row r="480" spans="1:20" s="21" customFormat="1" x14ac:dyDescent="0.35">
      <c r="A480" s="11">
        <f t="shared" si="71"/>
        <v>46</v>
      </c>
      <c r="B480" s="109">
        <v>720</v>
      </c>
      <c r="C480" s="175" t="s">
        <v>558</v>
      </c>
      <c r="D480" s="97">
        <v>1981</v>
      </c>
      <c r="E480" s="97" t="s">
        <v>75</v>
      </c>
      <c r="F480" s="97" t="s">
        <v>155</v>
      </c>
      <c r="G480" s="22">
        <v>5256</v>
      </c>
      <c r="H480" s="22">
        <v>5022</v>
      </c>
      <c r="I480" s="108">
        <v>190</v>
      </c>
      <c r="J480" s="22">
        <f>'Форма 2'!I1768</f>
        <v>823608</v>
      </c>
      <c r="K480" s="22">
        <v>0</v>
      </c>
      <c r="L480" s="22">
        <v>0</v>
      </c>
      <c r="M480" s="22">
        <v>0</v>
      </c>
      <c r="N480" s="22">
        <f t="shared" si="69"/>
        <v>823608</v>
      </c>
      <c r="O480" s="22">
        <v>0</v>
      </c>
      <c r="P480" s="22">
        <f t="shared" si="70"/>
        <v>164</v>
      </c>
      <c r="Q480" s="22">
        <f>'Форма 2'!K1768</f>
        <v>164</v>
      </c>
      <c r="R480" s="38" t="s">
        <v>164</v>
      </c>
      <c r="S480" s="172">
        <v>1</v>
      </c>
      <c r="T480" s="33"/>
    </row>
    <row r="481" spans="1:20" s="194" customFormat="1" x14ac:dyDescent="0.35">
      <c r="A481" s="124">
        <f t="shared" si="71"/>
        <v>47</v>
      </c>
      <c r="B481" s="124">
        <v>647</v>
      </c>
      <c r="C481" s="37" t="s">
        <v>298</v>
      </c>
      <c r="D481" s="96">
        <v>1976</v>
      </c>
      <c r="E481" s="96" t="s">
        <v>267</v>
      </c>
      <c r="F481" s="96" t="s">
        <v>732</v>
      </c>
      <c r="G481" s="86">
        <v>3582</v>
      </c>
      <c r="H481" s="86">
        <v>2026</v>
      </c>
      <c r="I481" s="99">
        <v>175</v>
      </c>
      <c r="J481" s="86">
        <f>'Форма 2'!I1770</f>
        <v>7374640</v>
      </c>
      <c r="K481" s="86">
        <v>0</v>
      </c>
      <c r="L481" s="86">
        <v>0</v>
      </c>
      <c r="M481" s="86">
        <v>0</v>
      </c>
      <c r="N481" s="86">
        <f t="shared" si="69"/>
        <v>7374640</v>
      </c>
      <c r="O481" s="86">
        <v>0</v>
      </c>
      <c r="P481" s="86">
        <f t="shared" si="70"/>
        <v>3640</v>
      </c>
      <c r="Q481" s="86">
        <f>'Форма 2'!K1770</f>
        <v>3640</v>
      </c>
      <c r="R481" s="182" t="s">
        <v>164</v>
      </c>
      <c r="S481" s="183">
        <v>1</v>
      </c>
      <c r="T481" s="33"/>
    </row>
    <row r="482" spans="1:20" s="194" customFormat="1" x14ac:dyDescent="0.35">
      <c r="A482" s="124">
        <f t="shared" si="71"/>
        <v>48</v>
      </c>
      <c r="B482" s="195">
        <v>811</v>
      </c>
      <c r="C482" s="175" t="s">
        <v>747</v>
      </c>
      <c r="D482" s="96">
        <v>1986</v>
      </c>
      <c r="E482" s="96" t="s">
        <v>239</v>
      </c>
      <c r="F482" s="96" t="s">
        <v>155</v>
      </c>
      <c r="G482" s="86">
        <v>4962.1000000000004</v>
      </c>
      <c r="H482" s="86">
        <v>4347.7</v>
      </c>
      <c r="I482" s="108">
        <v>164</v>
      </c>
      <c r="J482" s="86">
        <f>'Форма 2'!I1777</f>
        <v>399988.4</v>
      </c>
      <c r="K482" s="86">
        <v>0</v>
      </c>
      <c r="L482" s="86">
        <v>0</v>
      </c>
      <c r="M482" s="86">
        <v>0</v>
      </c>
      <c r="N482" s="86">
        <f t="shared" si="69"/>
        <v>399988.4</v>
      </c>
      <c r="O482" s="86">
        <v>0</v>
      </c>
      <c r="P482" s="86">
        <f t="shared" si="70"/>
        <v>92</v>
      </c>
      <c r="Q482" s="86">
        <f>'Форма 2'!K1777</f>
        <v>92</v>
      </c>
      <c r="R482" s="182" t="s">
        <v>164</v>
      </c>
      <c r="S482" s="183">
        <v>1</v>
      </c>
      <c r="T482" s="33"/>
    </row>
    <row r="483" spans="1:20" s="21" customFormat="1" x14ac:dyDescent="0.35">
      <c r="A483" s="11">
        <f t="shared" si="71"/>
        <v>49</v>
      </c>
      <c r="B483" s="109">
        <v>575</v>
      </c>
      <c r="C483" s="175" t="s">
        <v>559</v>
      </c>
      <c r="D483" s="97">
        <v>1971</v>
      </c>
      <c r="E483" s="96" t="s">
        <v>293</v>
      </c>
      <c r="F483" s="96" t="s">
        <v>155</v>
      </c>
      <c r="G483" s="22">
        <v>6639</v>
      </c>
      <c r="H483" s="22">
        <v>5843.3</v>
      </c>
      <c r="I483" s="108">
        <v>221</v>
      </c>
      <c r="J483" s="22">
        <f>'Форма 2'!I1779</f>
        <v>46746.400000000001</v>
      </c>
      <c r="K483" s="22">
        <v>0</v>
      </c>
      <c r="L483" s="22">
        <v>0</v>
      </c>
      <c r="M483" s="22">
        <v>0</v>
      </c>
      <c r="N483" s="22">
        <f t="shared" si="69"/>
        <v>46746.400000000001</v>
      </c>
      <c r="O483" s="22">
        <v>0</v>
      </c>
      <c r="P483" s="22">
        <f t="shared" si="70"/>
        <v>8</v>
      </c>
      <c r="Q483" s="22">
        <f>'Форма 2'!K1779</f>
        <v>8</v>
      </c>
      <c r="R483" s="38" t="s">
        <v>164</v>
      </c>
      <c r="S483" s="172">
        <v>1</v>
      </c>
      <c r="T483" s="33"/>
    </row>
    <row r="484" spans="1:20" s="21" customFormat="1" x14ac:dyDescent="0.35">
      <c r="A484" s="11">
        <f t="shared" si="71"/>
        <v>50</v>
      </c>
      <c r="B484" s="109">
        <v>618</v>
      </c>
      <c r="C484" s="175" t="s">
        <v>560</v>
      </c>
      <c r="D484" s="97">
        <v>1974</v>
      </c>
      <c r="E484" s="96" t="s">
        <v>293</v>
      </c>
      <c r="F484" s="96" t="s">
        <v>155</v>
      </c>
      <c r="G484" s="22">
        <v>5400.2</v>
      </c>
      <c r="H484" s="22">
        <v>4979.6000000000004</v>
      </c>
      <c r="I484" s="108">
        <v>172</v>
      </c>
      <c r="J484" s="22">
        <f>'Форма 2'!I1781</f>
        <v>39836.800000000003</v>
      </c>
      <c r="K484" s="22">
        <v>0</v>
      </c>
      <c r="L484" s="22">
        <v>0</v>
      </c>
      <c r="M484" s="22">
        <v>0</v>
      </c>
      <c r="N484" s="22">
        <f t="shared" si="69"/>
        <v>39836.800000000003</v>
      </c>
      <c r="O484" s="22">
        <v>0</v>
      </c>
      <c r="P484" s="22">
        <f t="shared" si="70"/>
        <v>8</v>
      </c>
      <c r="Q484" s="22">
        <f>'Форма 2'!K1781</f>
        <v>8</v>
      </c>
      <c r="R484" s="38" t="s">
        <v>164</v>
      </c>
      <c r="S484" s="172">
        <v>1</v>
      </c>
      <c r="T484" s="33"/>
    </row>
    <row r="485" spans="1:20" s="21" customFormat="1" x14ac:dyDescent="0.35">
      <c r="A485" s="11">
        <f t="shared" si="71"/>
        <v>51</v>
      </c>
      <c r="B485" s="11">
        <v>532</v>
      </c>
      <c r="C485" s="37" t="s">
        <v>303</v>
      </c>
      <c r="D485" s="97">
        <v>1967</v>
      </c>
      <c r="E485" s="97" t="s">
        <v>75</v>
      </c>
      <c r="F485" s="97" t="s">
        <v>486</v>
      </c>
      <c r="G485" s="22">
        <v>3940.36</v>
      </c>
      <c r="H485" s="22">
        <v>3750.3</v>
      </c>
      <c r="I485" s="26">
        <v>228</v>
      </c>
      <c r="J485" s="22">
        <f>'Форма 2'!I1783</f>
        <v>6519561.1399999997</v>
      </c>
      <c r="K485" s="22">
        <v>0</v>
      </c>
      <c r="L485" s="22">
        <v>0</v>
      </c>
      <c r="M485" s="22">
        <v>0</v>
      </c>
      <c r="N485" s="22">
        <f t="shared" si="69"/>
        <v>6519561.1399999997</v>
      </c>
      <c r="O485" s="22">
        <v>0</v>
      </c>
      <c r="P485" s="22">
        <f t="shared" si="70"/>
        <v>1738.41</v>
      </c>
      <c r="Q485" s="22">
        <f>'Форма 2'!K1783</f>
        <v>2831</v>
      </c>
      <c r="R485" s="38" t="s">
        <v>164</v>
      </c>
      <c r="S485" s="172">
        <v>1</v>
      </c>
      <c r="T485" s="33"/>
    </row>
    <row r="486" spans="1:20" s="21" customFormat="1" x14ac:dyDescent="0.35">
      <c r="A486" s="11">
        <f t="shared" si="71"/>
        <v>52</v>
      </c>
      <c r="B486" s="11">
        <v>588</v>
      </c>
      <c r="C486" s="37" t="s">
        <v>304</v>
      </c>
      <c r="D486" s="97">
        <v>1972</v>
      </c>
      <c r="E486" s="97" t="s">
        <v>75</v>
      </c>
      <c r="F486" s="97" t="s">
        <v>486</v>
      </c>
      <c r="G486" s="22">
        <v>2356.1</v>
      </c>
      <c r="H486" s="22">
        <v>1171.8</v>
      </c>
      <c r="I486" s="26">
        <v>75</v>
      </c>
      <c r="J486" s="22">
        <f>'Форма 2'!I1786</f>
        <v>2342896.92</v>
      </c>
      <c r="K486" s="22">
        <v>0</v>
      </c>
      <c r="L486" s="22">
        <v>0</v>
      </c>
      <c r="M486" s="22">
        <v>0</v>
      </c>
      <c r="N486" s="22">
        <f t="shared" si="69"/>
        <v>2342896.92</v>
      </c>
      <c r="O486" s="22">
        <v>0</v>
      </c>
      <c r="P486" s="22">
        <f t="shared" si="70"/>
        <v>1999.4</v>
      </c>
      <c r="Q486" s="22">
        <f>'Форма 2'!K1786</f>
        <v>2831</v>
      </c>
      <c r="R486" s="38" t="s">
        <v>164</v>
      </c>
      <c r="S486" s="172">
        <v>1</v>
      </c>
      <c r="T486" s="33"/>
    </row>
    <row r="487" spans="1:20" s="21" customFormat="1" x14ac:dyDescent="0.35">
      <c r="A487" s="11">
        <f t="shared" si="71"/>
        <v>53</v>
      </c>
      <c r="B487" s="109">
        <v>581</v>
      </c>
      <c r="C487" s="175" t="s">
        <v>561</v>
      </c>
      <c r="D487" s="97">
        <v>1972</v>
      </c>
      <c r="E487" s="96" t="s">
        <v>243</v>
      </c>
      <c r="F487" s="96" t="s">
        <v>155</v>
      </c>
      <c r="G487" s="22">
        <v>5296</v>
      </c>
      <c r="H487" s="22">
        <v>3817</v>
      </c>
      <c r="I487" s="108">
        <v>144</v>
      </c>
      <c r="J487" s="22">
        <f>'Форма 2'!I1789</f>
        <v>95425</v>
      </c>
      <c r="K487" s="22">
        <v>0</v>
      </c>
      <c r="L487" s="22">
        <v>0</v>
      </c>
      <c r="M487" s="22">
        <v>0</v>
      </c>
      <c r="N487" s="22">
        <f t="shared" si="69"/>
        <v>95425</v>
      </c>
      <c r="O487" s="22">
        <v>0</v>
      </c>
      <c r="P487" s="22">
        <f t="shared" si="70"/>
        <v>25</v>
      </c>
      <c r="Q487" s="22">
        <f>'Форма 2'!K1789</f>
        <v>25</v>
      </c>
      <c r="R487" s="38" t="s">
        <v>164</v>
      </c>
      <c r="S487" s="172">
        <v>1</v>
      </c>
      <c r="T487" s="33"/>
    </row>
    <row r="488" spans="1:20" s="194" customFormat="1" x14ac:dyDescent="0.35">
      <c r="A488" s="124">
        <f t="shared" si="71"/>
        <v>54</v>
      </c>
      <c r="B488" s="124">
        <v>554</v>
      </c>
      <c r="C488" s="37" t="s">
        <v>306</v>
      </c>
      <c r="D488" s="96">
        <v>1969</v>
      </c>
      <c r="E488" s="96" t="s">
        <v>267</v>
      </c>
      <c r="F488" s="96" t="s">
        <v>486</v>
      </c>
      <c r="G488" s="86">
        <v>3834</v>
      </c>
      <c r="H488" s="86">
        <v>3545.5</v>
      </c>
      <c r="I488" s="99">
        <v>127</v>
      </c>
      <c r="J488" s="86">
        <f>'Форма 2'!I1791</f>
        <v>6755578</v>
      </c>
      <c r="K488" s="86">
        <v>0</v>
      </c>
      <c r="L488" s="86">
        <v>0</v>
      </c>
      <c r="M488" s="86">
        <v>0</v>
      </c>
      <c r="N488" s="86">
        <f t="shared" si="69"/>
        <v>6755578</v>
      </c>
      <c r="O488" s="86">
        <v>0</v>
      </c>
      <c r="P488" s="86">
        <f t="shared" si="70"/>
        <v>1905.4</v>
      </c>
      <c r="Q488" s="86">
        <f>'Форма 2'!K1791</f>
        <v>3055</v>
      </c>
      <c r="R488" s="182" t="s">
        <v>164</v>
      </c>
      <c r="S488" s="183">
        <v>1</v>
      </c>
      <c r="T488" s="33"/>
    </row>
    <row r="489" spans="1:20" s="21" customFormat="1" x14ac:dyDescent="0.35">
      <c r="A489" s="11">
        <f t="shared" si="71"/>
        <v>55</v>
      </c>
      <c r="B489" s="109">
        <v>357</v>
      </c>
      <c r="C489" s="175" t="s">
        <v>562</v>
      </c>
      <c r="D489" s="97">
        <v>1960</v>
      </c>
      <c r="E489" s="97" t="s">
        <v>312</v>
      </c>
      <c r="F489" s="97" t="s">
        <v>155</v>
      </c>
      <c r="G489" s="22">
        <v>3250.08</v>
      </c>
      <c r="H489" s="22">
        <v>2588.5700000000002</v>
      </c>
      <c r="I489" s="176">
        <v>82</v>
      </c>
      <c r="J489" s="22">
        <f>'Форма 2'!I1798</f>
        <v>538422.56000000006</v>
      </c>
      <c r="K489" s="22">
        <v>0</v>
      </c>
      <c r="L489" s="22">
        <v>0</v>
      </c>
      <c r="M489" s="22">
        <v>0</v>
      </c>
      <c r="N489" s="22">
        <f>J489-K489-L489-M489-O489</f>
        <v>538422.56000000006</v>
      </c>
      <c r="O489" s="22">
        <v>0</v>
      </c>
      <c r="P489" s="22">
        <f t="shared" si="70"/>
        <v>208</v>
      </c>
      <c r="Q489" s="22">
        <f>'Форма 2'!K1798</f>
        <v>208</v>
      </c>
      <c r="R489" s="38" t="s">
        <v>164</v>
      </c>
      <c r="S489" s="172">
        <v>1</v>
      </c>
      <c r="T489" s="33"/>
    </row>
    <row r="490" spans="1:20" s="194" customFormat="1" x14ac:dyDescent="0.35">
      <c r="A490" s="124">
        <f t="shared" si="71"/>
        <v>56</v>
      </c>
      <c r="B490" s="195">
        <v>812</v>
      </c>
      <c r="C490" s="175" t="s">
        <v>748</v>
      </c>
      <c r="D490" s="96">
        <v>1986</v>
      </c>
      <c r="E490" s="96" t="s">
        <v>267</v>
      </c>
      <c r="F490" s="96" t="s">
        <v>155</v>
      </c>
      <c r="G490" s="86">
        <v>3795.9</v>
      </c>
      <c r="H490" s="86">
        <v>3238.46</v>
      </c>
      <c r="I490" s="108">
        <v>122</v>
      </c>
      <c r="J490" s="86">
        <f>'Форма 2'!I1801</f>
        <v>420999.8</v>
      </c>
      <c r="K490" s="86">
        <v>0</v>
      </c>
      <c r="L490" s="86">
        <v>0</v>
      </c>
      <c r="M490" s="86">
        <v>0</v>
      </c>
      <c r="N490" s="86">
        <f>J490-K490-L490-M490-O490</f>
        <v>420999.8</v>
      </c>
      <c r="O490" s="86">
        <v>0</v>
      </c>
      <c r="P490" s="86">
        <f t="shared" si="70"/>
        <v>130</v>
      </c>
      <c r="Q490" s="86">
        <f>'Форма 2'!K1801</f>
        <v>130</v>
      </c>
      <c r="R490" s="182" t="s">
        <v>164</v>
      </c>
      <c r="S490" s="183">
        <v>1</v>
      </c>
      <c r="T490" s="33"/>
    </row>
    <row r="491" spans="1:20" s="21" customFormat="1" x14ac:dyDescent="0.35">
      <c r="A491" s="11">
        <f t="shared" si="71"/>
        <v>57</v>
      </c>
      <c r="B491" s="11">
        <v>576</v>
      </c>
      <c r="C491" s="37" t="s">
        <v>308</v>
      </c>
      <c r="D491" s="97">
        <v>1970</v>
      </c>
      <c r="E491" s="97" t="s">
        <v>75</v>
      </c>
      <c r="F491" s="97" t="s">
        <v>486</v>
      </c>
      <c r="G491" s="22">
        <v>3161.6</v>
      </c>
      <c r="H491" s="22">
        <v>2984.6</v>
      </c>
      <c r="I491" s="26">
        <v>198</v>
      </c>
      <c r="J491" s="22">
        <f>'Форма 2'!I1805</f>
        <v>5477861.7800000003</v>
      </c>
      <c r="K491" s="22">
        <v>0</v>
      </c>
      <c r="L491" s="22">
        <v>0</v>
      </c>
      <c r="M491" s="22">
        <v>0</v>
      </c>
      <c r="N491" s="22">
        <f t="shared" si="69"/>
        <v>5477861.7800000003</v>
      </c>
      <c r="O491" s="22">
        <v>0</v>
      </c>
      <c r="P491" s="22">
        <f t="shared" si="70"/>
        <v>1835.38</v>
      </c>
      <c r="Q491" s="22">
        <f>'Форма 2'!K1805</f>
        <v>2831</v>
      </c>
      <c r="R491" s="38" t="s">
        <v>164</v>
      </c>
      <c r="S491" s="172">
        <v>1</v>
      </c>
      <c r="T491" s="33"/>
    </row>
    <row r="492" spans="1:20" s="194" customFormat="1" ht="31" x14ac:dyDescent="0.35">
      <c r="A492" s="124">
        <f t="shared" si="71"/>
        <v>58</v>
      </c>
      <c r="B492" s="195">
        <v>572</v>
      </c>
      <c r="C492" s="175" t="s">
        <v>563</v>
      </c>
      <c r="D492" s="96">
        <v>1971</v>
      </c>
      <c r="E492" s="96" t="s">
        <v>804</v>
      </c>
      <c r="F492" s="96" t="s">
        <v>155</v>
      </c>
      <c r="G492" s="86">
        <v>5297.88</v>
      </c>
      <c r="H492" s="86">
        <v>4481.4799999999996</v>
      </c>
      <c r="I492" s="176">
        <v>169</v>
      </c>
      <c r="J492" s="86">
        <f>'Форма 2'!I1808</f>
        <v>694629.4</v>
      </c>
      <c r="K492" s="86">
        <v>0</v>
      </c>
      <c r="L492" s="86">
        <v>0</v>
      </c>
      <c r="M492" s="86">
        <v>0</v>
      </c>
      <c r="N492" s="86">
        <f t="shared" si="69"/>
        <v>694629.4</v>
      </c>
      <c r="O492" s="86">
        <v>0</v>
      </c>
      <c r="P492" s="86">
        <f t="shared" si="70"/>
        <v>155</v>
      </c>
      <c r="Q492" s="86">
        <f>'Форма 2'!K1808</f>
        <v>155</v>
      </c>
      <c r="R492" s="182" t="s">
        <v>164</v>
      </c>
      <c r="S492" s="183">
        <v>1</v>
      </c>
      <c r="T492" s="33"/>
    </row>
    <row r="493" spans="1:20" s="21" customFormat="1" x14ac:dyDescent="0.35">
      <c r="A493" s="11">
        <f t="shared" si="71"/>
        <v>59</v>
      </c>
      <c r="B493" s="11">
        <v>587</v>
      </c>
      <c r="C493" s="37" t="s">
        <v>309</v>
      </c>
      <c r="D493" s="97">
        <v>1972</v>
      </c>
      <c r="E493" s="97" t="s">
        <v>75</v>
      </c>
      <c r="F493" s="97" t="s">
        <v>486</v>
      </c>
      <c r="G493" s="22">
        <v>1950</v>
      </c>
      <c r="H493" s="22">
        <v>1802</v>
      </c>
      <c r="I493" s="26">
        <v>84</v>
      </c>
      <c r="J493" s="22">
        <f>'Форма 2'!I1813</f>
        <v>3602918.8</v>
      </c>
      <c r="K493" s="22">
        <v>0</v>
      </c>
      <c r="L493" s="22">
        <v>0</v>
      </c>
      <c r="M493" s="22">
        <v>0</v>
      </c>
      <c r="N493" s="22">
        <f t="shared" si="69"/>
        <v>3602918.8</v>
      </c>
      <c r="O493" s="22">
        <v>0</v>
      </c>
      <c r="P493" s="22">
        <f t="shared" si="70"/>
        <v>1999.4</v>
      </c>
      <c r="Q493" s="22">
        <f>'Форма 2'!K1813</f>
        <v>2831</v>
      </c>
      <c r="R493" s="38" t="s">
        <v>164</v>
      </c>
      <c r="S493" s="172">
        <v>1</v>
      </c>
      <c r="T493" s="33"/>
    </row>
    <row r="494" spans="1:20" s="21" customFormat="1" x14ac:dyDescent="0.35">
      <c r="A494" s="11">
        <f t="shared" si="71"/>
        <v>60</v>
      </c>
      <c r="B494" s="109">
        <v>892</v>
      </c>
      <c r="C494" s="175" t="s">
        <v>749</v>
      </c>
      <c r="D494" s="97">
        <v>1994</v>
      </c>
      <c r="E494" s="97" t="s">
        <v>75</v>
      </c>
      <c r="F494" s="97" t="s">
        <v>155</v>
      </c>
      <c r="G494" s="22">
        <v>6442</v>
      </c>
      <c r="H494" s="22">
        <v>5909.15</v>
      </c>
      <c r="I494" s="108">
        <v>223</v>
      </c>
      <c r="J494" s="22">
        <f>'Форма 2'!I1816</f>
        <v>862735.9</v>
      </c>
      <c r="K494" s="22">
        <v>0</v>
      </c>
      <c r="L494" s="22">
        <v>0</v>
      </c>
      <c r="M494" s="22">
        <v>0</v>
      </c>
      <c r="N494" s="22">
        <f t="shared" si="69"/>
        <v>862735.9</v>
      </c>
      <c r="O494" s="22">
        <v>0</v>
      </c>
      <c r="P494" s="22">
        <f t="shared" si="70"/>
        <v>146</v>
      </c>
      <c r="Q494" s="22">
        <f>'Форма 2'!K1816</f>
        <v>146</v>
      </c>
      <c r="R494" s="38" t="s">
        <v>164</v>
      </c>
      <c r="S494" s="172">
        <v>1</v>
      </c>
      <c r="T494" s="33"/>
    </row>
    <row r="495" spans="1:20" s="21" customFormat="1" x14ac:dyDescent="0.35">
      <c r="A495" s="11">
        <f t="shared" si="71"/>
        <v>61</v>
      </c>
      <c r="B495" s="109">
        <v>828</v>
      </c>
      <c r="C495" s="175" t="s">
        <v>750</v>
      </c>
      <c r="D495" s="97">
        <v>1988</v>
      </c>
      <c r="E495" s="97" t="s">
        <v>75</v>
      </c>
      <c r="F495" s="97" t="s">
        <v>155</v>
      </c>
      <c r="G495" s="22">
        <v>14358.52</v>
      </c>
      <c r="H495" s="22">
        <v>11340.2</v>
      </c>
      <c r="I495" s="108">
        <v>479</v>
      </c>
      <c r="J495" s="22">
        <f>'Форма 2'!I1818</f>
        <v>1859792.8</v>
      </c>
      <c r="K495" s="22">
        <v>0</v>
      </c>
      <c r="L495" s="22">
        <v>0</v>
      </c>
      <c r="M495" s="22">
        <v>0</v>
      </c>
      <c r="N495" s="22">
        <f t="shared" si="69"/>
        <v>1859792.8</v>
      </c>
      <c r="O495" s="22">
        <v>0</v>
      </c>
      <c r="P495" s="22">
        <f t="shared" si="70"/>
        <v>164</v>
      </c>
      <c r="Q495" s="22">
        <f>'Форма 2'!K1818</f>
        <v>164</v>
      </c>
      <c r="R495" s="38" t="s">
        <v>164</v>
      </c>
      <c r="S495" s="172">
        <v>1</v>
      </c>
      <c r="T495" s="33"/>
    </row>
    <row r="496" spans="1:20" s="194" customFormat="1" x14ac:dyDescent="0.35">
      <c r="A496" s="124">
        <f t="shared" si="71"/>
        <v>62</v>
      </c>
      <c r="B496" s="195">
        <v>283</v>
      </c>
      <c r="C496" s="175" t="s">
        <v>101</v>
      </c>
      <c r="D496" s="96">
        <v>1958</v>
      </c>
      <c r="E496" s="96" t="s">
        <v>564</v>
      </c>
      <c r="F496" s="96" t="s">
        <v>155</v>
      </c>
      <c r="G496" s="86">
        <v>2186.8000000000002</v>
      </c>
      <c r="H496" s="86">
        <v>2005.9</v>
      </c>
      <c r="I496" s="108">
        <v>76</v>
      </c>
      <c r="J496" s="86">
        <f>'Форма 2'!I1820</f>
        <v>651917.5</v>
      </c>
      <c r="K496" s="86">
        <v>0</v>
      </c>
      <c r="L496" s="86">
        <v>0</v>
      </c>
      <c r="M496" s="86">
        <v>0</v>
      </c>
      <c r="N496" s="86">
        <f t="shared" si="69"/>
        <v>651917.5</v>
      </c>
      <c r="O496" s="86">
        <v>0</v>
      </c>
      <c r="P496" s="86">
        <f t="shared" si="70"/>
        <v>325</v>
      </c>
      <c r="Q496" s="86">
        <f>'Форма 2'!K1820</f>
        <v>325</v>
      </c>
      <c r="R496" s="182" t="s">
        <v>164</v>
      </c>
      <c r="S496" s="183">
        <v>1</v>
      </c>
      <c r="T496" s="33"/>
    </row>
    <row r="497" spans="1:20" s="21" customFormat="1" x14ac:dyDescent="0.35">
      <c r="A497" s="11">
        <f t="shared" si="71"/>
        <v>63</v>
      </c>
      <c r="B497" s="11">
        <v>599</v>
      </c>
      <c r="C497" s="37" t="s">
        <v>316</v>
      </c>
      <c r="D497" s="97">
        <v>1973</v>
      </c>
      <c r="E497" s="96" t="s">
        <v>293</v>
      </c>
      <c r="F497" s="96" t="s">
        <v>163</v>
      </c>
      <c r="G497" s="22">
        <v>3512.6</v>
      </c>
      <c r="H497" s="22">
        <v>3148.6</v>
      </c>
      <c r="I497" s="26">
        <v>126</v>
      </c>
      <c r="J497" s="22">
        <f>'Форма 2'!I1824</f>
        <v>180099.91</v>
      </c>
      <c r="K497" s="22">
        <v>0</v>
      </c>
      <c r="L497" s="22">
        <v>0</v>
      </c>
      <c r="M497" s="22">
        <v>0</v>
      </c>
      <c r="N497" s="22">
        <f t="shared" si="69"/>
        <v>180099.91</v>
      </c>
      <c r="O497" s="22">
        <v>0</v>
      </c>
      <c r="P497" s="22">
        <f t="shared" si="70"/>
        <v>57.2</v>
      </c>
      <c r="Q497" s="22">
        <f>'Форма 2'!K1824</f>
        <v>172</v>
      </c>
      <c r="R497" s="38" t="s">
        <v>498</v>
      </c>
      <c r="S497" s="172">
        <v>1</v>
      </c>
      <c r="T497" s="33"/>
    </row>
    <row r="498" spans="1:20" s="21" customFormat="1" x14ac:dyDescent="0.35">
      <c r="A498" s="11">
        <f t="shared" si="71"/>
        <v>64</v>
      </c>
      <c r="B498" s="109">
        <v>453</v>
      </c>
      <c r="C498" s="175" t="s">
        <v>317</v>
      </c>
      <c r="D498" s="97">
        <v>1963</v>
      </c>
      <c r="E498" s="96" t="s">
        <v>293</v>
      </c>
      <c r="F498" s="96" t="s">
        <v>155</v>
      </c>
      <c r="G498" s="22">
        <v>2714.9</v>
      </c>
      <c r="H498" s="22">
        <v>2382.92</v>
      </c>
      <c r="I498" s="108">
        <v>90</v>
      </c>
      <c r="J498" s="22">
        <f>'Форма 2'!I1827</f>
        <v>28595.040000000001</v>
      </c>
      <c r="K498" s="22">
        <v>0</v>
      </c>
      <c r="L498" s="22">
        <v>0</v>
      </c>
      <c r="M498" s="22">
        <v>0</v>
      </c>
      <c r="N498" s="22">
        <f t="shared" si="69"/>
        <v>28595.040000000001</v>
      </c>
      <c r="O498" s="22">
        <v>0</v>
      </c>
      <c r="P498" s="22">
        <f t="shared" si="70"/>
        <v>12</v>
      </c>
      <c r="Q498" s="22">
        <f>'Форма 2'!K1827</f>
        <v>12</v>
      </c>
      <c r="R498" s="38" t="s">
        <v>164</v>
      </c>
      <c r="S498" s="172">
        <v>1</v>
      </c>
      <c r="T498" s="33"/>
    </row>
    <row r="499" spans="1:20" s="194" customFormat="1" x14ac:dyDescent="0.35">
      <c r="A499" s="124">
        <f t="shared" si="71"/>
        <v>65</v>
      </c>
      <c r="B499" s="195">
        <v>877</v>
      </c>
      <c r="C499" s="175" t="s">
        <v>751</v>
      </c>
      <c r="D499" s="96">
        <v>1991</v>
      </c>
      <c r="E499" s="96" t="s">
        <v>267</v>
      </c>
      <c r="F499" s="96" t="s">
        <v>155</v>
      </c>
      <c r="G499" s="86">
        <v>1678.9</v>
      </c>
      <c r="H499" s="86">
        <v>1533.7</v>
      </c>
      <c r="I499" s="108">
        <v>58</v>
      </c>
      <c r="J499" s="86">
        <f>'Форма 2'!I1829</f>
        <v>237723.5</v>
      </c>
      <c r="K499" s="86">
        <v>0</v>
      </c>
      <c r="L499" s="86">
        <v>0</v>
      </c>
      <c r="M499" s="86">
        <v>0</v>
      </c>
      <c r="N499" s="86">
        <f t="shared" ref="N499:N509" si="72">J499-K499-L499-M499-O499</f>
        <v>237723.5</v>
      </c>
      <c r="O499" s="86">
        <v>0</v>
      </c>
      <c r="P499" s="86">
        <f t="shared" ref="P499:P509" si="73">J499/H499</f>
        <v>155</v>
      </c>
      <c r="Q499" s="86">
        <f>'Форма 2'!K1829</f>
        <v>155</v>
      </c>
      <c r="R499" s="182" t="s">
        <v>164</v>
      </c>
      <c r="S499" s="183">
        <v>1</v>
      </c>
      <c r="T499" s="33"/>
    </row>
    <row r="500" spans="1:20" s="21" customFormat="1" x14ac:dyDescent="0.35">
      <c r="A500" s="11">
        <f t="shared" si="71"/>
        <v>66</v>
      </c>
      <c r="B500" s="109">
        <v>514</v>
      </c>
      <c r="C500" s="175" t="s">
        <v>102</v>
      </c>
      <c r="D500" s="97">
        <v>1966</v>
      </c>
      <c r="E500" s="96" t="s">
        <v>565</v>
      </c>
      <c r="F500" s="96" t="s">
        <v>155</v>
      </c>
      <c r="G500" s="22">
        <v>3364</v>
      </c>
      <c r="H500" s="22">
        <v>3096.4</v>
      </c>
      <c r="I500" s="108">
        <v>117</v>
      </c>
      <c r="J500" s="22">
        <f>'Форма 2'!I1833</f>
        <v>532580.80000000005</v>
      </c>
      <c r="K500" s="22">
        <v>0</v>
      </c>
      <c r="L500" s="22">
        <v>0</v>
      </c>
      <c r="M500" s="22">
        <v>0</v>
      </c>
      <c r="N500" s="22">
        <f t="shared" si="72"/>
        <v>532580.80000000005</v>
      </c>
      <c r="O500" s="22">
        <v>0</v>
      </c>
      <c r="P500" s="22">
        <f t="shared" si="73"/>
        <v>172</v>
      </c>
      <c r="Q500" s="22">
        <f>'Форма 2'!K1833</f>
        <v>172</v>
      </c>
      <c r="R500" s="38" t="s">
        <v>164</v>
      </c>
      <c r="S500" s="172">
        <v>1</v>
      </c>
      <c r="T500" s="33"/>
    </row>
    <row r="501" spans="1:20" s="21" customFormat="1" x14ac:dyDescent="0.35">
      <c r="A501" s="11">
        <f t="shared" ref="A501:A509" si="74">A500+1</f>
        <v>67</v>
      </c>
      <c r="B501" s="11">
        <v>159</v>
      </c>
      <c r="C501" s="37" t="s">
        <v>103</v>
      </c>
      <c r="D501" s="97">
        <v>1951</v>
      </c>
      <c r="E501" s="96" t="s">
        <v>282</v>
      </c>
      <c r="F501" s="96" t="s">
        <v>155</v>
      </c>
      <c r="G501" s="22">
        <v>1798.4</v>
      </c>
      <c r="H501" s="22">
        <v>1087.8</v>
      </c>
      <c r="I501" s="26">
        <v>103</v>
      </c>
      <c r="J501" s="22">
        <f>'Форма 2'!I1836</f>
        <v>72882.600000000006</v>
      </c>
      <c r="K501" s="22">
        <v>0</v>
      </c>
      <c r="L501" s="22">
        <v>0</v>
      </c>
      <c r="M501" s="22">
        <v>0</v>
      </c>
      <c r="N501" s="22">
        <f>J501-K501-L501-M501-O501</f>
        <v>72882.600000000006</v>
      </c>
      <c r="O501" s="22">
        <v>0</v>
      </c>
      <c r="P501" s="22">
        <f t="shared" si="73"/>
        <v>67</v>
      </c>
      <c r="Q501" s="22">
        <f>'Форма 2'!K1836</f>
        <v>67</v>
      </c>
      <c r="R501" s="38" t="s">
        <v>164</v>
      </c>
      <c r="S501" s="172">
        <v>1</v>
      </c>
      <c r="T501" s="33"/>
    </row>
    <row r="502" spans="1:20" s="194" customFormat="1" x14ac:dyDescent="0.35">
      <c r="A502" s="124">
        <f t="shared" si="74"/>
        <v>68</v>
      </c>
      <c r="B502" s="195">
        <v>476</v>
      </c>
      <c r="C502" s="175" t="s">
        <v>104</v>
      </c>
      <c r="D502" s="96">
        <v>1964</v>
      </c>
      <c r="E502" s="96" t="s">
        <v>267</v>
      </c>
      <c r="F502" s="96" t="s">
        <v>155</v>
      </c>
      <c r="G502" s="86">
        <v>3416.66</v>
      </c>
      <c r="H502" s="86">
        <v>3176.66</v>
      </c>
      <c r="I502" s="176">
        <v>120</v>
      </c>
      <c r="J502" s="86">
        <f>'Форма 2'!I1839</f>
        <v>412965.8</v>
      </c>
      <c r="K502" s="86">
        <v>0</v>
      </c>
      <c r="L502" s="86">
        <v>0</v>
      </c>
      <c r="M502" s="86">
        <v>0</v>
      </c>
      <c r="N502" s="86">
        <f t="shared" si="72"/>
        <v>412965.8</v>
      </c>
      <c r="O502" s="86">
        <v>0</v>
      </c>
      <c r="P502" s="86">
        <f t="shared" si="73"/>
        <v>130</v>
      </c>
      <c r="Q502" s="86">
        <f>'Форма 2'!K1839</f>
        <v>130</v>
      </c>
      <c r="R502" s="182" t="s">
        <v>164</v>
      </c>
      <c r="S502" s="183">
        <v>1</v>
      </c>
      <c r="T502" s="33"/>
    </row>
    <row r="503" spans="1:20" s="194" customFormat="1" ht="46.5" x14ac:dyDescent="0.35">
      <c r="A503" s="124">
        <f t="shared" si="74"/>
        <v>69</v>
      </c>
      <c r="B503" s="195">
        <v>555</v>
      </c>
      <c r="C503" s="175" t="s">
        <v>322</v>
      </c>
      <c r="D503" s="96">
        <v>1969</v>
      </c>
      <c r="E503" s="96" t="s">
        <v>786</v>
      </c>
      <c r="F503" s="96" t="s">
        <v>186</v>
      </c>
      <c r="G503" s="86">
        <v>2721.2</v>
      </c>
      <c r="H503" s="86">
        <v>2510.5</v>
      </c>
      <c r="I503" s="176">
        <v>95</v>
      </c>
      <c r="J503" s="86">
        <f>'Форма 2'!I1843</f>
        <v>17985089.280000001</v>
      </c>
      <c r="K503" s="86">
        <v>0</v>
      </c>
      <c r="L503" s="86">
        <v>0</v>
      </c>
      <c r="M503" s="86">
        <v>0</v>
      </c>
      <c r="N503" s="86">
        <f t="shared" si="72"/>
        <v>17985089.280000001</v>
      </c>
      <c r="O503" s="86">
        <v>0</v>
      </c>
      <c r="P503" s="86">
        <f t="shared" si="73"/>
        <v>7163.95</v>
      </c>
      <c r="Q503" s="86">
        <f>'Форма 2'!K1843</f>
        <v>7164</v>
      </c>
      <c r="R503" s="182" t="s">
        <v>164</v>
      </c>
      <c r="S503" s="183">
        <v>1</v>
      </c>
      <c r="T503" s="33"/>
    </row>
    <row r="504" spans="1:20" s="194" customFormat="1" ht="31" x14ac:dyDescent="0.35">
      <c r="A504" s="124">
        <f t="shared" si="74"/>
        <v>70</v>
      </c>
      <c r="B504" s="195">
        <v>601</v>
      </c>
      <c r="C504" s="175" t="s">
        <v>566</v>
      </c>
      <c r="D504" s="96">
        <v>1973</v>
      </c>
      <c r="E504" s="96" t="s">
        <v>804</v>
      </c>
      <c r="F504" s="96" t="s">
        <v>155</v>
      </c>
      <c r="G504" s="86">
        <v>3244</v>
      </c>
      <c r="H504" s="86">
        <v>2902</v>
      </c>
      <c r="I504" s="176">
        <v>112</v>
      </c>
      <c r="J504" s="86">
        <f>'Форма 2'!I1859</f>
        <v>522360</v>
      </c>
      <c r="K504" s="86">
        <v>0</v>
      </c>
      <c r="L504" s="86">
        <v>0</v>
      </c>
      <c r="M504" s="86">
        <v>0</v>
      </c>
      <c r="N504" s="86">
        <f t="shared" si="72"/>
        <v>522360</v>
      </c>
      <c r="O504" s="86">
        <v>0</v>
      </c>
      <c r="P504" s="86">
        <f t="shared" si="73"/>
        <v>180</v>
      </c>
      <c r="Q504" s="86">
        <f>'Форма 2'!K1859</f>
        <v>180</v>
      </c>
      <c r="R504" s="182" t="s">
        <v>164</v>
      </c>
      <c r="S504" s="183">
        <v>1</v>
      </c>
      <c r="T504" s="33"/>
    </row>
    <row r="505" spans="1:20" s="21" customFormat="1" x14ac:dyDescent="0.35">
      <c r="A505" s="11">
        <f t="shared" si="74"/>
        <v>71</v>
      </c>
      <c r="B505" s="109">
        <v>119</v>
      </c>
      <c r="C505" s="175" t="s">
        <v>105</v>
      </c>
      <c r="D505" s="97">
        <v>1946</v>
      </c>
      <c r="E505" s="96" t="s">
        <v>75</v>
      </c>
      <c r="F505" s="96" t="s">
        <v>155</v>
      </c>
      <c r="G505" s="22">
        <v>833.1</v>
      </c>
      <c r="H505" s="22">
        <v>811.7</v>
      </c>
      <c r="I505" s="84">
        <v>31</v>
      </c>
      <c r="J505" s="22">
        <f>'Форма 2'!I1864</f>
        <v>144482.6</v>
      </c>
      <c r="K505" s="22">
        <v>0</v>
      </c>
      <c r="L505" s="22">
        <v>0</v>
      </c>
      <c r="M505" s="22">
        <v>0</v>
      </c>
      <c r="N505" s="22">
        <f t="shared" si="72"/>
        <v>144482.6</v>
      </c>
      <c r="O505" s="22">
        <v>0</v>
      </c>
      <c r="P505" s="22">
        <f t="shared" si="73"/>
        <v>178</v>
      </c>
      <c r="Q505" s="22">
        <f>'Форма 2'!K1864</f>
        <v>178</v>
      </c>
      <c r="R505" s="38" t="s">
        <v>164</v>
      </c>
      <c r="S505" s="172">
        <v>1</v>
      </c>
      <c r="T505" s="33"/>
    </row>
    <row r="506" spans="1:20" s="21" customFormat="1" x14ac:dyDescent="0.35">
      <c r="A506" s="11">
        <f t="shared" si="74"/>
        <v>72</v>
      </c>
      <c r="B506" s="109">
        <v>179</v>
      </c>
      <c r="C506" s="175" t="s">
        <v>106</v>
      </c>
      <c r="D506" s="97">
        <v>1953</v>
      </c>
      <c r="E506" s="96" t="s">
        <v>75</v>
      </c>
      <c r="F506" s="96" t="s">
        <v>155</v>
      </c>
      <c r="G506" s="22">
        <v>910.9</v>
      </c>
      <c r="H506" s="22">
        <v>840.9</v>
      </c>
      <c r="I506" s="108">
        <v>32</v>
      </c>
      <c r="J506" s="22">
        <f>'Форма 2'!I1866</f>
        <v>149680.20000000001</v>
      </c>
      <c r="K506" s="22">
        <v>0</v>
      </c>
      <c r="L506" s="22">
        <v>0</v>
      </c>
      <c r="M506" s="22">
        <v>0</v>
      </c>
      <c r="N506" s="22">
        <f t="shared" si="72"/>
        <v>149680.20000000001</v>
      </c>
      <c r="O506" s="22">
        <v>0</v>
      </c>
      <c r="P506" s="22">
        <f t="shared" si="73"/>
        <v>178</v>
      </c>
      <c r="Q506" s="22">
        <f>'Форма 2'!K1866</f>
        <v>178</v>
      </c>
      <c r="R506" s="38" t="s">
        <v>164</v>
      </c>
      <c r="S506" s="172">
        <v>1</v>
      </c>
      <c r="T506" s="33"/>
    </row>
    <row r="507" spans="1:20" s="21" customFormat="1" x14ac:dyDescent="0.35">
      <c r="A507" s="11">
        <f t="shared" si="74"/>
        <v>73</v>
      </c>
      <c r="B507" s="109">
        <v>244</v>
      </c>
      <c r="C507" s="175" t="s">
        <v>107</v>
      </c>
      <c r="D507" s="97">
        <v>1956</v>
      </c>
      <c r="E507" s="96" t="s">
        <v>75</v>
      </c>
      <c r="F507" s="96" t="s">
        <v>155</v>
      </c>
      <c r="G507" s="22">
        <v>4145.63</v>
      </c>
      <c r="H507" s="22">
        <v>3721.87</v>
      </c>
      <c r="I507" s="108">
        <v>141</v>
      </c>
      <c r="J507" s="22">
        <f>'Форма 2'!I1868</f>
        <v>662492.86</v>
      </c>
      <c r="K507" s="22">
        <v>0</v>
      </c>
      <c r="L507" s="22">
        <v>0</v>
      </c>
      <c r="M507" s="22">
        <v>0</v>
      </c>
      <c r="N507" s="22">
        <f t="shared" si="72"/>
        <v>662492.86</v>
      </c>
      <c r="O507" s="22">
        <v>0</v>
      </c>
      <c r="P507" s="22">
        <f t="shared" si="73"/>
        <v>178</v>
      </c>
      <c r="Q507" s="22">
        <f>'Форма 2'!K1868</f>
        <v>178</v>
      </c>
      <c r="R507" s="38" t="s">
        <v>164</v>
      </c>
      <c r="S507" s="172">
        <v>1</v>
      </c>
      <c r="T507" s="33"/>
    </row>
    <row r="508" spans="1:20" s="21" customFormat="1" x14ac:dyDescent="0.35">
      <c r="A508" s="11">
        <f t="shared" si="74"/>
        <v>74</v>
      </c>
      <c r="B508" s="11">
        <v>508</v>
      </c>
      <c r="C508" s="37" t="s">
        <v>323</v>
      </c>
      <c r="D508" s="97">
        <v>1965</v>
      </c>
      <c r="E508" s="97" t="s">
        <v>75</v>
      </c>
      <c r="F508" s="97" t="s">
        <v>486</v>
      </c>
      <c r="G508" s="22">
        <v>2757.88</v>
      </c>
      <c r="H508" s="22">
        <v>2539.88</v>
      </c>
      <c r="I508" s="26">
        <v>116</v>
      </c>
      <c r="J508" s="22">
        <f>'Форма 2'!I1870</f>
        <v>3707256.97</v>
      </c>
      <c r="K508" s="22">
        <v>0</v>
      </c>
      <c r="L508" s="22">
        <v>0</v>
      </c>
      <c r="M508" s="22">
        <v>0</v>
      </c>
      <c r="N508" s="22">
        <f t="shared" si="72"/>
        <v>3707256.97</v>
      </c>
      <c r="O508" s="22">
        <v>0</v>
      </c>
      <c r="P508" s="22">
        <f t="shared" si="73"/>
        <v>1459.62</v>
      </c>
      <c r="Q508" s="22">
        <f>'Форма 2'!K1870</f>
        <v>2831</v>
      </c>
      <c r="R508" s="38" t="s">
        <v>164</v>
      </c>
      <c r="S508" s="172">
        <v>1</v>
      </c>
      <c r="T508" s="33"/>
    </row>
    <row r="509" spans="1:20" s="21" customFormat="1" x14ac:dyDescent="0.35">
      <c r="A509" s="11">
        <f t="shared" si="74"/>
        <v>75</v>
      </c>
      <c r="B509" s="11">
        <v>610</v>
      </c>
      <c r="C509" s="37" t="s">
        <v>325</v>
      </c>
      <c r="D509" s="97">
        <v>1973</v>
      </c>
      <c r="E509" s="97" t="s">
        <v>75</v>
      </c>
      <c r="F509" s="97" t="s">
        <v>486</v>
      </c>
      <c r="G509" s="22">
        <v>2230.1799999999998</v>
      </c>
      <c r="H509" s="22">
        <v>2077.6</v>
      </c>
      <c r="I509" s="26">
        <v>67</v>
      </c>
      <c r="J509" s="22">
        <f>'Форма 2'!I1873</f>
        <v>4153953.44</v>
      </c>
      <c r="K509" s="22">
        <v>0</v>
      </c>
      <c r="L509" s="22">
        <v>0</v>
      </c>
      <c r="M509" s="22">
        <v>0</v>
      </c>
      <c r="N509" s="22">
        <f t="shared" si="72"/>
        <v>4153953.44</v>
      </c>
      <c r="O509" s="22">
        <v>0</v>
      </c>
      <c r="P509" s="22">
        <f t="shared" si="73"/>
        <v>1999.4</v>
      </c>
      <c r="Q509" s="22">
        <f>'Форма 2'!K1873</f>
        <v>2831</v>
      </c>
      <c r="R509" s="38" t="s">
        <v>164</v>
      </c>
      <c r="S509" s="172">
        <v>1</v>
      </c>
      <c r="T509" s="33"/>
    </row>
    <row r="510" spans="1:20" s="21" customFormat="1" x14ac:dyDescent="0.35">
      <c r="A510" s="227" t="s">
        <v>327</v>
      </c>
      <c r="B510" s="227"/>
      <c r="C510" s="227"/>
      <c r="D510" s="97" t="s">
        <v>13</v>
      </c>
      <c r="E510" s="97" t="s">
        <v>13</v>
      </c>
      <c r="F510" s="97" t="s">
        <v>13</v>
      </c>
      <c r="G510" s="22">
        <f>SUM(G511:G557)</f>
        <v>230497.94</v>
      </c>
      <c r="H510" s="22">
        <f t="shared" ref="H510:O510" si="75">SUM(H511:H557)</f>
        <v>200667.58</v>
      </c>
      <c r="I510" s="26">
        <f t="shared" si="75"/>
        <v>8521</v>
      </c>
      <c r="J510" s="22">
        <f t="shared" si="75"/>
        <v>172458846.19</v>
      </c>
      <c r="K510" s="22">
        <f t="shared" si="75"/>
        <v>0</v>
      </c>
      <c r="L510" s="22">
        <f t="shared" si="75"/>
        <v>0</v>
      </c>
      <c r="M510" s="22">
        <f t="shared" si="75"/>
        <v>0</v>
      </c>
      <c r="N510" s="22">
        <f t="shared" si="75"/>
        <v>172458846.19</v>
      </c>
      <c r="O510" s="22">
        <f t="shared" si="75"/>
        <v>0</v>
      </c>
      <c r="P510" s="22" t="s">
        <v>13</v>
      </c>
      <c r="Q510" s="22" t="s">
        <v>13</v>
      </c>
      <c r="R510" s="38" t="s">
        <v>13</v>
      </c>
      <c r="S510" s="172" t="s">
        <v>13</v>
      </c>
      <c r="T510" s="33"/>
    </row>
    <row r="511" spans="1:20" s="21" customFormat="1" x14ac:dyDescent="0.35">
      <c r="A511" s="11">
        <f>A509+1</f>
        <v>76</v>
      </c>
      <c r="B511" s="109">
        <v>1836</v>
      </c>
      <c r="C511" s="175" t="s">
        <v>752</v>
      </c>
      <c r="D511" s="97">
        <v>1990</v>
      </c>
      <c r="E511" s="96" t="s">
        <v>75</v>
      </c>
      <c r="F511" s="96" t="s">
        <v>155</v>
      </c>
      <c r="G511" s="22">
        <v>10583.9</v>
      </c>
      <c r="H511" s="22">
        <v>7452.1</v>
      </c>
      <c r="I511" s="108">
        <v>282</v>
      </c>
      <c r="J511" s="22">
        <f>'Форма 2'!I1876</f>
        <v>1088006.6000000001</v>
      </c>
      <c r="K511" s="22">
        <v>0</v>
      </c>
      <c r="L511" s="22">
        <v>0</v>
      </c>
      <c r="M511" s="22">
        <v>0</v>
      </c>
      <c r="N511" s="22">
        <f t="shared" ref="N511:N557" si="76">J511-K511-L511-M511-O511</f>
        <v>1088006.6000000001</v>
      </c>
      <c r="O511" s="22">
        <v>0</v>
      </c>
      <c r="P511" s="22">
        <f t="shared" ref="P511:P557" si="77">J511/H511</f>
        <v>146</v>
      </c>
      <c r="Q511" s="22">
        <f>'Форма 2'!K1876</f>
        <v>146</v>
      </c>
      <c r="R511" s="38" t="s">
        <v>164</v>
      </c>
      <c r="S511" s="172">
        <v>1</v>
      </c>
      <c r="T511" s="33"/>
    </row>
    <row r="512" spans="1:20" s="21" customFormat="1" x14ac:dyDescent="0.35">
      <c r="A512" s="11">
        <f>A511+1</f>
        <v>77</v>
      </c>
      <c r="B512" s="11">
        <v>1846</v>
      </c>
      <c r="C512" s="37" t="s">
        <v>328</v>
      </c>
      <c r="D512" s="97">
        <v>1972</v>
      </c>
      <c r="E512" s="97" t="s">
        <v>75</v>
      </c>
      <c r="F512" s="97" t="s">
        <v>486</v>
      </c>
      <c r="G512" s="22">
        <v>4294.7</v>
      </c>
      <c r="H512" s="22">
        <v>3875.5</v>
      </c>
      <c r="I512" s="26">
        <v>146</v>
      </c>
      <c r="J512" s="22">
        <f>'Форма 2'!I1878</f>
        <v>8711400.1400000006</v>
      </c>
      <c r="K512" s="22">
        <v>0</v>
      </c>
      <c r="L512" s="22">
        <v>0</v>
      </c>
      <c r="M512" s="22">
        <v>0</v>
      </c>
      <c r="N512" s="22">
        <f t="shared" si="76"/>
        <v>8711400.1400000006</v>
      </c>
      <c r="O512" s="22">
        <v>0</v>
      </c>
      <c r="P512" s="22">
        <f t="shared" si="77"/>
        <v>2247.81</v>
      </c>
      <c r="Q512" s="22">
        <f>'Форма 2'!K1878</f>
        <v>3449</v>
      </c>
      <c r="R512" s="38" t="s">
        <v>164</v>
      </c>
      <c r="S512" s="172">
        <v>1</v>
      </c>
      <c r="T512" s="33"/>
    </row>
    <row r="513" spans="1:20" s="21" customFormat="1" x14ac:dyDescent="0.35">
      <c r="A513" s="11">
        <f t="shared" ref="A513:A557" si="78">A512+1</f>
        <v>78</v>
      </c>
      <c r="B513" s="109">
        <v>1408</v>
      </c>
      <c r="C513" s="175" t="s">
        <v>567</v>
      </c>
      <c r="D513" s="97">
        <v>1974</v>
      </c>
      <c r="E513" s="96" t="s">
        <v>75</v>
      </c>
      <c r="F513" s="96" t="s">
        <v>155</v>
      </c>
      <c r="G513" s="22">
        <v>3637.29</v>
      </c>
      <c r="H513" s="22">
        <v>3363.29</v>
      </c>
      <c r="I513" s="108">
        <v>159</v>
      </c>
      <c r="J513" s="22">
        <f>'Форма 2'!I1881</f>
        <v>551579.56000000006</v>
      </c>
      <c r="K513" s="22">
        <v>0</v>
      </c>
      <c r="L513" s="22">
        <v>0</v>
      </c>
      <c r="M513" s="22">
        <v>0</v>
      </c>
      <c r="N513" s="22">
        <f t="shared" si="76"/>
        <v>551579.56000000006</v>
      </c>
      <c r="O513" s="22">
        <v>0</v>
      </c>
      <c r="P513" s="22">
        <f t="shared" si="77"/>
        <v>164</v>
      </c>
      <c r="Q513" s="22">
        <f>'Форма 2'!K1881</f>
        <v>164</v>
      </c>
      <c r="R513" s="38" t="s">
        <v>164</v>
      </c>
      <c r="S513" s="172">
        <v>1</v>
      </c>
      <c r="T513" s="33"/>
    </row>
    <row r="514" spans="1:20" s="21" customFormat="1" x14ac:dyDescent="0.35">
      <c r="A514" s="11">
        <f t="shared" si="78"/>
        <v>79</v>
      </c>
      <c r="B514" s="109">
        <v>1410</v>
      </c>
      <c r="C514" s="175" t="s">
        <v>568</v>
      </c>
      <c r="D514" s="97">
        <v>1975</v>
      </c>
      <c r="E514" s="96" t="s">
        <v>312</v>
      </c>
      <c r="F514" s="96" t="s">
        <v>155</v>
      </c>
      <c r="G514" s="22">
        <v>2012.2</v>
      </c>
      <c r="H514" s="22">
        <v>1477.5</v>
      </c>
      <c r="I514" s="108">
        <v>108</v>
      </c>
      <c r="J514" s="22">
        <f>'Форма 2'!I1883</f>
        <v>557017.5</v>
      </c>
      <c r="K514" s="22">
        <v>0</v>
      </c>
      <c r="L514" s="22">
        <v>0</v>
      </c>
      <c r="M514" s="22">
        <v>0</v>
      </c>
      <c r="N514" s="22">
        <f t="shared" si="76"/>
        <v>557017.5</v>
      </c>
      <c r="O514" s="22">
        <v>0</v>
      </c>
      <c r="P514" s="22">
        <f t="shared" si="77"/>
        <v>377</v>
      </c>
      <c r="Q514" s="22">
        <f>'Форма 2'!K1883</f>
        <v>377</v>
      </c>
      <c r="R514" s="38" t="s">
        <v>164</v>
      </c>
      <c r="S514" s="172">
        <v>1</v>
      </c>
      <c r="T514" s="33"/>
    </row>
    <row r="515" spans="1:20" s="21" customFormat="1" x14ac:dyDescent="0.35">
      <c r="A515" s="11">
        <f t="shared" si="78"/>
        <v>80</v>
      </c>
      <c r="B515" s="109">
        <v>1349</v>
      </c>
      <c r="C515" s="175" t="s">
        <v>108</v>
      </c>
      <c r="D515" s="97">
        <v>1958</v>
      </c>
      <c r="E515" s="96" t="s">
        <v>509</v>
      </c>
      <c r="F515" s="96" t="s">
        <v>155</v>
      </c>
      <c r="G515" s="22">
        <v>703.9</v>
      </c>
      <c r="H515" s="22">
        <v>639.14</v>
      </c>
      <c r="I515" s="108">
        <v>33</v>
      </c>
      <c r="J515" s="22">
        <f>'Форма 2'!I1887</f>
        <v>182154.9</v>
      </c>
      <c r="K515" s="22">
        <v>0</v>
      </c>
      <c r="L515" s="22">
        <v>0</v>
      </c>
      <c r="M515" s="22">
        <v>0</v>
      </c>
      <c r="N515" s="22">
        <f>J515-K515-L515-M515-O515</f>
        <v>182154.9</v>
      </c>
      <c r="O515" s="22">
        <v>0</v>
      </c>
      <c r="P515" s="22">
        <f t="shared" si="77"/>
        <v>285</v>
      </c>
      <c r="Q515" s="22">
        <f>'Форма 2'!K1887</f>
        <v>285</v>
      </c>
      <c r="R515" s="38" t="s">
        <v>164</v>
      </c>
      <c r="S515" s="172">
        <v>1</v>
      </c>
      <c r="T515" s="33"/>
    </row>
    <row r="516" spans="1:20" s="21" customFormat="1" x14ac:dyDescent="0.35">
      <c r="A516" s="11">
        <f t="shared" si="78"/>
        <v>81</v>
      </c>
      <c r="B516" s="11">
        <v>1858</v>
      </c>
      <c r="C516" s="37" t="s">
        <v>331</v>
      </c>
      <c r="D516" s="97">
        <v>1974</v>
      </c>
      <c r="E516" s="97" t="s">
        <v>75</v>
      </c>
      <c r="F516" s="97" t="s">
        <v>486</v>
      </c>
      <c r="G516" s="22">
        <v>3716.4</v>
      </c>
      <c r="H516" s="22">
        <v>3498.4</v>
      </c>
      <c r="I516" s="26">
        <v>132</v>
      </c>
      <c r="J516" s="22">
        <f>'Форма 2'!I1890</f>
        <v>6994700.96</v>
      </c>
      <c r="K516" s="22">
        <v>0</v>
      </c>
      <c r="L516" s="22">
        <v>0</v>
      </c>
      <c r="M516" s="22">
        <v>0</v>
      </c>
      <c r="N516" s="22">
        <f t="shared" si="76"/>
        <v>6994700.96</v>
      </c>
      <c r="O516" s="22">
        <v>0</v>
      </c>
      <c r="P516" s="22">
        <f t="shared" si="77"/>
        <v>1999.4</v>
      </c>
      <c r="Q516" s="22">
        <f>'Форма 2'!K1890</f>
        <v>2831</v>
      </c>
      <c r="R516" s="38" t="s">
        <v>164</v>
      </c>
      <c r="S516" s="172">
        <v>1</v>
      </c>
      <c r="T516" s="33"/>
    </row>
    <row r="517" spans="1:20" s="194" customFormat="1" x14ac:dyDescent="0.35">
      <c r="A517" s="124">
        <f t="shared" si="78"/>
        <v>82</v>
      </c>
      <c r="B517" s="195">
        <v>1275</v>
      </c>
      <c r="C517" s="175" t="s">
        <v>753</v>
      </c>
      <c r="D517" s="96">
        <v>1988</v>
      </c>
      <c r="E517" s="96" t="s">
        <v>267</v>
      </c>
      <c r="F517" s="96" t="s">
        <v>155</v>
      </c>
      <c r="G517" s="86">
        <v>3080.7</v>
      </c>
      <c r="H517" s="86">
        <v>2591.9</v>
      </c>
      <c r="I517" s="108">
        <v>98</v>
      </c>
      <c r="J517" s="86">
        <f>'Форма 2'!I1893</f>
        <v>401744.5</v>
      </c>
      <c r="K517" s="86">
        <v>0</v>
      </c>
      <c r="L517" s="86">
        <v>0</v>
      </c>
      <c r="M517" s="86">
        <v>0</v>
      </c>
      <c r="N517" s="86">
        <f t="shared" si="76"/>
        <v>401744.5</v>
      </c>
      <c r="O517" s="86">
        <v>0</v>
      </c>
      <c r="P517" s="86">
        <f t="shared" si="77"/>
        <v>155</v>
      </c>
      <c r="Q517" s="86">
        <f>'Форма 2'!K1893</f>
        <v>155</v>
      </c>
      <c r="R517" s="182" t="s">
        <v>164</v>
      </c>
      <c r="S517" s="183">
        <v>1</v>
      </c>
      <c r="T517" s="33"/>
    </row>
    <row r="518" spans="1:20" s="21" customFormat="1" x14ac:dyDescent="0.35">
      <c r="A518" s="11">
        <f t="shared" si="78"/>
        <v>83</v>
      </c>
      <c r="B518" s="11">
        <v>1725</v>
      </c>
      <c r="C518" s="37" t="s">
        <v>332</v>
      </c>
      <c r="D518" s="97">
        <v>1832</v>
      </c>
      <c r="E518" s="97" t="s">
        <v>75</v>
      </c>
      <c r="F518" s="97" t="s">
        <v>486</v>
      </c>
      <c r="G518" s="22">
        <v>332.6</v>
      </c>
      <c r="H518" s="22">
        <v>299.2</v>
      </c>
      <c r="I518" s="26">
        <v>14</v>
      </c>
      <c r="J518" s="22">
        <f>'Форма 2'!I1897</f>
        <v>1472512.94</v>
      </c>
      <c r="K518" s="22">
        <v>0</v>
      </c>
      <c r="L518" s="22">
        <v>0</v>
      </c>
      <c r="M518" s="22">
        <v>0</v>
      </c>
      <c r="N518" s="22">
        <f t="shared" si="76"/>
        <v>1472512.94</v>
      </c>
      <c r="O518" s="22">
        <v>0</v>
      </c>
      <c r="P518" s="22">
        <f t="shared" si="77"/>
        <v>4921.5</v>
      </c>
      <c r="Q518" s="22">
        <f>'Форма 2'!K1897</f>
        <v>7066</v>
      </c>
      <c r="R518" s="38" t="s">
        <v>164</v>
      </c>
      <c r="S518" s="172">
        <v>1</v>
      </c>
      <c r="T518" s="33"/>
    </row>
    <row r="519" spans="1:20" s="21" customFormat="1" x14ac:dyDescent="0.35">
      <c r="A519" s="11">
        <f t="shared" si="78"/>
        <v>84</v>
      </c>
      <c r="B519" s="109">
        <v>1286</v>
      </c>
      <c r="C519" s="175" t="s">
        <v>110</v>
      </c>
      <c r="D519" s="97">
        <v>1966</v>
      </c>
      <c r="E519" s="97" t="s">
        <v>75</v>
      </c>
      <c r="F519" s="97" t="s">
        <v>155</v>
      </c>
      <c r="G519" s="22">
        <v>4106.78</v>
      </c>
      <c r="H519" s="22">
        <v>3177.26</v>
      </c>
      <c r="I519" s="108">
        <v>148</v>
      </c>
      <c r="J519" s="22">
        <f>'Форма 2'!I1900</f>
        <v>521070.64</v>
      </c>
      <c r="K519" s="22">
        <v>0</v>
      </c>
      <c r="L519" s="22">
        <v>0</v>
      </c>
      <c r="M519" s="22">
        <v>0</v>
      </c>
      <c r="N519" s="22">
        <f t="shared" si="76"/>
        <v>521070.64</v>
      </c>
      <c r="O519" s="22">
        <v>0</v>
      </c>
      <c r="P519" s="22">
        <f t="shared" si="77"/>
        <v>164</v>
      </c>
      <c r="Q519" s="22">
        <f>'Форма 2'!K1900</f>
        <v>164</v>
      </c>
      <c r="R519" s="38" t="s">
        <v>164</v>
      </c>
      <c r="S519" s="172">
        <v>1</v>
      </c>
      <c r="T519" s="33"/>
    </row>
    <row r="520" spans="1:20" s="194" customFormat="1" x14ac:dyDescent="0.35">
      <c r="A520" s="124">
        <f t="shared" si="78"/>
        <v>85</v>
      </c>
      <c r="B520" s="124">
        <v>1367</v>
      </c>
      <c r="C520" s="37" t="s">
        <v>334</v>
      </c>
      <c r="D520" s="96">
        <v>1978</v>
      </c>
      <c r="E520" s="96" t="s">
        <v>267</v>
      </c>
      <c r="F520" s="96" t="s">
        <v>486</v>
      </c>
      <c r="G520" s="86">
        <v>12315.6</v>
      </c>
      <c r="H520" s="86">
        <v>12279.6</v>
      </c>
      <c r="I520" s="99">
        <v>464</v>
      </c>
      <c r="J520" s="86">
        <f>'Форма 2'!I1902</f>
        <v>17153453.379999999</v>
      </c>
      <c r="K520" s="86">
        <v>0</v>
      </c>
      <c r="L520" s="86">
        <v>0</v>
      </c>
      <c r="M520" s="86">
        <v>0</v>
      </c>
      <c r="N520" s="86">
        <f t="shared" si="76"/>
        <v>17153453.379999999</v>
      </c>
      <c r="O520" s="86">
        <v>0</v>
      </c>
      <c r="P520" s="86">
        <f t="shared" si="77"/>
        <v>1396.91</v>
      </c>
      <c r="Q520" s="86">
        <f>'Форма 2'!K1902</f>
        <v>2178</v>
      </c>
      <c r="R520" s="182" t="s">
        <v>164</v>
      </c>
      <c r="S520" s="183">
        <v>1</v>
      </c>
      <c r="T520" s="33"/>
    </row>
    <row r="521" spans="1:20" s="21" customFormat="1" x14ac:dyDescent="0.35">
      <c r="A521" s="11">
        <f t="shared" si="78"/>
        <v>86</v>
      </c>
      <c r="B521" s="109">
        <v>1490</v>
      </c>
      <c r="C521" s="175" t="s">
        <v>111</v>
      </c>
      <c r="D521" s="97">
        <v>1965</v>
      </c>
      <c r="E521" s="96" t="s">
        <v>75</v>
      </c>
      <c r="F521" s="96" t="s">
        <v>155</v>
      </c>
      <c r="G521" s="22">
        <v>3393.22</v>
      </c>
      <c r="H521" s="22">
        <v>3162.22</v>
      </c>
      <c r="I521" s="108">
        <v>150</v>
      </c>
      <c r="J521" s="22">
        <f>'Форма 2'!I1909</f>
        <v>518604.08</v>
      </c>
      <c r="K521" s="22">
        <v>0</v>
      </c>
      <c r="L521" s="22">
        <v>0</v>
      </c>
      <c r="M521" s="22">
        <v>0</v>
      </c>
      <c r="N521" s="22">
        <f t="shared" si="76"/>
        <v>518604.08</v>
      </c>
      <c r="O521" s="22">
        <v>0</v>
      </c>
      <c r="P521" s="22">
        <f t="shared" si="77"/>
        <v>164</v>
      </c>
      <c r="Q521" s="22">
        <f>'Форма 2'!K1909</f>
        <v>164</v>
      </c>
      <c r="R521" s="38" t="s">
        <v>164</v>
      </c>
      <c r="S521" s="172">
        <v>1</v>
      </c>
      <c r="T521" s="33"/>
    </row>
    <row r="522" spans="1:20" s="21" customFormat="1" x14ac:dyDescent="0.35">
      <c r="A522" s="11">
        <f t="shared" si="78"/>
        <v>87</v>
      </c>
      <c r="B522" s="109">
        <v>1492</v>
      </c>
      <c r="C522" s="175" t="s">
        <v>112</v>
      </c>
      <c r="D522" s="97">
        <v>1965</v>
      </c>
      <c r="E522" s="96" t="s">
        <v>75</v>
      </c>
      <c r="F522" s="96" t="s">
        <v>155</v>
      </c>
      <c r="G522" s="22">
        <v>3434.5</v>
      </c>
      <c r="H522" s="22">
        <v>3144.5</v>
      </c>
      <c r="I522" s="108">
        <v>174</v>
      </c>
      <c r="J522" s="22">
        <f>'Форма 2'!I1911</f>
        <v>515698</v>
      </c>
      <c r="K522" s="22">
        <v>0</v>
      </c>
      <c r="L522" s="22">
        <v>0</v>
      </c>
      <c r="M522" s="22">
        <v>0</v>
      </c>
      <c r="N522" s="22">
        <f t="shared" si="76"/>
        <v>515698</v>
      </c>
      <c r="O522" s="22">
        <v>0</v>
      </c>
      <c r="P522" s="22">
        <f t="shared" si="77"/>
        <v>164</v>
      </c>
      <c r="Q522" s="22">
        <f>'Форма 2'!K1911</f>
        <v>164</v>
      </c>
      <c r="R522" s="38" t="s">
        <v>164</v>
      </c>
      <c r="S522" s="172">
        <v>1</v>
      </c>
      <c r="T522" s="33"/>
    </row>
    <row r="523" spans="1:20" s="21" customFormat="1" x14ac:dyDescent="0.35">
      <c r="A523" s="11">
        <f t="shared" si="78"/>
        <v>88</v>
      </c>
      <c r="B523" s="11">
        <v>1370</v>
      </c>
      <c r="C523" s="37" t="s">
        <v>336</v>
      </c>
      <c r="D523" s="97">
        <v>1972</v>
      </c>
      <c r="E523" s="97" t="s">
        <v>243</v>
      </c>
      <c r="F523" s="97" t="s">
        <v>486</v>
      </c>
      <c r="G523" s="22">
        <v>4603.3999999999996</v>
      </c>
      <c r="H523" s="22">
        <v>4201.3999999999996</v>
      </c>
      <c r="I523" s="26">
        <v>159</v>
      </c>
      <c r="J523" s="22">
        <f>'Форма 2'!I1913</f>
        <v>1440696.49</v>
      </c>
      <c r="K523" s="22">
        <v>0</v>
      </c>
      <c r="L523" s="22">
        <v>0</v>
      </c>
      <c r="M523" s="22">
        <v>0</v>
      </c>
      <c r="N523" s="22">
        <f t="shared" si="76"/>
        <v>1440696.49</v>
      </c>
      <c r="O523" s="22">
        <v>0</v>
      </c>
      <c r="P523" s="22">
        <f t="shared" si="77"/>
        <v>342.91</v>
      </c>
      <c r="Q523" s="22">
        <f>'Форма 2'!K1913</f>
        <v>596</v>
      </c>
      <c r="R523" s="38" t="s">
        <v>164</v>
      </c>
      <c r="S523" s="172">
        <v>1</v>
      </c>
      <c r="T523" s="33"/>
    </row>
    <row r="524" spans="1:20" s="21" customFormat="1" x14ac:dyDescent="0.35">
      <c r="A524" s="11">
        <f t="shared" si="78"/>
        <v>89</v>
      </c>
      <c r="B524" s="11">
        <v>1445</v>
      </c>
      <c r="C524" s="37" t="s">
        <v>337</v>
      </c>
      <c r="D524" s="97">
        <v>1991</v>
      </c>
      <c r="E524" s="96" t="s">
        <v>75</v>
      </c>
      <c r="F524" s="96" t="s">
        <v>158</v>
      </c>
      <c r="G524" s="22">
        <v>1572.4</v>
      </c>
      <c r="H524" s="22">
        <v>1372.4</v>
      </c>
      <c r="I524" s="26">
        <v>52</v>
      </c>
      <c r="J524" s="22">
        <f>'Форма 2'!I1916</f>
        <v>3885264.4</v>
      </c>
      <c r="K524" s="22">
        <v>0</v>
      </c>
      <c r="L524" s="22">
        <v>0</v>
      </c>
      <c r="M524" s="22">
        <v>0</v>
      </c>
      <c r="N524" s="22">
        <f t="shared" si="76"/>
        <v>3885264.4</v>
      </c>
      <c r="O524" s="22">
        <v>0</v>
      </c>
      <c r="P524" s="22">
        <f t="shared" si="77"/>
        <v>2831</v>
      </c>
      <c r="Q524" s="22">
        <f>'Форма 2'!K1916</f>
        <v>2831</v>
      </c>
      <c r="R524" s="38" t="s">
        <v>164</v>
      </c>
      <c r="S524" s="172">
        <v>1</v>
      </c>
      <c r="T524" s="33"/>
    </row>
    <row r="525" spans="1:20" s="21" customFormat="1" x14ac:dyDescent="0.35">
      <c r="A525" s="11">
        <f t="shared" si="78"/>
        <v>90</v>
      </c>
      <c r="B525" s="11">
        <v>1373</v>
      </c>
      <c r="C525" s="37" t="s">
        <v>340</v>
      </c>
      <c r="D525" s="97">
        <v>1974</v>
      </c>
      <c r="E525" s="97" t="s">
        <v>75</v>
      </c>
      <c r="F525" s="97" t="s">
        <v>486</v>
      </c>
      <c r="G525" s="22">
        <v>3963.9</v>
      </c>
      <c r="H525" s="22">
        <v>3533.5</v>
      </c>
      <c r="I525" s="26">
        <v>133</v>
      </c>
      <c r="J525" s="22">
        <f>'Форма 2'!I1919</f>
        <v>8607252.6500000004</v>
      </c>
      <c r="K525" s="22">
        <v>0</v>
      </c>
      <c r="L525" s="22">
        <v>0</v>
      </c>
      <c r="M525" s="22">
        <v>0</v>
      </c>
      <c r="N525" s="22">
        <f t="shared" si="76"/>
        <v>8607252.6500000004</v>
      </c>
      <c r="O525" s="22">
        <v>0</v>
      </c>
      <c r="P525" s="22">
        <f t="shared" si="77"/>
        <v>2435.9</v>
      </c>
      <c r="Q525" s="22">
        <f>'Форма 2'!K1919</f>
        <v>3449</v>
      </c>
      <c r="R525" s="38" t="s">
        <v>164</v>
      </c>
      <c r="S525" s="172">
        <v>1</v>
      </c>
      <c r="T525" s="33"/>
    </row>
    <row r="526" spans="1:20" s="21" customFormat="1" x14ac:dyDescent="0.35">
      <c r="A526" s="11">
        <f t="shared" si="78"/>
        <v>91</v>
      </c>
      <c r="B526" s="11">
        <v>1376</v>
      </c>
      <c r="C526" s="37" t="s">
        <v>341</v>
      </c>
      <c r="D526" s="97">
        <v>1974</v>
      </c>
      <c r="E526" s="96" t="s">
        <v>75</v>
      </c>
      <c r="F526" s="96" t="s">
        <v>486</v>
      </c>
      <c r="G526" s="22">
        <v>2661.35</v>
      </c>
      <c r="H526" s="22">
        <v>2451.35</v>
      </c>
      <c r="I526" s="26">
        <v>93</v>
      </c>
      <c r="J526" s="22">
        <f>'Форма 2'!I1922</f>
        <v>5673984.2699999996</v>
      </c>
      <c r="K526" s="22">
        <v>0</v>
      </c>
      <c r="L526" s="22">
        <v>0</v>
      </c>
      <c r="M526" s="22">
        <v>0</v>
      </c>
      <c r="N526" s="22">
        <f t="shared" si="76"/>
        <v>5673984.2699999996</v>
      </c>
      <c r="O526" s="22">
        <v>0</v>
      </c>
      <c r="P526" s="22">
        <f t="shared" si="77"/>
        <v>2314.64</v>
      </c>
      <c r="Q526" s="22">
        <f>'Форма 2'!K1922</f>
        <v>3449</v>
      </c>
      <c r="R526" s="38" t="s">
        <v>164</v>
      </c>
      <c r="S526" s="172">
        <v>1</v>
      </c>
      <c r="T526" s="33"/>
    </row>
    <row r="527" spans="1:20" s="194" customFormat="1" x14ac:dyDescent="0.35">
      <c r="A527" s="124">
        <f t="shared" si="78"/>
        <v>92</v>
      </c>
      <c r="B527" s="124">
        <v>1377</v>
      </c>
      <c r="C527" s="37" t="s">
        <v>342</v>
      </c>
      <c r="D527" s="96">
        <v>1978</v>
      </c>
      <c r="E527" s="96" t="s">
        <v>267</v>
      </c>
      <c r="F527" s="96" t="s">
        <v>486</v>
      </c>
      <c r="G527" s="86">
        <v>16113.5</v>
      </c>
      <c r="H527" s="86">
        <v>14235.2</v>
      </c>
      <c r="I527" s="99">
        <v>466</v>
      </c>
      <c r="J527" s="86">
        <f>'Форма 2'!I1925</f>
        <v>19952533.129999999</v>
      </c>
      <c r="K527" s="86">
        <v>0</v>
      </c>
      <c r="L527" s="86">
        <v>0</v>
      </c>
      <c r="M527" s="86">
        <v>0</v>
      </c>
      <c r="N527" s="86">
        <f t="shared" si="76"/>
        <v>19952533.129999999</v>
      </c>
      <c r="O527" s="86">
        <v>0</v>
      </c>
      <c r="P527" s="86">
        <f t="shared" si="77"/>
        <v>1401.63</v>
      </c>
      <c r="Q527" s="86">
        <f>'Форма 2'!K1925</f>
        <v>2178</v>
      </c>
      <c r="R527" s="182" t="s">
        <v>164</v>
      </c>
      <c r="S527" s="183">
        <v>1</v>
      </c>
      <c r="T527" s="33"/>
    </row>
    <row r="528" spans="1:20" s="21" customFormat="1" x14ac:dyDescent="0.35">
      <c r="A528" s="11">
        <f t="shared" si="78"/>
        <v>93</v>
      </c>
      <c r="B528" s="11">
        <v>1378</v>
      </c>
      <c r="C528" s="37" t="s">
        <v>343</v>
      </c>
      <c r="D528" s="97">
        <v>1975</v>
      </c>
      <c r="E528" s="97" t="s">
        <v>75</v>
      </c>
      <c r="F528" s="97" t="s">
        <v>486</v>
      </c>
      <c r="G528" s="22">
        <v>5279.8</v>
      </c>
      <c r="H528" s="22">
        <v>4687.8</v>
      </c>
      <c r="I528" s="26">
        <v>177</v>
      </c>
      <c r="J528" s="22">
        <f>'Форма 2'!I1932</f>
        <v>11326972.470000001</v>
      </c>
      <c r="K528" s="22">
        <v>0</v>
      </c>
      <c r="L528" s="22">
        <v>0</v>
      </c>
      <c r="M528" s="22">
        <v>0</v>
      </c>
      <c r="N528" s="22">
        <f t="shared" si="76"/>
        <v>11326972.470000001</v>
      </c>
      <c r="O528" s="22">
        <v>0</v>
      </c>
      <c r="P528" s="22">
        <f t="shared" si="77"/>
        <v>2416.27</v>
      </c>
      <c r="Q528" s="22">
        <f>'Форма 2'!K1932</f>
        <v>3449</v>
      </c>
      <c r="R528" s="38" t="s">
        <v>164</v>
      </c>
      <c r="S528" s="172">
        <v>1</v>
      </c>
      <c r="T528" s="33"/>
    </row>
    <row r="529" spans="1:20" s="21" customFormat="1" x14ac:dyDescent="0.35">
      <c r="A529" s="11">
        <f t="shared" si="78"/>
        <v>94</v>
      </c>
      <c r="B529" s="11">
        <v>1379</v>
      </c>
      <c r="C529" s="37" t="s">
        <v>344</v>
      </c>
      <c r="D529" s="97">
        <v>1971</v>
      </c>
      <c r="E529" s="97" t="s">
        <v>75</v>
      </c>
      <c r="F529" s="97" t="s">
        <v>486</v>
      </c>
      <c r="G529" s="22">
        <v>2694</v>
      </c>
      <c r="H529" s="22">
        <v>2659.6</v>
      </c>
      <c r="I529" s="26">
        <v>100</v>
      </c>
      <c r="J529" s="22">
        <f>'Форма 2'!I1935</f>
        <v>5672947.5499999998</v>
      </c>
      <c r="K529" s="22">
        <v>0</v>
      </c>
      <c r="L529" s="22">
        <v>0</v>
      </c>
      <c r="M529" s="22">
        <v>0</v>
      </c>
      <c r="N529" s="22">
        <f t="shared" si="76"/>
        <v>5672947.5499999998</v>
      </c>
      <c r="O529" s="22">
        <v>0</v>
      </c>
      <c r="P529" s="22">
        <f t="shared" si="77"/>
        <v>2133.0100000000002</v>
      </c>
      <c r="Q529" s="22">
        <f>'Форма 2'!K1935</f>
        <v>3449</v>
      </c>
      <c r="R529" s="38" t="s">
        <v>164</v>
      </c>
      <c r="S529" s="172">
        <v>1</v>
      </c>
      <c r="T529" s="33"/>
    </row>
    <row r="530" spans="1:20" s="194" customFormat="1" x14ac:dyDescent="0.35">
      <c r="A530" s="124">
        <f t="shared" si="78"/>
        <v>95</v>
      </c>
      <c r="B530" s="195">
        <v>1242</v>
      </c>
      <c r="C530" s="175" t="s">
        <v>754</v>
      </c>
      <c r="D530" s="96">
        <v>1985</v>
      </c>
      <c r="E530" s="96" t="s">
        <v>267</v>
      </c>
      <c r="F530" s="96" t="s">
        <v>155</v>
      </c>
      <c r="G530" s="86">
        <v>9992.7999999999993</v>
      </c>
      <c r="H530" s="86">
        <v>7740.2</v>
      </c>
      <c r="I530" s="108">
        <v>292</v>
      </c>
      <c r="J530" s="86">
        <f>'Форма 2'!I1938</f>
        <v>1006226</v>
      </c>
      <c r="K530" s="86">
        <v>0</v>
      </c>
      <c r="L530" s="86">
        <v>0</v>
      </c>
      <c r="M530" s="86">
        <v>0</v>
      </c>
      <c r="N530" s="86">
        <f t="shared" si="76"/>
        <v>1006226</v>
      </c>
      <c r="O530" s="86">
        <v>0</v>
      </c>
      <c r="P530" s="86">
        <f t="shared" si="77"/>
        <v>130</v>
      </c>
      <c r="Q530" s="86">
        <f>'Форма 2'!K1938</f>
        <v>130</v>
      </c>
      <c r="R530" s="182" t="s">
        <v>164</v>
      </c>
      <c r="S530" s="183">
        <v>1</v>
      </c>
      <c r="T530" s="33"/>
    </row>
    <row r="531" spans="1:20" s="21" customFormat="1" x14ac:dyDescent="0.35">
      <c r="A531" s="11">
        <f t="shared" si="78"/>
        <v>96</v>
      </c>
      <c r="B531" s="11">
        <v>1787</v>
      </c>
      <c r="C531" s="37" t="s">
        <v>345</v>
      </c>
      <c r="D531" s="97">
        <v>1973</v>
      </c>
      <c r="E531" s="97" t="s">
        <v>75</v>
      </c>
      <c r="F531" s="97" t="s">
        <v>486</v>
      </c>
      <c r="G531" s="22">
        <v>3254.1</v>
      </c>
      <c r="H531" s="22">
        <v>2886.9</v>
      </c>
      <c r="I531" s="26">
        <v>109</v>
      </c>
      <c r="J531" s="22">
        <f>'Форма 2'!I1942</f>
        <v>5772067.8600000003</v>
      </c>
      <c r="K531" s="22">
        <v>0</v>
      </c>
      <c r="L531" s="22">
        <v>0</v>
      </c>
      <c r="M531" s="22">
        <v>0</v>
      </c>
      <c r="N531" s="22">
        <f t="shared" si="76"/>
        <v>5772067.8600000003</v>
      </c>
      <c r="O531" s="22">
        <v>0</v>
      </c>
      <c r="P531" s="22">
        <f t="shared" si="77"/>
        <v>1999.4</v>
      </c>
      <c r="Q531" s="22">
        <f>'Форма 2'!K1942</f>
        <v>2831</v>
      </c>
      <c r="R531" s="38" t="s">
        <v>164</v>
      </c>
      <c r="S531" s="172">
        <v>1</v>
      </c>
      <c r="T531" s="33"/>
    </row>
    <row r="532" spans="1:20" s="21" customFormat="1" x14ac:dyDescent="0.35">
      <c r="A532" s="11">
        <f t="shared" si="78"/>
        <v>97</v>
      </c>
      <c r="B532" s="109">
        <v>1789</v>
      </c>
      <c r="C532" s="175" t="s">
        <v>569</v>
      </c>
      <c r="D532" s="97">
        <v>1973</v>
      </c>
      <c r="E532" s="97" t="s">
        <v>75</v>
      </c>
      <c r="F532" s="97" t="s">
        <v>155</v>
      </c>
      <c r="G532" s="22">
        <v>3610.9</v>
      </c>
      <c r="H532" s="22">
        <v>2815.6</v>
      </c>
      <c r="I532" s="108">
        <v>263</v>
      </c>
      <c r="J532" s="22">
        <f>'Форма 2'!I1945</f>
        <v>461758.4</v>
      </c>
      <c r="K532" s="22">
        <v>0</v>
      </c>
      <c r="L532" s="22">
        <v>0</v>
      </c>
      <c r="M532" s="22">
        <v>0</v>
      </c>
      <c r="N532" s="22">
        <f t="shared" si="76"/>
        <v>461758.4</v>
      </c>
      <c r="O532" s="22">
        <v>0</v>
      </c>
      <c r="P532" s="22">
        <f t="shared" si="77"/>
        <v>164</v>
      </c>
      <c r="Q532" s="22">
        <f>'Форма 2'!K1945</f>
        <v>164</v>
      </c>
      <c r="R532" s="38" t="s">
        <v>164</v>
      </c>
      <c r="S532" s="172">
        <v>1</v>
      </c>
      <c r="T532" s="33"/>
    </row>
    <row r="533" spans="1:20" s="21" customFormat="1" x14ac:dyDescent="0.35">
      <c r="A533" s="11">
        <f t="shared" si="78"/>
        <v>98</v>
      </c>
      <c r="B533" s="109">
        <v>1263</v>
      </c>
      <c r="C533" s="175" t="s">
        <v>88</v>
      </c>
      <c r="D533" s="97">
        <v>1960</v>
      </c>
      <c r="E533" s="97" t="s">
        <v>570</v>
      </c>
      <c r="F533" s="97" t="s">
        <v>186</v>
      </c>
      <c r="G533" s="22">
        <v>2225.4</v>
      </c>
      <c r="H533" s="22">
        <v>2040.56</v>
      </c>
      <c r="I533" s="26">
        <v>84</v>
      </c>
      <c r="J533" s="22">
        <f>'Форма 2'!I1947</f>
        <v>6140045.04</v>
      </c>
      <c r="K533" s="22">
        <v>0</v>
      </c>
      <c r="L533" s="22">
        <v>0</v>
      </c>
      <c r="M533" s="22">
        <v>0</v>
      </c>
      <c r="N533" s="22">
        <f t="shared" si="76"/>
        <v>6140045.04</v>
      </c>
      <c r="O533" s="22">
        <v>0</v>
      </c>
      <c r="P533" s="22">
        <f t="shared" si="77"/>
        <v>3009</v>
      </c>
      <c r="Q533" s="22">
        <f>'Форма 2'!K1947</f>
        <v>3009</v>
      </c>
      <c r="R533" s="38" t="s">
        <v>164</v>
      </c>
      <c r="S533" s="172">
        <v>1</v>
      </c>
      <c r="T533" s="33"/>
    </row>
    <row r="534" spans="1:20" s="21" customFormat="1" x14ac:dyDescent="0.35">
      <c r="A534" s="11">
        <f t="shared" si="78"/>
        <v>99</v>
      </c>
      <c r="B534" s="109">
        <v>1264</v>
      </c>
      <c r="C534" s="175" t="s">
        <v>113</v>
      </c>
      <c r="D534" s="97">
        <v>1965</v>
      </c>
      <c r="E534" s="97" t="s">
        <v>75</v>
      </c>
      <c r="F534" s="97" t="s">
        <v>155</v>
      </c>
      <c r="G534" s="22">
        <v>3185.1</v>
      </c>
      <c r="H534" s="22">
        <v>2815.1</v>
      </c>
      <c r="I534" s="108">
        <v>142</v>
      </c>
      <c r="J534" s="22">
        <f>'Форма 2'!I1952</f>
        <v>461676.4</v>
      </c>
      <c r="K534" s="22">
        <v>0</v>
      </c>
      <c r="L534" s="22">
        <v>0</v>
      </c>
      <c r="M534" s="22">
        <v>0</v>
      </c>
      <c r="N534" s="22">
        <f t="shared" si="76"/>
        <v>461676.4</v>
      </c>
      <c r="O534" s="22">
        <v>0</v>
      </c>
      <c r="P534" s="22">
        <f t="shared" si="77"/>
        <v>164</v>
      </c>
      <c r="Q534" s="22">
        <f>'Форма 2'!K1952</f>
        <v>164</v>
      </c>
      <c r="R534" s="38" t="s">
        <v>164</v>
      </c>
      <c r="S534" s="172">
        <v>1</v>
      </c>
      <c r="T534" s="33"/>
    </row>
    <row r="535" spans="1:20" s="21" customFormat="1" x14ac:dyDescent="0.35">
      <c r="A535" s="11">
        <f t="shared" si="78"/>
        <v>100</v>
      </c>
      <c r="B535" s="11">
        <v>1265</v>
      </c>
      <c r="C535" s="37" t="s">
        <v>346</v>
      </c>
      <c r="D535" s="97">
        <v>1995</v>
      </c>
      <c r="E535" s="97" t="s">
        <v>75</v>
      </c>
      <c r="F535" s="97" t="s">
        <v>158</v>
      </c>
      <c r="G535" s="22">
        <v>4827.8</v>
      </c>
      <c r="H535" s="22">
        <v>4275.8</v>
      </c>
      <c r="I535" s="26">
        <v>162</v>
      </c>
      <c r="J535" s="22">
        <f>'Форма 2'!I1954</f>
        <v>11894452.77</v>
      </c>
      <c r="K535" s="22">
        <v>0</v>
      </c>
      <c r="L535" s="22">
        <v>0</v>
      </c>
      <c r="M535" s="22">
        <v>0</v>
      </c>
      <c r="N535" s="22">
        <f t="shared" si="76"/>
        <v>11894452.77</v>
      </c>
      <c r="O535" s="22">
        <v>0</v>
      </c>
      <c r="P535" s="22">
        <f t="shared" si="77"/>
        <v>2781.81</v>
      </c>
      <c r="Q535" s="22">
        <f>'Форма 2'!K1954</f>
        <v>2831</v>
      </c>
      <c r="R535" s="38" t="s">
        <v>164</v>
      </c>
      <c r="S535" s="172">
        <v>1</v>
      </c>
      <c r="T535" s="33"/>
    </row>
    <row r="536" spans="1:20" s="21" customFormat="1" x14ac:dyDescent="0.35">
      <c r="A536" s="11">
        <f t="shared" si="78"/>
        <v>101</v>
      </c>
      <c r="B536" s="11">
        <v>1267</v>
      </c>
      <c r="C536" s="37" t="s">
        <v>347</v>
      </c>
      <c r="D536" s="97">
        <v>1972</v>
      </c>
      <c r="E536" s="96" t="s">
        <v>348</v>
      </c>
      <c r="F536" s="96" t="s">
        <v>155</v>
      </c>
      <c r="G536" s="22">
        <v>4281.3999999999996</v>
      </c>
      <c r="H536" s="22">
        <v>3044.9</v>
      </c>
      <c r="I536" s="26">
        <v>114</v>
      </c>
      <c r="J536" s="22">
        <f>'Форма 2'!I1957</f>
        <v>654653.5</v>
      </c>
      <c r="K536" s="22">
        <v>0</v>
      </c>
      <c r="L536" s="22">
        <v>0</v>
      </c>
      <c r="M536" s="22">
        <v>0</v>
      </c>
      <c r="N536" s="22">
        <f t="shared" si="76"/>
        <v>654653.5</v>
      </c>
      <c r="O536" s="22">
        <v>0</v>
      </c>
      <c r="P536" s="22">
        <f t="shared" si="77"/>
        <v>215</v>
      </c>
      <c r="Q536" s="22">
        <f>'Форма 2'!K1957</f>
        <v>215</v>
      </c>
      <c r="R536" s="38" t="s">
        <v>164</v>
      </c>
      <c r="S536" s="172">
        <v>1</v>
      </c>
      <c r="T536" s="33"/>
    </row>
    <row r="537" spans="1:20" s="21" customFormat="1" x14ac:dyDescent="0.35">
      <c r="A537" s="11">
        <f t="shared" si="78"/>
        <v>102</v>
      </c>
      <c r="B537" s="11">
        <v>1353</v>
      </c>
      <c r="C537" s="37" t="s">
        <v>89</v>
      </c>
      <c r="D537" s="97">
        <v>1970</v>
      </c>
      <c r="E537" s="96" t="s">
        <v>293</v>
      </c>
      <c r="F537" s="96" t="s">
        <v>163</v>
      </c>
      <c r="G537" s="22">
        <v>7408.5</v>
      </c>
      <c r="H537" s="22">
        <v>6993.5</v>
      </c>
      <c r="I537" s="26">
        <v>264</v>
      </c>
      <c r="J537" s="22">
        <f>'Форма 2'!I1961</f>
        <v>400028.2</v>
      </c>
      <c r="K537" s="22">
        <v>0</v>
      </c>
      <c r="L537" s="22">
        <v>0</v>
      </c>
      <c r="M537" s="22">
        <v>0</v>
      </c>
      <c r="N537" s="22">
        <f t="shared" si="76"/>
        <v>400028.2</v>
      </c>
      <c r="O537" s="22">
        <v>0</v>
      </c>
      <c r="P537" s="22">
        <f t="shared" si="77"/>
        <v>57.2</v>
      </c>
      <c r="Q537" s="22">
        <f>'Форма 2'!K1961</f>
        <v>172</v>
      </c>
      <c r="R537" s="38" t="s">
        <v>498</v>
      </c>
      <c r="S537" s="172">
        <v>1</v>
      </c>
      <c r="T537" s="33"/>
    </row>
    <row r="538" spans="1:20" s="21" customFormat="1" x14ac:dyDescent="0.35">
      <c r="A538" s="11">
        <f t="shared" si="78"/>
        <v>103</v>
      </c>
      <c r="B538" s="11">
        <v>1421</v>
      </c>
      <c r="C538" s="37" t="s">
        <v>349</v>
      </c>
      <c r="D538" s="97">
        <v>1975</v>
      </c>
      <c r="E538" s="97" t="s">
        <v>75</v>
      </c>
      <c r="F538" s="97" t="s">
        <v>158</v>
      </c>
      <c r="G538" s="22">
        <v>4331.6000000000004</v>
      </c>
      <c r="H538" s="22">
        <v>3894.6</v>
      </c>
      <c r="I538" s="26">
        <v>147</v>
      </c>
      <c r="J538" s="22">
        <f>'Форма 2'!I1964</f>
        <v>13432475.4</v>
      </c>
      <c r="K538" s="22">
        <v>0</v>
      </c>
      <c r="L538" s="22">
        <v>0</v>
      </c>
      <c r="M538" s="22">
        <v>0</v>
      </c>
      <c r="N538" s="22">
        <f t="shared" si="76"/>
        <v>13432475.4</v>
      </c>
      <c r="O538" s="22">
        <v>0</v>
      </c>
      <c r="P538" s="22">
        <f t="shared" si="77"/>
        <v>3449</v>
      </c>
      <c r="Q538" s="22">
        <f>'Форма 2'!K1964</f>
        <v>3449</v>
      </c>
      <c r="R538" s="38" t="s">
        <v>164</v>
      </c>
      <c r="S538" s="172">
        <v>1</v>
      </c>
      <c r="T538" s="33"/>
    </row>
    <row r="539" spans="1:20" s="21" customFormat="1" x14ac:dyDescent="0.35">
      <c r="A539" s="11">
        <f t="shared" si="78"/>
        <v>104</v>
      </c>
      <c r="B539" s="109">
        <v>1042</v>
      </c>
      <c r="C539" s="175" t="s">
        <v>571</v>
      </c>
      <c r="D539" s="97">
        <v>1976</v>
      </c>
      <c r="E539" s="96" t="s">
        <v>75</v>
      </c>
      <c r="F539" s="96" t="s">
        <v>155</v>
      </c>
      <c r="G539" s="22">
        <v>5331.1</v>
      </c>
      <c r="H539" s="22">
        <v>3945.3</v>
      </c>
      <c r="I539" s="108">
        <v>183</v>
      </c>
      <c r="J539" s="22">
        <f>'Форма 2'!I1967</f>
        <v>647029.19999999995</v>
      </c>
      <c r="K539" s="22">
        <v>0</v>
      </c>
      <c r="L539" s="22">
        <v>0</v>
      </c>
      <c r="M539" s="22">
        <v>0</v>
      </c>
      <c r="N539" s="22">
        <f t="shared" si="76"/>
        <v>647029.19999999995</v>
      </c>
      <c r="O539" s="22">
        <v>0</v>
      </c>
      <c r="P539" s="22">
        <f t="shared" si="77"/>
        <v>164</v>
      </c>
      <c r="Q539" s="22">
        <f>'Форма 2'!K1967</f>
        <v>164</v>
      </c>
      <c r="R539" s="38" t="s">
        <v>164</v>
      </c>
      <c r="S539" s="172">
        <v>1</v>
      </c>
      <c r="T539" s="33"/>
    </row>
    <row r="540" spans="1:20" s="21" customFormat="1" x14ac:dyDescent="0.35">
      <c r="A540" s="11">
        <f t="shared" si="78"/>
        <v>105</v>
      </c>
      <c r="B540" s="11">
        <v>1030</v>
      </c>
      <c r="C540" s="37" t="s">
        <v>350</v>
      </c>
      <c r="D540" s="97">
        <v>1985</v>
      </c>
      <c r="E540" s="97" t="s">
        <v>75</v>
      </c>
      <c r="F540" s="97" t="s">
        <v>158</v>
      </c>
      <c r="G540" s="22">
        <v>2705.2</v>
      </c>
      <c r="H540" s="22">
        <v>2345.1999999999998</v>
      </c>
      <c r="I540" s="26">
        <v>89</v>
      </c>
      <c r="J540" s="22">
        <f>'Форма 2'!I1969</f>
        <v>8088594.7999999998</v>
      </c>
      <c r="K540" s="22">
        <v>0</v>
      </c>
      <c r="L540" s="22">
        <v>0</v>
      </c>
      <c r="M540" s="22">
        <v>0</v>
      </c>
      <c r="N540" s="22">
        <f t="shared" si="76"/>
        <v>8088594.7999999998</v>
      </c>
      <c r="O540" s="22">
        <v>0</v>
      </c>
      <c r="P540" s="22">
        <f t="shared" si="77"/>
        <v>3449</v>
      </c>
      <c r="Q540" s="22">
        <f>'Форма 2'!K1969</f>
        <v>3449</v>
      </c>
      <c r="R540" s="38" t="s">
        <v>164</v>
      </c>
      <c r="S540" s="172">
        <v>1</v>
      </c>
      <c r="T540" s="33"/>
    </row>
    <row r="541" spans="1:20" s="21" customFormat="1" x14ac:dyDescent="0.35">
      <c r="A541" s="11">
        <f t="shared" si="78"/>
        <v>106</v>
      </c>
      <c r="B541" s="11">
        <v>1354</v>
      </c>
      <c r="C541" s="37" t="s">
        <v>351</v>
      </c>
      <c r="D541" s="97">
        <v>1978</v>
      </c>
      <c r="E541" s="96" t="s">
        <v>243</v>
      </c>
      <c r="F541" s="96" t="s">
        <v>486</v>
      </c>
      <c r="G541" s="22">
        <v>4337</v>
      </c>
      <c r="H541" s="22">
        <v>3816</v>
      </c>
      <c r="I541" s="26">
        <v>144</v>
      </c>
      <c r="J541" s="22">
        <f>'Форма 2'!I1972</f>
        <v>803113.93</v>
      </c>
      <c r="K541" s="22">
        <v>0</v>
      </c>
      <c r="L541" s="22">
        <v>0</v>
      </c>
      <c r="M541" s="22">
        <v>0</v>
      </c>
      <c r="N541" s="22">
        <f t="shared" si="76"/>
        <v>803113.93</v>
      </c>
      <c r="O541" s="22">
        <v>0</v>
      </c>
      <c r="P541" s="22">
        <f t="shared" si="77"/>
        <v>210.46</v>
      </c>
      <c r="Q541" s="22">
        <f>'Форма 2'!K1972</f>
        <v>596</v>
      </c>
      <c r="R541" s="38" t="s">
        <v>164</v>
      </c>
      <c r="S541" s="172">
        <v>1</v>
      </c>
      <c r="T541" s="33"/>
    </row>
    <row r="542" spans="1:20" s="21" customFormat="1" x14ac:dyDescent="0.35">
      <c r="A542" s="11">
        <f t="shared" si="78"/>
        <v>107</v>
      </c>
      <c r="B542" s="11">
        <v>1357</v>
      </c>
      <c r="C542" s="37" t="s">
        <v>352</v>
      </c>
      <c r="D542" s="97">
        <v>1982</v>
      </c>
      <c r="E542" s="96" t="s">
        <v>243</v>
      </c>
      <c r="F542" s="96" t="s">
        <v>486</v>
      </c>
      <c r="G542" s="22">
        <v>4117.8999999999996</v>
      </c>
      <c r="H542" s="22">
        <v>3930.8</v>
      </c>
      <c r="I542" s="26">
        <v>148</v>
      </c>
      <c r="J542" s="22">
        <f>'Форма 2'!I1975</f>
        <v>995962.39</v>
      </c>
      <c r="K542" s="22">
        <v>0</v>
      </c>
      <c r="L542" s="22">
        <v>0</v>
      </c>
      <c r="M542" s="22">
        <v>0</v>
      </c>
      <c r="N542" s="22">
        <f t="shared" si="76"/>
        <v>995962.39</v>
      </c>
      <c r="O542" s="22">
        <v>0</v>
      </c>
      <c r="P542" s="22">
        <f t="shared" si="77"/>
        <v>253.37</v>
      </c>
      <c r="Q542" s="22">
        <f>'Форма 2'!K1975</f>
        <v>596</v>
      </c>
      <c r="R542" s="38" t="s">
        <v>164</v>
      </c>
      <c r="S542" s="172">
        <v>1</v>
      </c>
      <c r="T542" s="33"/>
    </row>
    <row r="543" spans="1:20" s="21" customFormat="1" x14ac:dyDescent="0.35">
      <c r="A543" s="11">
        <f t="shared" si="78"/>
        <v>108</v>
      </c>
      <c r="B543" s="11">
        <v>1358</v>
      </c>
      <c r="C543" s="37" t="s">
        <v>353</v>
      </c>
      <c r="D543" s="97">
        <v>1985</v>
      </c>
      <c r="E543" s="96" t="s">
        <v>243</v>
      </c>
      <c r="F543" s="96" t="s">
        <v>158</v>
      </c>
      <c r="G543" s="22">
        <f>69.65*14.46*5</f>
        <v>5035.7</v>
      </c>
      <c r="H543" s="22">
        <v>3186.9</v>
      </c>
      <c r="I543" s="26">
        <v>101</v>
      </c>
      <c r="J543" s="22">
        <f>'Форма 2'!I1978</f>
        <v>1899392.4</v>
      </c>
      <c r="K543" s="22">
        <v>0</v>
      </c>
      <c r="L543" s="22">
        <v>0</v>
      </c>
      <c r="M543" s="22">
        <v>0</v>
      </c>
      <c r="N543" s="22">
        <f t="shared" si="76"/>
        <v>1899392.4</v>
      </c>
      <c r="O543" s="22">
        <v>0</v>
      </c>
      <c r="P543" s="22">
        <f t="shared" si="77"/>
        <v>596</v>
      </c>
      <c r="Q543" s="22">
        <f>'Форма 2'!K1978</f>
        <v>596</v>
      </c>
      <c r="R543" s="38" t="s">
        <v>164</v>
      </c>
      <c r="S543" s="172">
        <v>1</v>
      </c>
      <c r="T543" s="33"/>
    </row>
    <row r="544" spans="1:20" s="21" customFormat="1" x14ac:dyDescent="0.35">
      <c r="A544" s="11">
        <f t="shared" si="78"/>
        <v>109</v>
      </c>
      <c r="B544" s="11">
        <v>1361</v>
      </c>
      <c r="C544" s="37" t="s">
        <v>354</v>
      </c>
      <c r="D544" s="97">
        <v>1976</v>
      </c>
      <c r="E544" s="97" t="s">
        <v>75</v>
      </c>
      <c r="F544" s="97" t="s">
        <v>486</v>
      </c>
      <c r="G544" s="22">
        <v>5398.8</v>
      </c>
      <c r="H544" s="22">
        <v>4296</v>
      </c>
      <c r="I544" s="26">
        <v>162</v>
      </c>
      <c r="J544" s="22">
        <f>'Форма 2'!I1981</f>
        <v>10464626.4</v>
      </c>
      <c r="K544" s="22">
        <v>0</v>
      </c>
      <c r="L544" s="22">
        <v>0</v>
      </c>
      <c r="M544" s="22">
        <v>0</v>
      </c>
      <c r="N544" s="22">
        <f t="shared" si="76"/>
        <v>10464626.4</v>
      </c>
      <c r="O544" s="22">
        <v>0</v>
      </c>
      <c r="P544" s="22">
        <f t="shared" si="77"/>
        <v>2435.9</v>
      </c>
      <c r="Q544" s="22">
        <f>'Форма 2'!K1981</f>
        <v>3449</v>
      </c>
      <c r="R544" s="38" t="s">
        <v>164</v>
      </c>
      <c r="S544" s="172">
        <v>1</v>
      </c>
      <c r="T544" s="33"/>
    </row>
    <row r="545" spans="1:20" s="194" customFormat="1" x14ac:dyDescent="0.35">
      <c r="A545" s="124">
        <f t="shared" si="78"/>
        <v>110</v>
      </c>
      <c r="B545" s="195">
        <v>1362</v>
      </c>
      <c r="C545" s="175" t="s">
        <v>755</v>
      </c>
      <c r="D545" s="96">
        <v>1983</v>
      </c>
      <c r="E545" s="96" t="s">
        <v>239</v>
      </c>
      <c r="F545" s="96" t="s">
        <v>155</v>
      </c>
      <c r="G545" s="86">
        <v>16588.5</v>
      </c>
      <c r="H545" s="86">
        <v>16523.3</v>
      </c>
      <c r="I545" s="108">
        <v>624</v>
      </c>
      <c r="J545" s="86">
        <f>'Форма 2'!I1984</f>
        <v>892258.2</v>
      </c>
      <c r="K545" s="86">
        <v>0</v>
      </c>
      <c r="L545" s="86">
        <v>0</v>
      </c>
      <c r="M545" s="86">
        <v>0</v>
      </c>
      <c r="N545" s="86">
        <f t="shared" si="76"/>
        <v>892258.2</v>
      </c>
      <c r="O545" s="86">
        <v>0</v>
      </c>
      <c r="P545" s="86">
        <f t="shared" si="77"/>
        <v>54</v>
      </c>
      <c r="Q545" s="86">
        <f>'Форма 2'!K1984</f>
        <v>54</v>
      </c>
      <c r="R545" s="182" t="s">
        <v>164</v>
      </c>
      <c r="S545" s="183">
        <v>1</v>
      </c>
      <c r="T545" s="33"/>
    </row>
    <row r="546" spans="1:20" s="21" customFormat="1" x14ac:dyDescent="0.35">
      <c r="A546" s="11">
        <f t="shared" si="78"/>
        <v>111</v>
      </c>
      <c r="B546" s="109">
        <v>1301</v>
      </c>
      <c r="C546" s="175" t="s">
        <v>114</v>
      </c>
      <c r="D546" s="97">
        <v>1954</v>
      </c>
      <c r="E546" s="96" t="s">
        <v>75</v>
      </c>
      <c r="F546" s="96" t="s">
        <v>155</v>
      </c>
      <c r="G546" s="22">
        <v>4911.8</v>
      </c>
      <c r="H546" s="22">
        <v>3842.9</v>
      </c>
      <c r="I546" s="108">
        <v>227</v>
      </c>
      <c r="J546" s="22">
        <f>'Форма 2'!I1986</f>
        <v>630235.6</v>
      </c>
      <c r="K546" s="22">
        <v>0</v>
      </c>
      <c r="L546" s="22">
        <v>0</v>
      </c>
      <c r="M546" s="22">
        <v>0</v>
      </c>
      <c r="N546" s="22">
        <f t="shared" si="76"/>
        <v>630235.6</v>
      </c>
      <c r="O546" s="22">
        <v>0</v>
      </c>
      <c r="P546" s="22">
        <f t="shared" si="77"/>
        <v>164</v>
      </c>
      <c r="Q546" s="22">
        <f>'Форма 2'!K1986</f>
        <v>164</v>
      </c>
      <c r="R546" s="38" t="s">
        <v>164</v>
      </c>
      <c r="S546" s="172">
        <v>1</v>
      </c>
      <c r="T546" s="33"/>
    </row>
    <row r="547" spans="1:20" s="21" customFormat="1" x14ac:dyDescent="0.35">
      <c r="A547" s="11">
        <f t="shared" si="78"/>
        <v>112</v>
      </c>
      <c r="B547" s="109">
        <v>1307</v>
      </c>
      <c r="C547" s="175" t="s">
        <v>572</v>
      </c>
      <c r="D547" s="97">
        <v>1979</v>
      </c>
      <c r="E547" s="97" t="s">
        <v>75</v>
      </c>
      <c r="F547" s="97" t="s">
        <v>155</v>
      </c>
      <c r="G547" s="22">
        <v>2672</v>
      </c>
      <c r="H547" s="22">
        <v>1438.9</v>
      </c>
      <c r="I547" s="108">
        <v>152</v>
      </c>
      <c r="J547" s="22">
        <f>'Форма 2'!I1988</f>
        <v>235979.6</v>
      </c>
      <c r="K547" s="22">
        <v>0</v>
      </c>
      <c r="L547" s="22">
        <v>0</v>
      </c>
      <c r="M547" s="22">
        <v>0</v>
      </c>
      <c r="N547" s="22">
        <f t="shared" si="76"/>
        <v>235979.6</v>
      </c>
      <c r="O547" s="22">
        <v>0</v>
      </c>
      <c r="P547" s="22">
        <f t="shared" si="77"/>
        <v>164</v>
      </c>
      <c r="Q547" s="22">
        <f>'Форма 2'!K1988</f>
        <v>164</v>
      </c>
      <c r="R547" s="38" t="s">
        <v>164</v>
      </c>
      <c r="S547" s="172">
        <v>1</v>
      </c>
      <c r="T547" s="33"/>
    </row>
    <row r="548" spans="1:20" s="21" customFormat="1" x14ac:dyDescent="0.35">
      <c r="A548" s="11">
        <f t="shared" si="78"/>
        <v>113</v>
      </c>
      <c r="B548" s="109">
        <v>1322</v>
      </c>
      <c r="C548" s="175" t="s">
        <v>573</v>
      </c>
      <c r="D548" s="97">
        <v>1975</v>
      </c>
      <c r="E548" s="96" t="s">
        <v>75</v>
      </c>
      <c r="F548" s="96" t="s">
        <v>155</v>
      </c>
      <c r="G548" s="22">
        <v>2939.8</v>
      </c>
      <c r="H548" s="22">
        <v>2419.6999999999998</v>
      </c>
      <c r="I548" s="108">
        <v>230</v>
      </c>
      <c r="J548" s="22">
        <f>'Форма 2'!I1990</f>
        <v>396830.8</v>
      </c>
      <c r="K548" s="22">
        <v>0</v>
      </c>
      <c r="L548" s="22">
        <v>0</v>
      </c>
      <c r="M548" s="22">
        <v>0</v>
      </c>
      <c r="N548" s="22">
        <f t="shared" si="76"/>
        <v>396830.8</v>
      </c>
      <c r="O548" s="22">
        <v>0</v>
      </c>
      <c r="P548" s="22">
        <f t="shared" si="77"/>
        <v>164</v>
      </c>
      <c r="Q548" s="22">
        <f>'Форма 2'!K1990</f>
        <v>164</v>
      </c>
      <c r="R548" s="38" t="s">
        <v>164</v>
      </c>
      <c r="S548" s="172">
        <v>1</v>
      </c>
      <c r="T548" s="33"/>
    </row>
    <row r="549" spans="1:20" s="21" customFormat="1" x14ac:dyDescent="0.35">
      <c r="A549" s="11">
        <f t="shared" si="78"/>
        <v>114</v>
      </c>
      <c r="B549" s="109">
        <v>1323</v>
      </c>
      <c r="C549" s="175" t="s">
        <v>574</v>
      </c>
      <c r="D549" s="97">
        <v>1975</v>
      </c>
      <c r="E549" s="96" t="s">
        <v>75</v>
      </c>
      <c r="F549" s="96" t="s">
        <v>155</v>
      </c>
      <c r="G549" s="22">
        <v>3038.2</v>
      </c>
      <c r="H549" s="22">
        <v>2542.4</v>
      </c>
      <c r="I549" s="108">
        <v>206</v>
      </c>
      <c r="J549" s="22">
        <f>'Форма 2'!I1992</f>
        <v>416953.59999999998</v>
      </c>
      <c r="K549" s="22">
        <v>0</v>
      </c>
      <c r="L549" s="22">
        <v>0</v>
      </c>
      <c r="M549" s="22">
        <v>0</v>
      </c>
      <c r="N549" s="22">
        <f t="shared" si="76"/>
        <v>416953.59999999998</v>
      </c>
      <c r="O549" s="22">
        <v>0</v>
      </c>
      <c r="P549" s="22">
        <f t="shared" si="77"/>
        <v>164</v>
      </c>
      <c r="Q549" s="22">
        <f>'Форма 2'!K1992</f>
        <v>164</v>
      </c>
      <c r="R549" s="38" t="s">
        <v>164</v>
      </c>
      <c r="S549" s="172">
        <v>1</v>
      </c>
      <c r="T549" s="33"/>
    </row>
    <row r="550" spans="1:20" s="21" customFormat="1" x14ac:dyDescent="0.35">
      <c r="A550" s="11">
        <f t="shared" si="78"/>
        <v>115</v>
      </c>
      <c r="B550" s="109">
        <v>1628</v>
      </c>
      <c r="C550" s="175" t="s">
        <v>358</v>
      </c>
      <c r="D550" s="97">
        <v>1978</v>
      </c>
      <c r="E550" s="97" t="s">
        <v>75</v>
      </c>
      <c r="F550" s="97" t="s">
        <v>155</v>
      </c>
      <c r="G550" s="22">
        <v>6619.2</v>
      </c>
      <c r="H550" s="22">
        <v>6113.76</v>
      </c>
      <c r="I550" s="108">
        <v>288</v>
      </c>
      <c r="J550" s="22">
        <f>'Форма 2'!I1994</f>
        <v>1002656.64</v>
      </c>
      <c r="K550" s="22">
        <v>0</v>
      </c>
      <c r="L550" s="22">
        <v>0</v>
      </c>
      <c r="M550" s="22">
        <v>0</v>
      </c>
      <c r="N550" s="22">
        <f t="shared" si="76"/>
        <v>1002656.64</v>
      </c>
      <c r="O550" s="22">
        <v>0</v>
      </c>
      <c r="P550" s="22">
        <f t="shared" si="77"/>
        <v>164</v>
      </c>
      <c r="Q550" s="22">
        <f>'Форма 2'!K1994</f>
        <v>164</v>
      </c>
      <c r="R550" s="38" t="s">
        <v>164</v>
      </c>
      <c r="S550" s="172">
        <v>1</v>
      </c>
      <c r="T550" s="33"/>
    </row>
    <row r="551" spans="1:20" s="21" customFormat="1" x14ac:dyDescent="0.35">
      <c r="A551" s="11">
        <f t="shared" si="78"/>
        <v>116</v>
      </c>
      <c r="B551" s="11">
        <v>1630</v>
      </c>
      <c r="C551" s="37" t="s">
        <v>359</v>
      </c>
      <c r="D551" s="97">
        <v>1980</v>
      </c>
      <c r="E551" s="97" t="s">
        <v>75</v>
      </c>
      <c r="F551" s="97" t="s">
        <v>158</v>
      </c>
      <c r="G551" s="22">
        <v>2355</v>
      </c>
      <c r="H551" s="22">
        <v>2043</v>
      </c>
      <c r="I551" s="26">
        <v>77</v>
      </c>
      <c r="J551" s="22">
        <f>'Форма 2'!I1996</f>
        <v>5783733</v>
      </c>
      <c r="K551" s="22">
        <v>0</v>
      </c>
      <c r="L551" s="22">
        <v>0</v>
      </c>
      <c r="M551" s="22">
        <v>0</v>
      </c>
      <c r="N551" s="22">
        <f t="shared" si="76"/>
        <v>5783733</v>
      </c>
      <c r="O551" s="22">
        <v>0</v>
      </c>
      <c r="P551" s="22">
        <f t="shared" si="77"/>
        <v>2831</v>
      </c>
      <c r="Q551" s="22">
        <f>'Форма 2'!K1996</f>
        <v>2831</v>
      </c>
      <c r="R551" s="38" t="s">
        <v>164</v>
      </c>
      <c r="S551" s="172">
        <v>1</v>
      </c>
      <c r="T551" s="33"/>
    </row>
    <row r="552" spans="1:20" s="21" customFormat="1" x14ac:dyDescent="0.35">
      <c r="A552" s="11">
        <f t="shared" si="78"/>
        <v>117</v>
      </c>
      <c r="B552" s="109">
        <v>1582</v>
      </c>
      <c r="C552" s="175" t="s">
        <v>575</v>
      </c>
      <c r="D552" s="97">
        <v>1982</v>
      </c>
      <c r="E552" s="96" t="s">
        <v>75</v>
      </c>
      <c r="F552" s="96" t="s">
        <v>155</v>
      </c>
      <c r="G552" s="22">
        <v>4484.3999999999996</v>
      </c>
      <c r="H552" s="22">
        <v>4108.3999999999996</v>
      </c>
      <c r="I552" s="108">
        <v>179</v>
      </c>
      <c r="J552" s="22">
        <f>'Форма 2'!I1999</f>
        <v>673777.6</v>
      </c>
      <c r="K552" s="22">
        <v>0</v>
      </c>
      <c r="L552" s="22">
        <v>0</v>
      </c>
      <c r="M552" s="22">
        <v>0</v>
      </c>
      <c r="N552" s="22">
        <f t="shared" si="76"/>
        <v>673777.6</v>
      </c>
      <c r="O552" s="22">
        <v>0</v>
      </c>
      <c r="P552" s="22">
        <f t="shared" si="77"/>
        <v>164</v>
      </c>
      <c r="Q552" s="22">
        <f>'Форма 2'!K1999</f>
        <v>164</v>
      </c>
      <c r="R552" s="38" t="s">
        <v>164</v>
      </c>
      <c r="S552" s="172">
        <v>1</v>
      </c>
      <c r="T552" s="33"/>
    </row>
    <row r="553" spans="1:20" s="21" customFormat="1" x14ac:dyDescent="0.35">
      <c r="A553" s="11">
        <f t="shared" si="78"/>
        <v>118</v>
      </c>
      <c r="B553" s="109">
        <v>1028</v>
      </c>
      <c r="C553" s="175" t="s">
        <v>115</v>
      </c>
      <c r="D553" s="97">
        <v>1961</v>
      </c>
      <c r="E553" s="96" t="s">
        <v>576</v>
      </c>
      <c r="F553" s="96" t="s">
        <v>155</v>
      </c>
      <c r="G553" s="22">
        <v>943.9</v>
      </c>
      <c r="H553" s="22">
        <v>863.9</v>
      </c>
      <c r="I553" s="108">
        <v>39</v>
      </c>
      <c r="J553" s="22">
        <f>'Форма 2'!I2001</f>
        <v>35419.9</v>
      </c>
      <c r="K553" s="22">
        <v>0</v>
      </c>
      <c r="L553" s="22">
        <v>0</v>
      </c>
      <c r="M553" s="22">
        <v>0</v>
      </c>
      <c r="N553" s="22">
        <f t="shared" si="76"/>
        <v>35419.9</v>
      </c>
      <c r="O553" s="22">
        <v>0</v>
      </c>
      <c r="P553" s="22">
        <f t="shared" si="77"/>
        <v>41</v>
      </c>
      <c r="Q553" s="22">
        <f>'Форма 2'!K2001</f>
        <v>41</v>
      </c>
      <c r="R553" s="38" t="s">
        <v>164</v>
      </c>
      <c r="S553" s="172">
        <v>1</v>
      </c>
      <c r="T553" s="33"/>
    </row>
    <row r="554" spans="1:20" s="21" customFormat="1" x14ac:dyDescent="0.35">
      <c r="A554" s="11">
        <f t="shared" si="78"/>
        <v>119</v>
      </c>
      <c r="B554" s="109">
        <v>1473</v>
      </c>
      <c r="C554" s="175" t="s">
        <v>756</v>
      </c>
      <c r="D554" s="97">
        <v>1985</v>
      </c>
      <c r="E554" s="97" t="s">
        <v>75</v>
      </c>
      <c r="F554" s="97" t="s">
        <v>155</v>
      </c>
      <c r="G554" s="22">
        <v>18900.599999999999</v>
      </c>
      <c r="H554" s="22">
        <v>16898</v>
      </c>
      <c r="I554" s="108">
        <v>638</v>
      </c>
      <c r="J554" s="22">
        <f>'Форма 2'!I2004</f>
        <v>2771272</v>
      </c>
      <c r="K554" s="22">
        <v>0</v>
      </c>
      <c r="L554" s="22">
        <v>0</v>
      </c>
      <c r="M554" s="22">
        <v>0</v>
      </c>
      <c r="N554" s="22">
        <f t="shared" si="76"/>
        <v>2771272</v>
      </c>
      <c r="O554" s="22">
        <v>0</v>
      </c>
      <c r="P554" s="22">
        <f t="shared" si="77"/>
        <v>164</v>
      </c>
      <c r="Q554" s="22">
        <f>'Форма 2'!K2004</f>
        <v>164</v>
      </c>
      <c r="R554" s="38" t="s">
        <v>164</v>
      </c>
      <c r="S554" s="172">
        <v>1</v>
      </c>
      <c r="T554" s="33"/>
    </row>
    <row r="555" spans="1:20" s="21" customFormat="1" x14ac:dyDescent="0.35">
      <c r="A555" s="11">
        <f t="shared" si="78"/>
        <v>120</v>
      </c>
      <c r="B555" s="109">
        <v>1475</v>
      </c>
      <c r="C555" s="175" t="s">
        <v>757</v>
      </c>
      <c r="D555" s="97">
        <v>1970</v>
      </c>
      <c r="E555" s="97" t="s">
        <v>75</v>
      </c>
      <c r="F555" s="97" t="s">
        <v>155</v>
      </c>
      <c r="G555" s="22">
        <v>3376</v>
      </c>
      <c r="H555" s="22">
        <v>3125</v>
      </c>
      <c r="I555" s="108">
        <v>118</v>
      </c>
      <c r="J555" s="22">
        <f>'Форма 2'!I2006</f>
        <v>512500</v>
      </c>
      <c r="K555" s="22">
        <v>0</v>
      </c>
      <c r="L555" s="22">
        <v>0</v>
      </c>
      <c r="M555" s="22">
        <v>0</v>
      </c>
      <c r="N555" s="22">
        <f t="shared" si="76"/>
        <v>512500</v>
      </c>
      <c r="O555" s="22">
        <v>0</v>
      </c>
      <c r="P555" s="22">
        <f t="shared" si="77"/>
        <v>164</v>
      </c>
      <c r="Q555" s="22">
        <f>'Форма 2'!K2006</f>
        <v>164</v>
      </c>
      <c r="R555" s="38" t="s">
        <v>164</v>
      </c>
      <c r="S555" s="172">
        <v>1</v>
      </c>
      <c r="T555" s="33"/>
    </row>
    <row r="556" spans="1:20" s="21" customFormat="1" x14ac:dyDescent="0.35">
      <c r="A556" s="11">
        <f t="shared" si="78"/>
        <v>121</v>
      </c>
      <c r="B556" s="109">
        <v>1484</v>
      </c>
      <c r="C556" s="175" t="s">
        <v>577</v>
      </c>
      <c r="D556" s="97">
        <v>1975</v>
      </c>
      <c r="E556" s="97" t="s">
        <v>75</v>
      </c>
      <c r="F556" s="97" t="s">
        <v>155</v>
      </c>
      <c r="G556" s="22">
        <v>4820.5</v>
      </c>
      <c r="H556" s="22">
        <v>4340.5</v>
      </c>
      <c r="I556" s="108">
        <v>235</v>
      </c>
      <c r="J556" s="22">
        <f>'Форма 2'!I2008</f>
        <v>711842</v>
      </c>
      <c r="K556" s="22">
        <v>0</v>
      </c>
      <c r="L556" s="22">
        <v>0</v>
      </c>
      <c r="M556" s="22">
        <v>0</v>
      </c>
      <c r="N556" s="22">
        <f t="shared" si="76"/>
        <v>711842</v>
      </c>
      <c r="O556" s="22">
        <v>0</v>
      </c>
      <c r="P556" s="22">
        <f t="shared" si="77"/>
        <v>164</v>
      </c>
      <c r="Q556" s="22">
        <f>'Форма 2'!K2008</f>
        <v>164</v>
      </c>
      <c r="R556" s="38" t="s">
        <v>164</v>
      </c>
      <c r="S556" s="172">
        <v>1</v>
      </c>
      <c r="T556" s="33"/>
    </row>
    <row r="557" spans="1:20" s="21" customFormat="1" x14ac:dyDescent="0.35">
      <c r="A557" s="11">
        <f t="shared" si="78"/>
        <v>122</v>
      </c>
      <c r="B557" s="109">
        <v>1079</v>
      </c>
      <c r="C557" s="175" t="s">
        <v>116</v>
      </c>
      <c r="D557" s="97">
        <v>1959</v>
      </c>
      <c r="E557" s="96" t="s">
        <v>75</v>
      </c>
      <c r="F557" s="96" t="s">
        <v>155</v>
      </c>
      <c r="G557" s="22">
        <v>304.60000000000002</v>
      </c>
      <c r="H557" s="22">
        <v>278.60000000000002</v>
      </c>
      <c r="I557" s="108">
        <v>16</v>
      </c>
      <c r="J557" s="22">
        <f>'Форма 2'!I2010</f>
        <v>45690.400000000001</v>
      </c>
      <c r="K557" s="22">
        <v>0</v>
      </c>
      <c r="L557" s="22">
        <v>0</v>
      </c>
      <c r="M557" s="22">
        <v>0</v>
      </c>
      <c r="N557" s="22">
        <f t="shared" si="76"/>
        <v>45690.400000000001</v>
      </c>
      <c r="O557" s="22">
        <v>0</v>
      </c>
      <c r="P557" s="22">
        <f t="shared" si="77"/>
        <v>164</v>
      </c>
      <c r="Q557" s="22">
        <f>'Форма 2'!K2010</f>
        <v>164</v>
      </c>
      <c r="R557" s="38" t="s">
        <v>164</v>
      </c>
      <c r="S557" s="172">
        <v>1</v>
      </c>
      <c r="T557" s="33"/>
    </row>
    <row r="558" spans="1:20" s="21" customFormat="1" x14ac:dyDescent="0.35">
      <c r="A558" s="227" t="s">
        <v>361</v>
      </c>
      <c r="B558" s="227"/>
      <c r="C558" s="227"/>
      <c r="D558" s="97" t="s">
        <v>13</v>
      </c>
      <c r="E558" s="97" t="s">
        <v>13</v>
      </c>
      <c r="F558" s="97" t="s">
        <v>13</v>
      </c>
      <c r="G558" s="22">
        <f t="shared" ref="G558:O558" si="79">SUM(G559:G643)</f>
        <v>434906.45</v>
      </c>
      <c r="H558" s="22">
        <f t="shared" si="79"/>
        <v>378405.95</v>
      </c>
      <c r="I558" s="26">
        <f t="shared" si="79"/>
        <v>14939</v>
      </c>
      <c r="J558" s="22">
        <f t="shared" si="79"/>
        <v>175690858.08000001</v>
      </c>
      <c r="K558" s="22">
        <f t="shared" si="79"/>
        <v>0</v>
      </c>
      <c r="L558" s="22">
        <f t="shared" si="79"/>
        <v>0</v>
      </c>
      <c r="M558" s="22">
        <f t="shared" si="79"/>
        <v>0</v>
      </c>
      <c r="N558" s="22">
        <f t="shared" si="79"/>
        <v>175690858.08000001</v>
      </c>
      <c r="O558" s="22">
        <f t="shared" si="79"/>
        <v>0</v>
      </c>
      <c r="P558" s="22" t="s">
        <v>13</v>
      </c>
      <c r="Q558" s="22" t="s">
        <v>13</v>
      </c>
      <c r="R558" s="38" t="s">
        <v>13</v>
      </c>
      <c r="S558" s="172" t="s">
        <v>13</v>
      </c>
      <c r="T558" s="33"/>
    </row>
    <row r="559" spans="1:20" s="21" customFormat="1" x14ac:dyDescent="0.35">
      <c r="A559" s="11">
        <f>A557+1</f>
        <v>123</v>
      </c>
      <c r="B559" s="11">
        <v>4241</v>
      </c>
      <c r="C559" s="37" t="s">
        <v>578</v>
      </c>
      <c r="D559" s="97">
        <v>1990</v>
      </c>
      <c r="E559" s="97" t="s">
        <v>185</v>
      </c>
      <c r="F559" s="97" t="s">
        <v>186</v>
      </c>
      <c r="G559" s="22">
        <v>5212.1000000000004</v>
      </c>
      <c r="H559" s="22">
        <v>4547.7</v>
      </c>
      <c r="I559" s="26">
        <v>195</v>
      </c>
      <c r="J559" s="22">
        <f>'Форма 2'!I2012</f>
        <v>3539944</v>
      </c>
      <c r="K559" s="22">
        <v>0</v>
      </c>
      <c r="L559" s="22">
        <v>0</v>
      </c>
      <c r="M559" s="22">
        <v>0</v>
      </c>
      <c r="N559" s="22">
        <f>J559-K559-L559-M559-O559</f>
        <v>3539944</v>
      </c>
      <c r="O559" s="22">
        <v>0</v>
      </c>
      <c r="P559" s="22">
        <f t="shared" ref="P559:P622" si="80">J559/H559</f>
        <v>778.4</v>
      </c>
      <c r="Q559" s="22">
        <f>'Форма 2'!K2012</f>
        <v>778.4</v>
      </c>
      <c r="R559" s="38" t="s">
        <v>164</v>
      </c>
      <c r="S559" s="172">
        <v>1</v>
      </c>
      <c r="T559" s="33"/>
    </row>
    <row r="560" spans="1:20" s="21" customFormat="1" x14ac:dyDescent="0.35">
      <c r="A560" s="11">
        <f t="shared" ref="A560:A623" si="81">A559+1</f>
        <v>124</v>
      </c>
      <c r="B560" s="11">
        <v>4281</v>
      </c>
      <c r="C560" s="37" t="s">
        <v>579</v>
      </c>
      <c r="D560" s="97">
        <v>1991</v>
      </c>
      <c r="E560" s="96" t="s">
        <v>185</v>
      </c>
      <c r="F560" s="96" t="s">
        <v>186</v>
      </c>
      <c r="G560" s="22">
        <v>10759.52</v>
      </c>
      <c r="H560" s="22">
        <v>9305.52</v>
      </c>
      <c r="I560" s="26">
        <v>373</v>
      </c>
      <c r="J560" s="22">
        <f>'Форма 2'!I2019</f>
        <v>3539944</v>
      </c>
      <c r="K560" s="22">
        <v>0</v>
      </c>
      <c r="L560" s="22">
        <v>0</v>
      </c>
      <c r="M560" s="22">
        <v>0</v>
      </c>
      <c r="N560" s="22">
        <f>J560-K560-L560-M560-O560</f>
        <v>3539944</v>
      </c>
      <c r="O560" s="22">
        <v>0</v>
      </c>
      <c r="P560" s="22">
        <f t="shared" si="80"/>
        <v>380.41</v>
      </c>
      <c r="Q560" s="22">
        <f>'Форма 2'!K2019</f>
        <v>380.41</v>
      </c>
      <c r="R560" s="38" t="s">
        <v>164</v>
      </c>
      <c r="S560" s="172">
        <v>1</v>
      </c>
      <c r="T560" s="33"/>
    </row>
    <row r="561" spans="1:20" s="21" customFormat="1" x14ac:dyDescent="0.35">
      <c r="A561" s="11">
        <f t="shared" si="81"/>
        <v>125</v>
      </c>
      <c r="B561" s="109">
        <v>4073</v>
      </c>
      <c r="C561" s="175" t="s">
        <v>758</v>
      </c>
      <c r="D561" s="97">
        <v>1989</v>
      </c>
      <c r="E561" s="96" t="s">
        <v>185</v>
      </c>
      <c r="F561" s="96" t="s">
        <v>155</v>
      </c>
      <c r="G561" s="22">
        <v>9326</v>
      </c>
      <c r="H561" s="22">
        <v>8604.9</v>
      </c>
      <c r="I561" s="108">
        <v>325</v>
      </c>
      <c r="J561" s="22">
        <f>'Форма 2'!I2026</f>
        <v>98320</v>
      </c>
      <c r="K561" s="22">
        <v>0</v>
      </c>
      <c r="L561" s="22">
        <v>0</v>
      </c>
      <c r="M561" s="22">
        <v>0</v>
      </c>
      <c r="N561" s="22">
        <f t="shared" ref="N561:N624" si="82">J561-K561-L561-M561-O561</f>
        <v>98320</v>
      </c>
      <c r="O561" s="22">
        <v>0</v>
      </c>
      <c r="P561" s="22">
        <f t="shared" si="80"/>
        <v>11.43</v>
      </c>
      <c r="Q561" s="22">
        <f>'Форма 2'!K2026</f>
        <v>11.43</v>
      </c>
      <c r="R561" s="38" t="s">
        <v>164</v>
      </c>
      <c r="S561" s="172">
        <v>1</v>
      </c>
      <c r="T561" s="33"/>
    </row>
    <row r="562" spans="1:20" s="21" customFormat="1" x14ac:dyDescent="0.35">
      <c r="A562" s="11">
        <f t="shared" si="81"/>
        <v>126</v>
      </c>
      <c r="B562" s="109">
        <v>3120</v>
      </c>
      <c r="C562" s="175" t="s">
        <v>580</v>
      </c>
      <c r="D562" s="97">
        <v>1973</v>
      </c>
      <c r="E562" s="96" t="s">
        <v>75</v>
      </c>
      <c r="F562" s="96" t="s">
        <v>155</v>
      </c>
      <c r="G562" s="22">
        <v>2601</v>
      </c>
      <c r="H562" s="22">
        <v>2323</v>
      </c>
      <c r="I562" s="108">
        <v>88</v>
      </c>
      <c r="J562" s="22">
        <f>'Форма 2'!I2031</f>
        <v>380972</v>
      </c>
      <c r="K562" s="22">
        <v>0</v>
      </c>
      <c r="L562" s="22">
        <v>0</v>
      </c>
      <c r="M562" s="22">
        <v>0</v>
      </c>
      <c r="N562" s="22">
        <f t="shared" si="82"/>
        <v>380972</v>
      </c>
      <c r="O562" s="22">
        <v>0</v>
      </c>
      <c r="P562" s="22">
        <f t="shared" si="80"/>
        <v>164</v>
      </c>
      <c r="Q562" s="22">
        <f>'Форма 2'!K2031</f>
        <v>164</v>
      </c>
      <c r="R562" s="38" t="s">
        <v>164</v>
      </c>
      <c r="S562" s="172">
        <v>1</v>
      </c>
      <c r="T562" s="33"/>
    </row>
    <row r="563" spans="1:20" s="21" customFormat="1" x14ac:dyDescent="0.35">
      <c r="A563" s="11">
        <f t="shared" si="81"/>
        <v>127</v>
      </c>
      <c r="B563" s="11">
        <v>4286</v>
      </c>
      <c r="C563" s="37" t="s">
        <v>581</v>
      </c>
      <c r="D563" s="97">
        <v>1990</v>
      </c>
      <c r="E563" s="97" t="s">
        <v>185</v>
      </c>
      <c r="F563" s="97" t="s">
        <v>186</v>
      </c>
      <c r="G563" s="22">
        <v>6591.3</v>
      </c>
      <c r="H563" s="22">
        <v>5614.3</v>
      </c>
      <c r="I563" s="26">
        <v>275</v>
      </c>
      <c r="J563" s="22">
        <f>'Форма 2'!I2033</f>
        <v>5309916</v>
      </c>
      <c r="K563" s="22">
        <v>0</v>
      </c>
      <c r="L563" s="22">
        <v>0</v>
      </c>
      <c r="M563" s="22">
        <v>0</v>
      </c>
      <c r="N563" s="22">
        <f>J563-K563-L563-M563-O563</f>
        <v>5309916</v>
      </c>
      <c r="O563" s="22">
        <v>0</v>
      </c>
      <c r="P563" s="22">
        <f t="shared" si="80"/>
        <v>945.78</v>
      </c>
      <c r="Q563" s="22">
        <f>'Форма 2'!K2033</f>
        <v>945.78</v>
      </c>
      <c r="R563" s="38" t="s">
        <v>164</v>
      </c>
      <c r="S563" s="172">
        <v>1</v>
      </c>
      <c r="T563" s="33"/>
    </row>
    <row r="564" spans="1:20" s="21" customFormat="1" x14ac:dyDescent="0.35">
      <c r="A564" s="11">
        <f t="shared" si="81"/>
        <v>128</v>
      </c>
      <c r="B564" s="109">
        <v>3445</v>
      </c>
      <c r="C564" s="175" t="s">
        <v>582</v>
      </c>
      <c r="D564" s="97">
        <v>1974</v>
      </c>
      <c r="E564" s="97" t="s">
        <v>75</v>
      </c>
      <c r="F564" s="97" t="s">
        <v>155</v>
      </c>
      <c r="G564" s="22">
        <v>6323.4</v>
      </c>
      <c r="H564" s="22">
        <v>5942.4</v>
      </c>
      <c r="I564" s="108">
        <v>224</v>
      </c>
      <c r="J564" s="22">
        <f>'Форма 2'!I2043</f>
        <v>974553.59999999998</v>
      </c>
      <c r="K564" s="22">
        <v>0</v>
      </c>
      <c r="L564" s="22">
        <v>0</v>
      </c>
      <c r="M564" s="22">
        <v>0</v>
      </c>
      <c r="N564" s="22">
        <f>J564-K564-L564-M564-O564</f>
        <v>974553.59999999998</v>
      </c>
      <c r="O564" s="22">
        <v>0</v>
      </c>
      <c r="P564" s="22">
        <f t="shared" si="80"/>
        <v>164</v>
      </c>
      <c r="Q564" s="22">
        <f>'Форма 2'!K2043</f>
        <v>164</v>
      </c>
      <c r="R564" s="38" t="s">
        <v>164</v>
      </c>
      <c r="S564" s="172">
        <v>1</v>
      </c>
      <c r="T564" s="33"/>
    </row>
    <row r="565" spans="1:20" s="21" customFormat="1" x14ac:dyDescent="0.35">
      <c r="A565" s="11">
        <f t="shared" si="81"/>
        <v>129</v>
      </c>
      <c r="B565" s="109">
        <v>4290</v>
      </c>
      <c r="C565" s="175" t="s">
        <v>759</v>
      </c>
      <c r="D565" s="97">
        <v>1979</v>
      </c>
      <c r="E565" s="96" t="s">
        <v>75</v>
      </c>
      <c r="F565" s="96" t="s">
        <v>155</v>
      </c>
      <c r="G565" s="22">
        <v>3574.4</v>
      </c>
      <c r="H565" s="22">
        <v>3219.4</v>
      </c>
      <c r="I565" s="108">
        <v>122</v>
      </c>
      <c r="J565" s="22">
        <f>'Форма 2'!I2045</f>
        <v>527981.6</v>
      </c>
      <c r="K565" s="22">
        <v>0</v>
      </c>
      <c r="L565" s="22">
        <v>0</v>
      </c>
      <c r="M565" s="22">
        <v>0</v>
      </c>
      <c r="N565" s="22">
        <f>J565-K565-L565-M565-O565</f>
        <v>527981.6</v>
      </c>
      <c r="O565" s="22">
        <v>0</v>
      </c>
      <c r="P565" s="22">
        <f t="shared" si="80"/>
        <v>164</v>
      </c>
      <c r="Q565" s="22">
        <f>'Форма 2'!K2045</f>
        <v>164</v>
      </c>
      <c r="R565" s="38" t="s">
        <v>164</v>
      </c>
      <c r="S565" s="172">
        <v>1</v>
      </c>
      <c r="T565" s="33"/>
    </row>
    <row r="566" spans="1:20" s="21" customFormat="1" x14ac:dyDescent="0.35">
      <c r="A566" s="11">
        <f t="shared" si="81"/>
        <v>130</v>
      </c>
      <c r="B566" s="11">
        <v>4081</v>
      </c>
      <c r="C566" s="37" t="s">
        <v>365</v>
      </c>
      <c r="D566" s="97">
        <v>1975</v>
      </c>
      <c r="E566" s="96" t="s">
        <v>293</v>
      </c>
      <c r="F566" s="96" t="s">
        <v>155</v>
      </c>
      <c r="G566" s="22">
        <v>7886.5</v>
      </c>
      <c r="H566" s="22">
        <v>7296.4</v>
      </c>
      <c r="I566" s="26">
        <v>253</v>
      </c>
      <c r="J566" s="22">
        <f>'Форма 2'!I2047</f>
        <v>58371.199999999997</v>
      </c>
      <c r="K566" s="22">
        <v>0</v>
      </c>
      <c r="L566" s="22">
        <v>0</v>
      </c>
      <c r="M566" s="22">
        <v>0</v>
      </c>
      <c r="N566" s="22">
        <f t="shared" si="82"/>
        <v>58371.199999999997</v>
      </c>
      <c r="O566" s="22">
        <v>0</v>
      </c>
      <c r="P566" s="22">
        <f t="shared" si="80"/>
        <v>8</v>
      </c>
      <c r="Q566" s="22">
        <f>'Форма 2'!K2047</f>
        <v>8</v>
      </c>
      <c r="R566" s="38" t="s">
        <v>164</v>
      </c>
      <c r="S566" s="172">
        <v>1</v>
      </c>
      <c r="T566" s="33"/>
    </row>
    <row r="567" spans="1:20" s="21" customFormat="1" x14ac:dyDescent="0.35">
      <c r="A567" s="11">
        <f t="shared" si="81"/>
        <v>131</v>
      </c>
      <c r="B567" s="109">
        <v>3304</v>
      </c>
      <c r="C567" s="175" t="s">
        <v>760</v>
      </c>
      <c r="D567" s="97">
        <v>1993</v>
      </c>
      <c r="E567" s="97" t="s">
        <v>439</v>
      </c>
      <c r="F567" s="97" t="s">
        <v>155</v>
      </c>
      <c r="G567" s="22">
        <v>5107.1000000000004</v>
      </c>
      <c r="H567" s="22">
        <v>4426.3999999999996</v>
      </c>
      <c r="I567" s="108">
        <v>167</v>
      </c>
      <c r="J567" s="22">
        <f>'Форма 2'!I2049</f>
        <v>942823.2</v>
      </c>
      <c r="K567" s="22">
        <v>0</v>
      </c>
      <c r="L567" s="22">
        <v>0</v>
      </c>
      <c r="M567" s="22">
        <v>0</v>
      </c>
      <c r="N567" s="22">
        <f t="shared" si="82"/>
        <v>942823.2</v>
      </c>
      <c r="O567" s="22">
        <v>0</v>
      </c>
      <c r="P567" s="22">
        <f t="shared" si="80"/>
        <v>213</v>
      </c>
      <c r="Q567" s="22">
        <f>'Форма 2'!K2049</f>
        <v>213</v>
      </c>
      <c r="R567" s="38" t="s">
        <v>164</v>
      </c>
      <c r="S567" s="172">
        <v>1</v>
      </c>
      <c r="T567" s="33"/>
    </row>
    <row r="568" spans="1:20" s="21" customFormat="1" x14ac:dyDescent="0.35">
      <c r="A568" s="11">
        <f t="shared" si="81"/>
        <v>132</v>
      </c>
      <c r="B568" s="109">
        <v>4054</v>
      </c>
      <c r="C568" s="175" t="s">
        <v>583</v>
      </c>
      <c r="D568" s="97">
        <v>1972</v>
      </c>
      <c r="E568" s="96" t="s">
        <v>75</v>
      </c>
      <c r="F568" s="96" t="s">
        <v>155</v>
      </c>
      <c r="G568" s="22">
        <v>2911</v>
      </c>
      <c r="H568" s="22">
        <v>2654.1</v>
      </c>
      <c r="I568" s="108">
        <v>100</v>
      </c>
      <c r="J568" s="22">
        <f>'Форма 2'!I2052</f>
        <v>435272.4</v>
      </c>
      <c r="K568" s="22">
        <v>0</v>
      </c>
      <c r="L568" s="22">
        <v>0</v>
      </c>
      <c r="M568" s="22">
        <v>0</v>
      </c>
      <c r="N568" s="22">
        <f t="shared" si="82"/>
        <v>435272.4</v>
      </c>
      <c r="O568" s="22">
        <v>0</v>
      </c>
      <c r="P568" s="22">
        <f t="shared" si="80"/>
        <v>164</v>
      </c>
      <c r="Q568" s="22">
        <f>'Форма 2'!K2052</f>
        <v>164</v>
      </c>
      <c r="R568" s="38" t="s">
        <v>164</v>
      </c>
      <c r="S568" s="172">
        <v>1</v>
      </c>
      <c r="T568" s="33"/>
    </row>
    <row r="569" spans="1:20" s="21" customFormat="1" x14ac:dyDescent="0.35">
      <c r="A569" s="11">
        <f t="shared" si="81"/>
        <v>133</v>
      </c>
      <c r="B569" s="109">
        <v>3305</v>
      </c>
      <c r="C569" s="175" t="s">
        <v>584</v>
      </c>
      <c r="D569" s="97">
        <v>1972</v>
      </c>
      <c r="E569" s="97" t="s">
        <v>75</v>
      </c>
      <c r="F569" s="97" t="s">
        <v>155</v>
      </c>
      <c r="G569" s="22">
        <v>3101.4</v>
      </c>
      <c r="H569" s="22">
        <v>2891.1</v>
      </c>
      <c r="I569" s="108">
        <v>124</v>
      </c>
      <c r="J569" s="22">
        <f>'Форма 2'!I2054</f>
        <v>474140.4</v>
      </c>
      <c r="K569" s="22">
        <v>0</v>
      </c>
      <c r="L569" s="22">
        <v>0</v>
      </c>
      <c r="M569" s="22">
        <v>0</v>
      </c>
      <c r="N569" s="22">
        <f t="shared" si="82"/>
        <v>474140.4</v>
      </c>
      <c r="O569" s="22">
        <v>0</v>
      </c>
      <c r="P569" s="22">
        <f t="shared" si="80"/>
        <v>164</v>
      </c>
      <c r="Q569" s="22">
        <f>'Форма 2'!K2054</f>
        <v>164</v>
      </c>
      <c r="R569" s="38" t="s">
        <v>164</v>
      </c>
      <c r="S569" s="172">
        <v>1</v>
      </c>
      <c r="T569" s="33"/>
    </row>
    <row r="570" spans="1:20" s="21" customFormat="1" x14ac:dyDescent="0.35">
      <c r="A570" s="11">
        <f t="shared" si="81"/>
        <v>134</v>
      </c>
      <c r="B570" s="109">
        <v>3306</v>
      </c>
      <c r="C570" s="175" t="s">
        <v>117</v>
      </c>
      <c r="D570" s="97">
        <v>1972</v>
      </c>
      <c r="E570" s="96" t="s">
        <v>75</v>
      </c>
      <c r="F570" s="96" t="s">
        <v>155</v>
      </c>
      <c r="G570" s="22">
        <v>3064.9</v>
      </c>
      <c r="H570" s="22">
        <v>2855.9</v>
      </c>
      <c r="I570" s="108">
        <v>108</v>
      </c>
      <c r="J570" s="22">
        <f>'Форма 2'!I2056</f>
        <v>468367.6</v>
      </c>
      <c r="K570" s="22">
        <v>0</v>
      </c>
      <c r="L570" s="22">
        <v>0</v>
      </c>
      <c r="M570" s="22">
        <v>0</v>
      </c>
      <c r="N570" s="22">
        <f t="shared" si="82"/>
        <v>468367.6</v>
      </c>
      <c r="O570" s="22">
        <v>0</v>
      </c>
      <c r="P570" s="22">
        <f t="shared" si="80"/>
        <v>164</v>
      </c>
      <c r="Q570" s="22">
        <f>'Форма 2'!K2056</f>
        <v>164</v>
      </c>
      <c r="R570" s="38" t="s">
        <v>164</v>
      </c>
      <c r="S570" s="172">
        <v>1</v>
      </c>
      <c r="T570" s="33"/>
    </row>
    <row r="571" spans="1:20" s="21" customFormat="1" x14ac:dyDescent="0.35">
      <c r="A571" s="11">
        <f t="shared" si="81"/>
        <v>135</v>
      </c>
      <c r="B571" s="109">
        <v>3307</v>
      </c>
      <c r="C571" s="175" t="s">
        <v>118</v>
      </c>
      <c r="D571" s="97">
        <v>1972</v>
      </c>
      <c r="E571" s="96" t="s">
        <v>75</v>
      </c>
      <c r="F571" s="96" t="s">
        <v>155</v>
      </c>
      <c r="G571" s="22">
        <v>3095.4</v>
      </c>
      <c r="H571" s="22">
        <v>2885.4</v>
      </c>
      <c r="I571" s="108">
        <v>109</v>
      </c>
      <c r="J571" s="22">
        <f>'Форма 2'!I2058</f>
        <v>473205.6</v>
      </c>
      <c r="K571" s="22">
        <v>0</v>
      </c>
      <c r="L571" s="22">
        <v>0</v>
      </c>
      <c r="M571" s="22">
        <v>0</v>
      </c>
      <c r="N571" s="22">
        <f t="shared" si="82"/>
        <v>473205.6</v>
      </c>
      <c r="O571" s="22">
        <v>0</v>
      </c>
      <c r="P571" s="22">
        <f t="shared" si="80"/>
        <v>164</v>
      </c>
      <c r="Q571" s="22">
        <f>'Форма 2'!K2058</f>
        <v>164</v>
      </c>
      <c r="R571" s="38" t="s">
        <v>164</v>
      </c>
      <c r="S571" s="172">
        <v>1</v>
      </c>
      <c r="T571" s="33"/>
    </row>
    <row r="572" spans="1:20" s="194" customFormat="1" x14ac:dyDescent="0.35">
      <c r="A572" s="124">
        <f t="shared" si="81"/>
        <v>136</v>
      </c>
      <c r="B572" s="195">
        <v>3309</v>
      </c>
      <c r="C572" s="175" t="s">
        <v>585</v>
      </c>
      <c r="D572" s="96">
        <v>1974</v>
      </c>
      <c r="E572" s="96" t="s">
        <v>239</v>
      </c>
      <c r="F572" s="96" t="s">
        <v>155</v>
      </c>
      <c r="G572" s="86">
        <v>8625.4</v>
      </c>
      <c r="H572" s="86">
        <v>7883.8</v>
      </c>
      <c r="I572" s="108">
        <v>298</v>
      </c>
      <c r="J572" s="86">
        <f>'Форма 2'!I2060</f>
        <v>725309.6</v>
      </c>
      <c r="K572" s="86">
        <v>0</v>
      </c>
      <c r="L572" s="86">
        <v>0</v>
      </c>
      <c r="M572" s="86">
        <v>0</v>
      </c>
      <c r="N572" s="86">
        <f t="shared" si="82"/>
        <v>725309.6</v>
      </c>
      <c r="O572" s="86">
        <v>0</v>
      </c>
      <c r="P572" s="86">
        <f t="shared" si="80"/>
        <v>92</v>
      </c>
      <c r="Q572" s="86">
        <f>'Форма 2'!K2060</f>
        <v>92</v>
      </c>
      <c r="R572" s="182" t="s">
        <v>164</v>
      </c>
      <c r="S572" s="183">
        <v>1</v>
      </c>
      <c r="T572" s="33"/>
    </row>
    <row r="573" spans="1:20" s="21" customFormat="1" x14ac:dyDescent="0.35">
      <c r="A573" s="11">
        <f t="shared" si="81"/>
        <v>137</v>
      </c>
      <c r="B573" s="109">
        <v>4242</v>
      </c>
      <c r="C573" s="175" t="s">
        <v>761</v>
      </c>
      <c r="D573" s="97">
        <v>1991</v>
      </c>
      <c r="E573" s="96" t="s">
        <v>185</v>
      </c>
      <c r="F573" s="96" t="s">
        <v>155</v>
      </c>
      <c r="G573" s="22">
        <v>10373.61</v>
      </c>
      <c r="H573" s="22">
        <v>8994.61</v>
      </c>
      <c r="I573" s="108">
        <v>340</v>
      </c>
      <c r="J573" s="22">
        <f>'Форма 2'!I2062</f>
        <v>98320</v>
      </c>
      <c r="K573" s="22">
        <v>0</v>
      </c>
      <c r="L573" s="22">
        <v>0</v>
      </c>
      <c r="M573" s="22">
        <v>0</v>
      </c>
      <c r="N573" s="22">
        <f t="shared" si="82"/>
        <v>98320</v>
      </c>
      <c r="O573" s="22">
        <v>0</v>
      </c>
      <c r="P573" s="22">
        <f t="shared" si="80"/>
        <v>10.93</v>
      </c>
      <c r="Q573" s="22">
        <f>'Форма 2'!K2062</f>
        <v>10.93</v>
      </c>
      <c r="R573" s="38" t="s">
        <v>164</v>
      </c>
      <c r="S573" s="172">
        <v>1</v>
      </c>
      <c r="T573" s="33"/>
    </row>
    <row r="574" spans="1:20" s="21" customFormat="1" x14ac:dyDescent="0.35">
      <c r="A574" s="11">
        <f t="shared" si="81"/>
        <v>138</v>
      </c>
      <c r="B574" s="109">
        <v>4292</v>
      </c>
      <c r="C574" s="175" t="s">
        <v>119</v>
      </c>
      <c r="D574" s="97">
        <v>1969</v>
      </c>
      <c r="E574" s="96" t="s">
        <v>75</v>
      </c>
      <c r="F574" s="96" t="s">
        <v>155</v>
      </c>
      <c r="G574" s="22">
        <v>3482.2</v>
      </c>
      <c r="H574" s="22">
        <v>3198.2</v>
      </c>
      <c r="I574" s="108">
        <v>121</v>
      </c>
      <c r="J574" s="22">
        <f>'Форма 2'!I2067</f>
        <v>524504.80000000005</v>
      </c>
      <c r="K574" s="22">
        <v>0</v>
      </c>
      <c r="L574" s="22">
        <v>0</v>
      </c>
      <c r="M574" s="22">
        <v>0</v>
      </c>
      <c r="N574" s="22">
        <f t="shared" si="82"/>
        <v>524504.80000000005</v>
      </c>
      <c r="O574" s="22">
        <v>0</v>
      </c>
      <c r="P574" s="22">
        <f t="shared" si="80"/>
        <v>164</v>
      </c>
      <c r="Q574" s="22">
        <f>'Форма 2'!K2067</f>
        <v>164</v>
      </c>
      <c r="R574" s="38" t="s">
        <v>164</v>
      </c>
      <c r="S574" s="172">
        <v>1</v>
      </c>
      <c r="T574" s="33"/>
    </row>
    <row r="575" spans="1:20" s="21" customFormat="1" x14ac:dyDescent="0.35">
      <c r="A575" s="11">
        <f t="shared" si="81"/>
        <v>139</v>
      </c>
      <c r="B575" s="109">
        <v>4347</v>
      </c>
      <c r="C575" s="175" t="s">
        <v>120</v>
      </c>
      <c r="D575" s="97">
        <v>1969</v>
      </c>
      <c r="E575" s="96" t="s">
        <v>75</v>
      </c>
      <c r="F575" s="96" t="s">
        <v>155</v>
      </c>
      <c r="G575" s="22">
        <v>6152.2</v>
      </c>
      <c r="H575" s="22">
        <v>4495.8999999999996</v>
      </c>
      <c r="I575" s="108">
        <v>170</v>
      </c>
      <c r="J575" s="22">
        <f>'Форма 2'!I2069</f>
        <v>312205.44</v>
      </c>
      <c r="K575" s="22">
        <v>0</v>
      </c>
      <c r="L575" s="22">
        <v>0</v>
      </c>
      <c r="M575" s="22">
        <v>0</v>
      </c>
      <c r="N575" s="22">
        <f t="shared" si="82"/>
        <v>312205.44</v>
      </c>
      <c r="O575" s="22">
        <v>0</v>
      </c>
      <c r="P575" s="22">
        <f t="shared" si="80"/>
        <v>69.44</v>
      </c>
      <c r="Q575" s="22">
        <f>'Форма 2'!K2069</f>
        <v>164</v>
      </c>
      <c r="R575" s="38" t="s">
        <v>164</v>
      </c>
      <c r="S575" s="172">
        <v>1</v>
      </c>
      <c r="T575" s="33"/>
    </row>
    <row r="576" spans="1:20" s="21" customFormat="1" x14ac:dyDescent="0.35">
      <c r="A576" s="11">
        <f t="shared" si="81"/>
        <v>140</v>
      </c>
      <c r="B576" s="109">
        <v>3198</v>
      </c>
      <c r="C576" s="175" t="s">
        <v>586</v>
      </c>
      <c r="D576" s="97">
        <v>1976</v>
      </c>
      <c r="E576" s="96" t="s">
        <v>75</v>
      </c>
      <c r="F576" s="96" t="s">
        <v>155</v>
      </c>
      <c r="G576" s="22">
        <v>2977.1</v>
      </c>
      <c r="H576" s="22">
        <v>2619.1</v>
      </c>
      <c r="I576" s="108">
        <v>99</v>
      </c>
      <c r="J576" s="22">
        <f>'Форма 2'!I2071</f>
        <v>429532.4</v>
      </c>
      <c r="K576" s="22">
        <v>0</v>
      </c>
      <c r="L576" s="22">
        <v>0</v>
      </c>
      <c r="M576" s="22">
        <v>0</v>
      </c>
      <c r="N576" s="22">
        <f>J576-K576-L576-M576-O576</f>
        <v>429532.4</v>
      </c>
      <c r="O576" s="22">
        <v>0</v>
      </c>
      <c r="P576" s="22">
        <f t="shared" si="80"/>
        <v>164</v>
      </c>
      <c r="Q576" s="22">
        <f>'Форма 2'!K2071</f>
        <v>164</v>
      </c>
      <c r="R576" s="38" t="s">
        <v>164</v>
      </c>
      <c r="S576" s="172">
        <v>1</v>
      </c>
      <c r="T576" s="33"/>
    </row>
    <row r="577" spans="1:20" s="21" customFormat="1" x14ac:dyDescent="0.35">
      <c r="A577" s="11">
        <f t="shared" si="81"/>
        <v>141</v>
      </c>
      <c r="B577" s="109">
        <v>3200</v>
      </c>
      <c r="C577" s="175" t="s">
        <v>121</v>
      </c>
      <c r="D577" s="97">
        <v>1967</v>
      </c>
      <c r="E577" s="96" t="s">
        <v>75</v>
      </c>
      <c r="F577" s="96" t="s">
        <v>155</v>
      </c>
      <c r="G577" s="22">
        <v>1720.3</v>
      </c>
      <c r="H577" s="22">
        <v>1603.2</v>
      </c>
      <c r="I577" s="108">
        <v>61</v>
      </c>
      <c r="J577" s="22">
        <f>'Форма 2'!I2073</f>
        <v>262924.79999999999</v>
      </c>
      <c r="K577" s="22">
        <v>0</v>
      </c>
      <c r="L577" s="22">
        <v>0</v>
      </c>
      <c r="M577" s="22">
        <v>0</v>
      </c>
      <c r="N577" s="22">
        <f t="shared" si="82"/>
        <v>262924.79999999999</v>
      </c>
      <c r="O577" s="22">
        <v>0</v>
      </c>
      <c r="P577" s="22">
        <f t="shared" si="80"/>
        <v>164</v>
      </c>
      <c r="Q577" s="22">
        <f>'Форма 2'!K2073</f>
        <v>164</v>
      </c>
      <c r="R577" s="38" t="s">
        <v>164</v>
      </c>
      <c r="S577" s="172">
        <v>1</v>
      </c>
      <c r="T577" s="33"/>
    </row>
    <row r="578" spans="1:20" s="21" customFormat="1" x14ac:dyDescent="0.35">
      <c r="A578" s="11">
        <f t="shared" si="81"/>
        <v>142</v>
      </c>
      <c r="B578" s="109">
        <v>3204</v>
      </c>
      <c r="C578" s="175" t="s">
        <v>587</v>
      </c>
      <c r="D578" s="97">
        <v>1976</v>
      </c>
      <c r="E578" s="11" t="s">
        <v>75</v>
      </c>
      <c r="F578" s="11" t="s">
        <v>155</v>
      </c>
      <c r="G578" s="22">
        <v>2920.3</v>
      </c>
      <c r="H578" s="22">
        <v>2626.3</v>
      </c>
      <c r="I578" s="108">
        <v>99</v>
      </c>
      <c r="J578" s="22">
        <f>'Форма 2'!I2075</f>
        <v>430713.2</v>
      </c>
      <c r="K578" s="22">
        <v>0</v>
      </c>
      <c r="L578" s="22">
        <v>0</v>
      </c>
      <c r="M578" s="22">
        <v>0</v>
      </c>
      <c r="N578" s="22">
        <f t="shared" si="82"/>
        <v>430713.2</v>
      </c>
      <c r="O578" s="22">
        <v>0</v>
      </c>
      <c r="P578" s="22">
        <f t="shared" si="80"/>
        <v>164</v>
      </c>
      <c r="Q578" s="22">
        <f>'Форма 2'!K2075</f>
        <v>164</v>
      </c>
      <c r="R578" s="38" t="s">
        <v>164</v>
      </c>
      <c r="S578" s="172">
        <v>1</v>
      </c>
      <c r="T578" s="33"/>
    </row>
    <row r="579" spans="1:20" s="21" customFormat="1" x14ac:dyDescent="0.35">
      <c r="A579" s="11">
        <f t="shared" si="81"/>
        <v>143</v>
      </c>
      <c r="B579" s="109">
        <v>3340</v>
      </c>
      <c r="C579" s="175" t="s">
        <v>762</v>
      </c>
      <c r="D579" s="97">
        <v>1986</v>
      </c>
      <c r="E579" s="96" t="s">
        <v>787</v>
      </c>
      <c r="F579" s="96" t="s">
        <v>155</v>
      </c>
      <c r="G579" s="22">
        <v>7280.46</v>
      </c>
      <c r="H579" s="22">
        <v>6156.86</v>
      </c>
      <c r="I579" s="108">
        <v>233</v>
      </c>
      <c r="J579" s="22">
        <f>'Форма 2'!I2077</f>
        <v>357097.88</v>
      </c>
      <c r="K579" s="22">
        <v>0</v>
      </c>
      <c r="L579" s="22">
        <v>0</v>
      </c>
      <c r="M579" s="22">
        <v>0</v>
      </c>
      <c r="N579" s="22">
        <f t="shared" si="82"/>
        <v>357097.88</v>
      </c>
      <c r="O579" s="22">
        <v>0</v>
      </c>
      <c r="P579" s="22">
        <f t="shared" si="80"/>
        <v>58</v>
      </c>
      <c r="Q579" s="22">
        <f>'Форма 2'!K2077</f>
        <v>58</v>
      </c>
      <c r="R579" s="38" t="s">
        <v>164</v>
      </c>
      <c r="S579" s="172">
        <v>1</v>
      </c>
      <c r="T579" s="33"/>
    </row>
    <row r="580" spans="1:20" s="21" customFormat="1" x14ac:dyDescent="0.35">
      <c r="A580" s="11">
        <f t="shared" si="81"/>
        <v>144</v>
      </c>
      <c r="B580" s="109">
        <v>3359</v>
      </c>
      <c r="C580" s="175" t="s">
        <v>588</v>
      </c>
      <c r="D580" s="97">
        <v>1969</v>
      </c>
      <c r="E580" s="97" t="s">
        <v>75</v>
      </c>
      <c r="F580" s="97" t="s">
        <v>155</v>
      </c>
      <c r="G580" s="22">
        <v>3795.2</v>
      </c>
      <c r="H580" s="22">
        <v>3598</v>
      </c>
      <c r="I580" s="108">
        <v>136</v>
      </c>
      <c r="J580" s="22">
        <f>'Форма 2'!I2081</f>
        <v>590072</v>
      </c>
      <c r="K580" s="22">
        <v>0</v>
      </c>
      <c r="L580" s="22">
        <v>0</v>
      </c>
      <c r="M580" s="22">
        <v>0</v>
      </c>
      <c r="N580" s="22">
        <f>J580-K580-L580-M580-O580</f>
        <v>590072</v>
      </c>
      <c r="O580" s="22">
        <v>0</v>
      </c>
      <c r="P580" s="22">
        <f t="shared" si="80"/>
        <v>164</v>
      </c>
      <c r="Q580" s="22">
        <f>'Форма 2'!K2081</f>
        <v>164</v>
      </c>
      <c r="R580" s="38" t="s">
        <v>164</v>
      </c>
      <c r="S580" s="172">
        <v>1</v>
      </c>
      <c r="T580" s="33"/>
    </row>
    <row r="581" spans="1:20" s="21" customFormat="1" x14ac:dyDescent="0.35">
      <c r="A581" s="11">
        <f t="shared" si="81"/>
        <v>145</v>
      </c>
      <c r="B581" s="109">
        <v>3091</v>
      </c>
      <c r="C581" s="175" t="s">
        <v>122</v>
      </c>
      <c r="D581" s="97">
        <v>1968</v>
      </c>
      <c r="E581" s="96" t="s">
        <v>75</v>
      </c>
      <c r="F581" s="96" t="s">
        <v>155</v>
      </c>
      <c r="G581" s="22">
        <v>2989.9</v>
      </c>
      <c r="H581" s="22">
        <v>2709.9</v>
      </c>
      <c r="I581" s="108">
        <v>102</v>
      </c>
      <c r="J581" s="22">
        <f>'Форма 2'!I2083</f>
        <v>444423.6</v>
      </c>
      <c r="K581" s="22">
        <v>0</v>
      </c>
      <c r="L581" s="22">
        <v>0</v>
      </c>
      <c r="M581" s="22">
        <v>0</v>
      </c>
      <c r="N581" s="22">
        <f t="shared" si="82"/>
        <v>444423.6</v>
      </c>
      <c r="O581" s="22">
        <v>0</v>
      </c>
      <c r="P581" s="22">
        <f t="shared" si="80"/>
        <v>164</v>
      </c>
      <c r="Q581" s="22">
        <f>'Форма 2'!K2083</f>
        <v>164</v>
      </c>
      <c r="R581" s="38" t="s">
        <v>164</v>
      </c>
      <c r="S581" s="172">
        <v>1</v>
      </c>
      <c r="T581" s="33"/>
    </row>
    <row r="582" spans="1:20" s="194" customFormat="1" ht="31" x14ac:dyDescent="0.35">
      <c r="A582" s="124">
        <f t="shared" si="81"/>
        <v>146</v>
      </c>
      <c r="B582" s="124">
        <v>3278</v>
      </c>
      <c r="C582" s="37" t="s">
        <v>370</v>
      </c>
      <c r="D582" s="96">
        <v>1978</v>
      </c>
      <c r="E582" s="96" t="s">
        <v>589</v>
      </c>
      <c r="F582" s="96" t="s">
        <v>590</v>
      </c>
      <c r="G582" s="86">
        <v>4824.5</v>
      </c>
      <c r="H582" s="86">
        <v>4404.5</v>
      </c>
      <c r="I582" s="99">
        <v>224</v>
      </c>
      <c r="J582" s="86">
        <f>'Форма 2'!I2085</f>
        <v>10058552.25</v>
      </c>
      <c r="K582" s="86">
        <v>0</v>
      </c>
      <c r="L582" s="86">
        <v>0</v>
      </c>
      <c r="M582" s="86">
        <v>0</v>
      </c>
      <c r="N582" s="86">
        <f t="shared" si="82"/>
        <v>10058552.25</v>
      </c>
      <c r="O582" s="86">
        <v>0</v>
      </c>
      <c r="P582" s="86">
        <f t="shared" si="80"/>
        <v>2283.6999999999998</v>
      </c>
      <c r="Q582" s="86">
        <f>'Форма 2'!K2085</f>
        <v>3677</v>
      </c>
      <c r="R582" s="182" t="s">
        <v>164</v>
      </c>
      <c r="S582" s="183">
        <v>1</v>
      </c>
      <c r="T582" s="33"/>
    </row>
    <row r="583" spans="1:20" s="194" customFormat="1" ht="31" x14ac:dyDescent="0.35">
      <c r="A583" s="124">
        <f t="shared" si="81"/>
        <v>147</v>
      </c>
      <c r="B583" s="124">
        <v>3280</v>
      </c>
      <c r="C583" s="37" t="s">
        <v>372</v>
      </c>
      <c r="D583" s="96">
        <v>1978</v>
      </c>
      <c r="E583" s="96" t="s">
        <v>589</v>
      </c>
      <c r="F583" s="96" t="s">
        <v>733</v>
      </c>
      <c r="G583" s="86">
        <v>4732.6000000000004</v>
      </c>
      <c r="H583" s="86">
        <v>4328.8</v>
      </c>
      <c r="I583" s="99">
        <v>224</v>
      </c>
      <c r="J583" s="86">
        <f>'Форма 2'!I2095</f>
        <v>15916997.6</v>
      </c>
      <c r="K583" s="86">
        <v>0</v>
      </c>
      <c r="L583" s="86">
        <v>0</v>
      </c>
      <c r="M583" s="86">
        <v>0</v>
      </c>
      <c r="N583" s="86">
        <f t="shared" si="82"/>
        <v>15916997.6</v>
      </c>
      <c r="O583" s="86">
        <v>0</v>
      </c>
      <c r="P583" s="86">
        <f t="shared" si="80"/>
        <v>3677</v>
      </c>
      <c r="Q583" s="86">
        <f>'Форма 2'!K2095</f>
        <v>3677</v>
      </c>
      <c r="R583" s="182" t="s">
        <v>164</v>
      </c>
      <c r="S583" s="183">
        <v>1</v>
      </c>
      <c r="T583" s="33"/>
    </row>
    <row r="584" spans="1:20" s="194" customFormat="1" ht="31" x14ac:dyDescent="0.35">
      <c r="A584" s="124">
        <f t="shared" si="81"/>
        <v>148</v>
      </c>
      <c r="B584" s="124">
        <v>3281</v>
      </c>
      <c r="C584" s="37" t="s">
        <v>373</v>
      </c>
      <c r="D584" s="96">
        <v>1971</v>
      </c>
      <c r="E584" s="96" t="s">
        <v>371</v>
      </c>
      <c r="F584" s="96" t="s">
        <v>158</v>
      </c>
      <c r="G584" s="86">
        <v>4719</v>
      </c>
      <c r="H584" s="86">
        <v>4302</v>
      </c>
      <c r="I584" s="99">
        <v>220</v>
      </c>
      <c r="J584" s="86">
        <f>'Форма 2'!I2105</f>
        <v>15112926</v>
      </c>
      <c r="K584" s="86">
        <v>0</v>
      </c>
      <c r="L584" s="86">
        <v>0</v>
      </c>
      <c r="M584" s="86">
        <v>0</v>
      </c>
      <c r="N584" s="86">
        <f t="shared" si="82"/>
        <v>15112926</v>
      </c>
      <c r="O584" s="86">
        <v>0</v>
      </c>
      <c r="P584" s="86">
        <f t="shared" si="80"/>
        <v>3513</v>
      </c>
      <c r="Q584" s="86">
        <f>'Форма 2'!K2105</f>
        <v>3513</v>
      </c>
      <c r="R584" s="182" t="s">
        <v>164</v>
      </c>
      <c r="S584" s="183">
        <v>1</v>
      </c>
      <c r="T584" s="33"/>
    </row>
    <row r="585" spans="1:20" s="21" customFormat="1" x14ac:dyDescent="0.35">
      <c r="A585" s="11">
        <f t="shared" si="81"/>
        <v>149</v>
      </c>
      <c r="B585" s="109">
        <v>4050</v>
      </c>
      <c r="C585" s="175" t="s">
        <v>123</v>
      </c>
      <c r="D585" s="97">
        <v>1972</v>
      </c>
      <c r="E585" s="97" t="s">
        <v>75</v>
      </c>
      <c r="F585" s="97" t="s">
        <v>155</v>
      </c>
      <c r="G585" s="22">
        <v>3250.4</v>
      </c>
      <c r="H585" s="22">
        <v>3115</v>
      </c>
      <c r="I585" s="108">
        <v>118</v>
      </c>
      <c r="J585" s="22">
        <f>'Форма 2'!I2114</f>
        <v>510860</v>
      </c>
      <c r="K585" s="22">
        <v>0</v>
      </c>
      <c r="L585" s="22">
        <v>0</v>
      </c>
      <c r="M585" s="22">
        <v>0</v>
      </c>
      <c r="N585" s="22">
        <f t="shared" si="82"/>
        <v>510860</v>
      </c>
      <c r="O585" s="22">
        <v>0</v>
      </c>
      <c r="P585" s="22">
        <f t="shared" si="80"/>
        <v>164</v>
      </c>
      <c r="Q585" s="22">
        <f>'Форма 2'!K2114</f>
        <v>164</v>
      </c>
      <c r="R585" s="38" t="s">
        <v>164</v>
      </c>
      <c r="S585" s="172">
        <v>1</v>
      </c>
      <c r="T585" s="33"/>
    </row>
    <row r="586" spans="1:20" s="21" customFormat="1" x14ac:dyDescent="0.35">
      <c r="A586" s="11">
        <f t="shared" si="81"/>
        <v>150</v>
      </c>
      <c r="B586" s="109">
        <v>4051</v>
      </c>
      <c r="C586" s="175" t="s">
        <v>124</v>
      </c>
      <c r="D586" s="97">
        <v>1972</v>
      </c>
      <c r="E586" s="97" t="s">
        <v>75</v>
      </c>
      <c r="F586" s="97" t="s">
        <v>155</v>
      </c>
      <c r="G586" s="22">
        <v>3250.4</v>
      </c>
      <c r="H586" s="22">
        <v>3115</v>
      </c>
      <c r="I586" s="108">
        <v>118</v>
      </c>
      <c r="J586" s="22">
        <f>'Форма 2'!I2116</f>
        <v>510860</v>
      </c>
      <c r="K586" s="22">
        <v>0</v>
      </c>
      <c r="L586" s="22">
        <v>0</v>
      </c>
      <c r="M586" s="22">
        <v>0</v>
      </c>
      <c r="N586" s="22">
        <f t="shared" si="82"/>
        <v>510860</v>
      </c>
      <c r="O586" s="22">
        <v>0</v>
      </c>
      <c r="P586" s="22">
        <f t="shared" si="80"/>
        <v>164</v>
      </c>
      <c r="Q586" s="22">
        <f>'Форма 2'!K2116</f>
        <v>164</v>
      </c>
      <c r="R586" s="38" t="s">
        <v>164</v>
      </c>
      <c r="S586" s="172">
        <v>1</v>
      </c>
      <c r="T586" s="33"/>
    </row>
    <row r="587" spans="1:20" s="21" customFormat="1" x14ac:dyDescent="0.35">
      <c r="A587" s="11">
        <f t="shared" si="81"/>
        <v>151</v>
      </c>
      <c r="B587" s="109">
        <v>4052</v>
      </c>
      <c r="C587" s="175" t="s">
        <v>125</v>
      </c>
      <c r="D587" s="97">
        <v>1972</v>
      </c>
      <c r="E587" s="96" t="s">
        <v>75</v>
      </c>
      <c r="F587" s="96" t="s">
        <v>155</v>
      </c>
      <c r="G587" s="22">
        <v>3622.1</v>
      </c>
      <c r="H587" s="22">
        <v>3327.5</v>
      </c>
      <c r="I587" s="108">
        <v>126</v>
      </c>
      <c r="J587" s="22">
        <f>'Форма 2'!I2118</f>
        <v>545710</v>
      </c>
      <c r="K587" s="22">
        <v>0</v>
      </c>
      <c r="L587" s="22">
        <v>0</v>
      </c>
      <c r="M587" s="22">
        <v>0</v>
      </c>
      <c r="N587" s="22">
        <f t="shared" si="82"/>
        <v>545710</v>
      </c>
      <c r="O587" s="22">
        <v>0</v>
      </c>
      <c r="P587" s="22">
        <f t="shared" si="80"/>
        <v>164</v>
      </c>
      <c r="Q587" s="22">
        <f>'Форма 2'!K2118</f>
        <v>164</v>
      </c>
      <c r="R587" s="38" t="s">
        <v>164</v>
      </c>
      <c r="S587" s="172">
        <v>1</v>
      </c>
      <c r="T587" s="33"/>
    </row>
    <row r="588" spans="1:20" s="21" customFormat="1" x14ac:dyDescent="0.35">
      <c r="A588" s="11">
        <f t="shared" si="81"/>
        <v>152</v>
      </c>
      <c r="B588" s="11">
        <v>4053</v>
      </c>
      <c r="C588" s="37" t="s">
        <v>374</v>
      </c>
      <c r="D588" s="97">
        <v>1972</v>
      </c>
      <c r="E588" s="96" t="s">
        <v>75</v>
      </c>
      <c r="F588" s="96" t="s">
        <v>486</v>
      </c>
      <c r="G588" s="22">
        <v>2862.3</v>
      </c>
      <c r="H588" s="22">
        <v>2642</v>
      </c>
      <c r="I588" s="26">
        <v>116</v>
      </c>
      <c r="J588" s="22">
        <f>'Форма 2'!I2120</f>
        <v>5611861.0300000003</v>
      </c>
      <c r="K588" s="22">
        <v>0</v>
      </c>
      <c r="L588" s="22">
        <v>0</v>
      </c>
      <c r="M588" s="22">
        <v>0</v>
      </c>
      <c r="N588" s="22">
        <f t="shared" si="82"/>
        <v>5611861.0300000003</v>
      </c>
      <c r="O588" s="22">
        <v>0</v>
      </c>
      <c r="P588" s="22">
        <f t="shared" si="80"/>
        <v>2124.1</v>
      </c>
      <c r="Q588" s="22">
        <f>'Форма 2'!K2120</f>
        <v>3449</v>
      </c>
      <c r="R588" s="38" t="s">
        <v>164</v>
      </c>
      <c r="S588" s="172">
        <v>1</v>
      </c>
      <c r="T588" s="33"/>
    </row>
    <row r="589" spans="1:20" s="21" customFormat="1" x14ac:dyDescent="0.35">
      <c r="A589" s="11">
        <f t="shared" si="81"/>
        <v>153</v>
      </c>
      <c r="B589" s="109">
        <v>3284</v>
      </c>
      <c r="C589" s="175" t="s">
        <v>591</v>
      </c>
      <c r="D589" s="97">
        <v>1972</v>
      </c>
      <c r="E589" s="96" t="s">
        <v>75</v>
      </c>
      <c r="F589" s="96" t="s">
        <v>155</v>
      </c>
      <c r="G589" s="22">
        <v>4029.4</v>
      </c>
      <c r="H589" s="22">
        <v>3631.8</v>
      </c>
      <c r="I589" s="108">
        <v>137</v>
      </c>
      <c r="J589" s="22">
        <f>'Форма 2'!I2123</f>
        <v>595615.19999999995</v>
      </c>
      <c r="K589" s="22">
        <v>0</v>
      </c>
      <c r="L589" s="22">
        <v>0</v>
      </c>
      <c r="M589" s="22">
        <v>0</v>
      </c>
      <c r="N589" s="22">
        <f t="shared" si="82"/>
        <v>595615.19999999995</v>
      </c>
      <c r="O589" s="22">
        <v>0</v>
      </c>
      <c r="P589" s="22">
        <f t="shared" si="80"/>
        <v>164</v>
      </c>
      <c r="Q589" s="22">
        <f>'Форма 2'!K2123</f>
        <v>164</v>
      </c>
      <c r="R589" s="38" t="s">
        <v>164</v>
      </c>
      <c r="S589" s="172">
        <v>1</v>
      </c>
      <c r="T589" s="33"/>
    </row>
    <row r="590" spans="1:20" s="21" customFormat="1" x14ac:dyDescent="0.35">
      <c r="A590" s="11">
        <f t="shared" si="81"/>
        <v>154</v>
      </c>
      <c r="B590" s="109">
        <v>3286</v>
      </c>
      <c r="C590" s="175" t="s">
        <v>592</v>
      </c>
      <c r="D590" s="97">
        <v>1972</v>
      </c>
      <c r="E590" s="96" t="s">
        <v>75</v>
      </c>
      <c r="F590" s="96" t="s">
        <v>155</v>
      </c>
      <c r="G590" s="22">
        <v>3853.6</v>
      </c>
      <c r="H590" s="22">
        <v>3572.1</v>
      </c>
      <c r="I590" s="108">
        <v>135</v>
      </c>
      <c r="J590" s="22">
        <f>'Форма 2'!I2125</f>
        <v>585824.4</v>
      </c>
      <c r="K590" s="22">
        <v>0</v>
      </c>
      <c r="L590" s="22">
        <v>0</v>
      </c>
      <c r="M590" s="22">
        <v>0</v>
      </c>
      <c r="N590" s="22">
        <f t="shared" si="82"/>
        <v>585824.4</v>
      </c>
      <c r="O590" s="22">
        <v>0</v>
      </c>
      <c r="P590" s="22">
        <f t="shared" si="80"/>
        <v>164</v>
      </c>
      <c r="Q590" s="22">
        <f>'Форма 2'!K2125</f>
        <v>164</v>
      </c>
      <c r="R590" s="38" t="s">
        <v>164</v>
      </c>
      <c r="S590" s="172">
        <v>1</v>
      </c>
      <c r="T590" s="33"/>
    </row>
    <row r="591" spans="1:20" s="21" customFormat="1" x14ac:dyDescent="0.35">
      <c r="A591" s="11">
        <f t="shared" si="81"/>
        <v>155</v>
      </c>
      <c r="B591" s="109">
        <v>3166</v>
      </c>
      <c r="C591" s="175" t="s">
        <v>763</v>
      </c>
      <c r="D591" s="97">
        <v>1987</v>
      </c>
      <c r="E591" s="97" t="s">
        <v>75</v>
      </c>
      <c r="F591" s="97" t="s">
        <v>155</v>
      </c>
      <c r="G591" s="22">
        <v>5628.2</v>
      </c>
      <c r="H591" s="22">
        <v>5017.7</v>
      </c>
      <c r="I591" s="108">
        <v>190</v>
      </c>
      <c r="J591" s="22">
        <f>'Форма 2'!I2127</f>
        <v>822902.8</v>
      </c>
      <c r="K591" s="22">
        <v>0</v>
      </c>
      <c r="L591" s="22">
        <v>0</v>
      </c>
      <c r="M591" s="22">
        <v>0</v>
      </c>
      <c r="N591" s="22">
        <f t="shared" si="82"/>
        <v>822902.8</v>
      </c>
      <c r="O591" s="22">
        <v>0</v>
      </c>
      <c r="P591" s="22">
        <f t="shared" si="80"/>
        <v>164</v>
      </c>
      <c r="Q591" s="22">
        <f>'Форма 2'!K2127</f>
        <v>164</v>
      </c>
      <c r="R591" s="38" t="s">
        <v>164</v>
      </c>
      <c r="S591" s="172">
        <v>1</v>
      </c>
      <c r="T591" s="33"/>
    </row>
    <row r="592" spans="1:20" s="21" customFormat="1" x14ac:dyDescent="0.35">
      <c r="A592" s="11">
        <f t="shared" si="81"/>
        <v>156</v>
      </c>
      <c r="B592" s="109">
        <v>4240</v>
      </c>
      <c r="C592" s="175" t="s">
        <v>764</v>
      </c>
      <c r="D592" s="97">
        <v>1993</v>
      </c>
      <c r="E592" s="97" t="s">
        <v>75</v>
      </c>
      <c r="F592" s="97" t="s">
        <v>155</v>
      </c>
      <c r="G592" s="22">
        <v>18666.39</v>
      </c>
      <c r="H592" s="22">
        <v>16244.29</v>
      </c>
      <c r="I592" s="108">
        <v>614</v>
      </c>
      <c r="J592" s="22">
        <f>'Форма 2'!I2129</f>
        <v>2664063.56</v>
      </c>
      <c r="K592" s="22">
        <v>0</v>
      </c>
      <c r="L592" s="22">
        <v>0</v>
      </c>
      <c r="M592" s="22">
        <v>0</v>
      </c>
      <c r="N592" s="22">
        <f t="shared" si="82"/>
        <v>2664063.56</v>
      </c>
      <c r="O592" s="22">
        <v>0</v>
      </c>
      <c r="P592" s="22">
        <f t="shared" si="80"/>
        <v>164</v>
      </c>
      <c r="Q592" s="22">
        <f>'Форма 2'!K2129</f>
        <v>164</v>
      </c>
      <c r="R592" s="38" t="s">
        <v>164</v>
      </c>
      <c r="S592" s="172">
        <v>1</v>
      </c>
      <c r="T592" s="33"/>
    </row>
    <row r="593" spans="1:20" s="21" customFormat="1" x14ac:dyDescent="0.35">
      <c r="A593" s="11">
        <f t="shared" si="81"/>
        <v>157</v>
      </c>
      <c r="B593" s="109">
        <v>4329</v>
      </c>
      <c r="C593" s="175" t="s">
        <v>378</v>
      </c>
      <c r="D593" s="97">
        <v>1989</v>
      </c>
      <c r="E593" s="97" t="s">
        <v>75</v>
      </c>
      <c r="F593" s="97" t="s">
        <v>155</v>
      </c>
      <c r="G593" s="22">
        <v>8517.23</v>
      </c>
      <c r="H593" s="22">
        <v>6684.43</v>
      </c>
      <c r="I593" s="108">
        <v>253</v>
      </c>
      <c r="J593" s="22">
        <f>'Форма 2'!I2131</f>
        <v>1096246.52</v>
      </c>
      <c r="K593" s="22">
        <v>0</v>
      </c>
      <c r="L593" s="22">
        <v>0</v>
      </c>
      <c r="M593" s="22">
        <v>0</v>
      </c>
      <c r="N593" s="22">
        <f t="shared" si="82"/>
        <v>1096246.52</v>
      </c>
      <c r="O593" s="22">
        <v>0</v>
      </c>
      <c r="P593" s="22">
        <f t="shared" si="80"/>
        <v>164</v>
      </c>
      <c r="Q593" s="22">
        <f>'Форма 2'!K2131</f>
        <v>164</v>
      </c>
      <c r="R593" s="38" t="s">
        <v>164</v>
      </c>
      <c r="S593" s="172">
        <v>1</v>
      </c>
      <c r="T593" s="33"/>
    </row>
    <row r="594" spans="1:20" s="21" customFormat="1" x14ac:dyDescent="0.35">
      <c r="A594" s="11">
        <f t="shared" si="81"/>
        <v>158</v>
      </c>
      <c r="B594" s="109">
        <v>4331</v>
      </c>
      <c r="C594" s="175" t="s">
        <v>765</v>
      </c>
      <c r="D594" s="97">
        <v>1991</v>
      </c>
      <c r="E594" s="96" t="s">
        <v>185</v>
      </c>
      <c r="F594" s="96" t="s">
        <v>155</v>
      </c>
      <c r="G594" s="22">
        <v>11578.2</v>
      </c>
      <c r="H594" s="22">
        <v>8909.4</v>
      </c>
      <c r="I594" s="108">
        <v>337</v>
      </c>
      <c r="J594" s="22">
        <f>'Форма 2'!I2133</f>
        <v>98320</v>
      </c>
      <c r="K594" s="22">
        <v>0</v>
      </c>
      <c r="L594" s="22">
        <v>0</v>
      </c>
      <c r="M594" s="22">
        <v>0</v>
      </c>
      <c r="N594" s="22">
        <f t="shared" si="82"/>
        <v>98320</v>
      </c>
      <c r="O594" s="22">
        <v>0</v>
      </c>
      <c r="P594" s="22">
        <f t="shared" si="80"/>
        <v>11.04</v>
      </c>
      <c r="Q594" s="22">
        <f>'Форма 2'!K2133</f>
        <v>11.04</v>
      </c>
      <c r="R594" s="38" t="s">
        <v>164</v>
      </c>
      <c r="S594" s="172">
        <v>1</v>
      </c>
      <c r="T594" s="33"/>
    </row>
    <row r="595" spans="1:20" s="21" customFormat="1" x14ac:dyDescent="0.35">
      <c r="A595" s="11">
        <f t="shared" si="81"/>
        <v>159</v>
      </c>
      <c r="B595" s="109">
        <v>4334</v>
      </c>
      <c r="C595" s="175" t="s">
        <v>766</v>
      </c>
      <c r="D595" s="97">
        <v>1993</v>
      </c>
      <c r="E595" s="97" t="s">
        <v>75</v>
      </c>
      <c r="F595" s="97" t="s">
        <v>155</v>
      </c>
      <c r="G595" s="22">
        <v>11323.6</v>
      </c>
      <c r="H595" s="22">
        <v>8925.1</v>
      </c>
      <c r="I595" s="108">
        <v>337</v>
      </c>
      <c r="J595" s="22">
        <f>'Форма 2'!I2138</f>
        <v>1463716.4</v>
      </c>
      <c r="K595" s="22">
        <v>0</v>
      </c>
      <c r="L595" s="22">
        <v>0</v>
      </c>
      <c r="M595" s="22">
        <v>0</v>
      </c>
      <c r="N595" s="22">
        <f t="shared" si="82"/>
        <v>1463716.4</v>
      </c>
      <c r="O595" s="22">
        <v>0</v>
      </c>
      <c r="P595" s="22">
        <f t="shared" si="80"/>
        <v>164</v>
      </c>
      <c r="Q595" s="22">
        <f>'Форма 2'!K2138</f>
        <v>164</v>
      </c>
      <c r="R595" s="38" t="s">
        <v>164</v>
      </c>
      <c r="S595" s="172">
        <v>1</v>
      </c>
      <c r="T595" s="33"/>
    </row>
    <row r="596" spans="1:20" s="21" customFormat="1" x14ac:dyDescent="0.35">
      <c r="A596" s="11">
        <f t="shared" si="81"/>
        <v>160</v>
      </c>
      <c r="B596" s="109">
        <v>4335</v>
      </c>
      <c r="C596" s="175" t="s">
        <v>126</v>
      </c>
      <c r="D596" s="97">
        <v>1966</v>
      </c>
      <c r="E596" s="96" t="s">
        <v>439</v>
      </c>
      <c r="F596" s="96" t="s">
        <v>155</v>
      </c>
      <c r="G596" s="22">
        <v>3606.8</v>
      </c>
      <c r="H596" s="22">
        <v>2109.1999999999998</v>
      </c>
      <c r="I596" s="108">
        <v>80</v>
      </c>
      <c r="J596" s="22">
        <f>'Форма 2'!I2140</f>
        <v>92804.800000000003</v>
      </c>
      <c r="K596" s="22">
        <v>0</v>
      </c>
      <c r="L596" s="22">
        <v>0</v>
      </c>
      <c r="M596" s="22">
        <v>0</v>
      </c>
      <c r="N596" s="22">
        <f t="shared" si="82"/>
        <v>92804.800000000003</v>
      </c>
      <c r="O596" s="22">
        <v>0</v>
      </c>
      <c r="P596" s="22">
        <f t="shared" si="80"/>
        <v>44</v>
      </c>
      <c r="Q596" s="22">
        <f>'Форма 2'!K2140</f>
        <v>44</v>
      </c>
      <c r="R596" s="38" t="s">
        <v>164</v>
      </c>
      <c r="S596" s="172">
        <v>1</v>
      </c>
      <c r="T596" s="33"/>
    </row>
    <row r="597" spans="1:20" s="21" customFormat="1" x14ac:dyDescent="0.35">
      <c r="A597" s="11">
        <f t="shared" si="81"/>
        <v>161</v>
      </c>
      <c r="B597" s="109">
        <v>3431</v>
      </c>
      <c r="C597" s="175" t="s">
        <v>767</v>
      </c>
      <c r="D597" s="97">
        <v>1990</v>
      </c>
      <c r="E597" s="96" t="s">
        <v>185</v>
      </c>
      <c r="F597" s="96" t="s">
        <v>155</v>
      </c>
      <c r="G597" s="22">
        <v>5782.2</v>
      </c>
      <c r="H597" s="22">
        <v>5083.3999999999996</v>
      </c>
      <c r="I597" s="108">
        <v>192</v>
      </c>
      <c r="J597" s="22">
        <f>'Форма 2'!I2142</f>
        <v>49160</v>
      </c>
      <c r="K597" s="22">
        <v>0</v>
      </c>
      <c r="L597" s="22">
        <v>0</v>
      </c>
      <c r="M597" s="22">
        <v>0</v>
      </c>
      <c r="N597" s="22">
        <f t="shared" si="82"/>
        <v>49160</v>
      </c>
      <c r="O597" s="22">
        <v>0</v>
      </c>
      <c r="P597" s="22">
        <f t="shared" si="80"/>
        <v>9.67</v>
      </c>
      <c r="Q597" s="22">
        <f>'Форма 2'!K2142</f>
        <v>9.67</v>
      </c>
      <c r="R597" s="38" t="s">
        <v>164</v>
      </c>
      <c r="S597" s="172">
        <v>1</v>
      </c>
      <c r="T597" s="33"/>
    </row>
    <row r="598" spans="1:20" s="21" customFormat="1" x14ac:dyDescent="0.35">
      <c r="A598" s="11">
        <f t="shared" si="81"/>
        <v>162</v>
      </c>
      <c r="B598" s="109">
        <v>3116</v>
      </c>
      <c r="C598" s="175" t="s">
        <v>768</v>
      </c>
      <c r="D598" s="97">
        <v>1983</v>
      </c>
      <c r="E598" s="96" t="s">
        <v>75</v>
      </c>
      <c r="F598" s="96" t="s">
        <v>155</v>
      </c>
      <c r="G598" s="22">
        <v>2648</v>
      </c>
      <c r="H598" s="22">
        <v>2341</v>
      </c>
      <c r="I598" s="108">
        <v>88</v>
      </c>
      <c r="J598" s="22">
        <f>'Форма 2'!I2145</f>
        <v>383924</v>
      </c>
      <c r="K598" s="22">
        <v>0</v>
      </c>
      <c r="L598" s="22">
        <v>0</v>
      </c>
      <c r="M598" s="22">
        <v>0</v>
      </c>
      <c r="N598" s="22">
        <f t="shared" si="82"/>
        <v>383924</v>
      </c>
      <c r="O598" s="22">
        <v>0</v>
      </c>
      <c r="P598" s="22">
        <f t="shared" si="80"/>
        <v>164</v>
      </c>
      <c r="Q598" s="22">
        <f>'Форма 2'!K2145</f>
        <v>164</v>
      </c>
      <c r="R598" s="38" t="s">
        <v>164</v>
      </c>
      <c r="S598" s="172">
        <v>1</v>
      </c>
      <c r="T598" s="33"/>
    </row>
    <row r="599" spans="1:20" s="21" customFormat="1" x14ac:dyDescent="0.35">
      <c r="A599" s="11">
        <f t="shared" si="81"/>
        <v>163</v>
      </c>
      <c r="B599" s="109">
        <v>3291</v>
      </c>
      <c r="C599" s="175" t="s">
        <v>593</v>
      </c>
      <c r="D599" s="97">
        <v>1973</v>
      </c>
      <c r="E599" s="96" t="s">
        <v>75</v>
      </c>
      <c r="F599" s="96" t="s">
        <v>155</v>
      </c>
      <c r="G599" s="22">
        <v>3087</v>
      </c>
      <c r="H599" s="22">
        <v>2878.8</v>
      </c>
      <c r="I599" s="108">
        <v>109</v>
      </c>
      <c r="J599" s="22">
        <f>'Форма 2'!I2147</f>
        <v>472123.2</v>
      </c>
      <c r="K599" s="22">
        <v>0</v>
      </c>
      <c r="L599" s="22">
        <v>0</v>
      </c>
      <c r="M599" s="22">
        <v>0</v>
      </c>
      <c r="N599" s="22">
        <f t="shared" si="82"/>
        <v>472123.2</v>
      </c>
      <c r="O599" s="22">
        <v>0</v>
      </c>
      <c r="P599" s="22">
        <f t="shared" si="80"/>
        <v>164</v>
      </c>
      <c r="Q599" s="22">
        <f>'Форма 2'!K2147</f>
        <v>164</v>
      </c>
      <c r="R599" s="38" t="s">
        <v>164</v>
      </c>
      <c r="S599" s="172">
        <v>1</v>
      </c>
      <c r="T599" s="33"/>
    </row>
    <row r="600" spans="1:20" s="21" customFormat="1" x14ac:dyDescent="0.35">
      <c r="A600" s="11">
        <f t="shared" si="81"/>
        <v>164</v>
      </c>
      <c r="B600" s="109">
        <v>3295</v>
      </c>
      <c r="C600" s="175" t="s">
        <v>594</v>
      </c>
      <c r="D600" s="97">
        <v>1972</v>
      </c>
      <c r="E600" s="96" t="s">
        <v>75</v>
      </c>
      <c r="F600" s="96" t="s">
        <v>155</v>
      </c>
      <c r="G600" s="22">
        <v>3837.1</v>
      </c>
      <c r="H600" s="22">
        <v>3558.7</v>
      </c>
      <c r="I600" s="108">
        <v>134</v>
      </c>
      <c r="J600" s="22">
        <f>'Форма 2'!I2149</f>
        <v>583626.80000000005</v>
      </c>
      <c r="K600" s="22">
        <v>0</v>
      </c>
      <c r="L600" s="22">
        <v>0</v>
      </c>
      <c r="M600" s="22">
        <v>0</v>
      </c>
      <c r="N600" s="22">
        <f t="shared" si="82"/>
        <v>583626.80000000005</v>
      </c>
      <c r="O600" s="22">
        <v>0</v>
      </c>
      <c r="P600" s="22">
        <f t="shared" si="80"/>
        <v>164</v>
      </c>
      <c r="Q600" s="22">
        <f>'Форма 2'!K2149</f>
        <v>164</v>
      </c>
      <c r="R600" s="38" t="s">
        <v>164</v>
      </c>
      <c r="S600" s="172">
        <v>1</v>
      </c>
      <c r="T600" s="33"/>
    </row>
    <row r="601" spans="1:20" s="21" customFormat="1" x14ac:dyDescent="0.35">
      <c r="A601" s="11">
        <f t="shared" si="81"/>
        <v>165</v>
      </c>
      <c r="B601" s="109">
        <v>3298</v>
      </c>
      <c r="C601" s="175" t="s">
        <v>595</v>
      </c>
      <c r="D601" s="97">
        <v>1973</v>
      </c>
      <c r="E601" s="97" t="s">
        <v>75</v>
      </c>
      <c r="F601" s="97" t="s">
        <v>155</v>
      </c>
      <c r="G601" s="22">
        <v>2995.8</v>
      </c>
      <c r="H601" s="22">
        <v>2717.8</v>
      </c>
      <c r="I601" s="108">
        <v>103</v>
      </c>
      <c r="J601" s="22">
        <f>'Форма 2'!I2151</f>
        <v>445719.2</v>
      </c>
      <c r="K601" s="22">
        <v>0</v>
      </c>
      <c r="L601" s="22">
        <v>0</v>
      </c>
      <c r="M601" s="22">
        <v>0</v>
      </c>
      <c r="N601" s="22">
        <f t="shared" si="82"/>
        <v>445719.2</v>
      </c>
      <c r="O601" s="22">
        <v>0</v>
      </c>
      <c r="P601" s="22">
        <f t="shared" si="80"/>
        <v>164</v>
      </c>
      <c r="Q601" s="22">
        <f>'Форма 2'!K2151</f>
        <v>164</v>
      </c>
      <c r="R601" s="38" t="s">
        <v>164</v>
      </c>
      <c r="S601" s="172">
        <v>1</v>
      </c>
      <c r="T601" s="33"/>
    </row>
    <row r="602" spans="1:20" s="21" customFormat="1" x14ac:dyDescent="0.35">
      <c r="A602" s="11">
        <f t="shared" si="81"/>
        <v>166</v>
      </c>
      <c r="B602" s="109">
        <v>3299</v>
      </c>
      <c r="C602" s="175" t="s">
        <v>127</v>
      </c>
      <c r="D602" s="97">
        <v>1968</v>
      </c>
      <c r="E602" s="97" t="s">
        <v>75</v>
      </c>
      <c r="F602" s="97" t="s">
        <v>155</v>
      </c>
      <c r="G602" s="22">
        <v>3785.95</v>
      </c>
      <c r="H602" s="22">
        <v>3495.95</v>
      </c>
      <c r="I602" s="108">
        <v>132</v>
      </c>
      <c r="J602" s="22">
        <f>'Форма 2'!I2153</f>
        <v>573335.80000000005</v>
      </c>
      <c r="K602" s="22">
        <v>0</v>
      </c>
      <c r="L602" s="22">
        <v>0</v>
      </c>
      <c r="M602" s="22">
        <v>0</v>
      </c>
      <c r="N602" s="22">
        <f t="shared" si="82"/>
        <v>573335.80000000005</v>
      </c>
      <c r="O602" s="22">
        <v>0</v>
      </c>
      <c r="P602" s="22">
        <f t="shared" si="80"/>
        <v>164</v>
      </c>
      <c r="Q602" s="22">
        <f>'Форма 2'!K2153</f>
        <v>164</v>
      </c>
      <c r="R602" s="38" t="s">
        <v>164</v>
      </c>
      <c r="S602" s="172">
        <v>1</v>
      </c>
      <c r="T602" s="33"/>
    </row>
    <row r="603" spans="1:20" s="21" customFormat="1" x14ac:dyDescent="0.35">
      <c r="A603" s="11">
        <f t="shared" si="81"/>
        <v>167</v>
      </c>
      <c r="B603" s="11">
        <v>3301</v>
      </c>
      <c r="C603" s="37" t="s">
        <v>596</v>
      </c>
      <c r="D603" s="97">
        <v>1991</v>
      </c>
      <c r="E603" s="97" t="s">
        <v>185</v>
      </c>
      <c r="F603" s="97" t="s">
        <v>186</v>
      </c>
      <c r="G603" s="22">
        <v>10443.9</v>
      </c>
      <c r="H603" s="22">
        <v>8954.2000000000007</v>
      </c>
      <c r="I603" s="26">
        <v>419</v>
      </c>
      <c r="J603" s="22">
        <f>'Форма 2'!I2155</f>
        <v>7079888</v>
      </c>
      <c r="K603" s="22">
        <v>0</v>
      </c>
      <c r="L603" s="22">
        <v>0</v>
      </c>
      <c r="M603" s="22">
        <v>0</v>
      </c>
      <c r="N603" s="22">
        <f>J603-K603-L603-M603-O603</f>
        <v>7079888</v>
      </c>
      <c r="O603" s="22">
        <v>0</v>
      </c>
      <c r="P603" s="22">
        <f t="shared" si="80"/>
        <v>790.68</v>
      </c>
      <c r="Q603" s="22">
        <f>'Форма 2'!K2155</f>
        <v>790.68</v>
      </c>
      <c r="R603" s="38" t="s">
        <v>164</v>
      </c>
      <c r="S603" s="172">
        <v>1</v>
      </c>
      <c r="T603" s="33"/>
    </row>
    <row r="604" spans="1:20" s="21" customFormat="1" x14ac:dyDescent="0.35">
      <c r="A604" s="11">
        <f t="shared" si="81"/>
        <v>168</v>
      </c>
      <c r="B604" s="109">
        <v>3105</v>
      </c>
      <c r="C604" s="175" t="s">
        <v>769</v>
      </c>
      <c r="D604" s="97">
        <v>1995</v>
      </c>
      <c r="E604" s="96" t="s">
        <v>75</v>
      </c>
      <c r="F604" s="96" t="s">
        <v>155</v>
      </c>
      <c r="G604" s="22">
        <v>14149.1</v>
      </c>
      <c r="H604" s="22">
        <v>11658.1</v>
      </c>
      <c r="I604" s="108">
        <v>440</v>
      </c>
      <c r="J604" s="22">
        <f>'Форма 2'!I2168</f>
        <v>1911928.4</v>
      </c>
      <c r="K604" s="22">
        <v>0</v>
      </c>
      <c r="L604" s="22">
        <v>0</v>
      </c>
      <c r="M604" s="22">
        <v>0</v>
      </c>
      <c r="N604" s="22">
        <f>J604-K604-L604-M604-O604</f>
        <v>1911928.4</v>
      </c>
      <c r="O604" s="22">
        <v>0</v>
      </c>
      <c r="P604" s="22">
        <f t="shared" si="80"/>
        <v>164</v>
      </c>
      <c r="Q604" s="22">
        <f>'Форма 2'!K2168</f>
        <v>164</v>
      </c>
      <c r="R604" s="38" t="s">
        <v>164</v>
      </c>
      <c r="S604" s="172">
        <v>1</v>
      </c>
      <c r="T604" s="33"/>
    </row>
    <row r="605" spans="1:20" s="21" customFormat="1" ht="31" x14ac:dyDescent="0.35">
      <c r="A605" s="11">
        <f t="shared" si="81"/>
        <v>169</v>
      </c>
      <c r="B605" s="11">
        <v>4380</v>
      </c>
      <c r="C605" s="37" t="s">
        <v>597</v>
      </c>
      <c r="D605" s="96" t="s">
        <v>598</v>
      </c>
      <c r="E605" s="97" t="s">
        <v>185</v>
      </c>
      <c r="F605" s="97" t="s">
        <v>186</v>
      </c>
      <c r="G605" s="22">
        <v>12217.4</v>
      </c>
      <c r="H605" s="22">
        <v>9586.5</v>
      </c>
      <c r="I605" s="26">
        <v>369</v>
      </c>
      <c r="J605" s="22">
        <f>'Форма 2'!I2170</f>
        <v>8849860</v>
      </c>
      <c r="K605" s="22">
        <v>0</v>
      </c>
      <c r="L605" s="22">
        <v>0</v>
      </c>
      <c r="M605" s="22">
        <v>0</v>
      </c>
      <c r="N605" s="22">
        <f>J605-K605-L605-M605-O605</f>
        <v>8849860</v>
      </c>
      <c r="O605" s="22">
        <v>0</v>
      </c>
      <c r="P605" s="22">
        <f t="shared" si="80"/>
        <v>923.16</v>
      </c>
      <c r="Q605" s="22">
        <f>'Форма 2'!K2170</f>
        <v>923.16</v>
      </c>
      <c r="R605" s="38" t="s">
        <v>164</v>
      </c>
      <c r="S605" s="172">
        <v>1</v>
      </c>
      <c r="T605" s="33"/>
    </row>
    <row r="606" spans="1:20" s="194" customFormat="1" ht="31" x14ac:dyDescent="0.35">
      <c r="A606" s="124">
        <f t="shared" si="81"/>
        <v>170</v>
      </c>
      <c r="B606" s="195">
        <v>3131</v>
      </c>
      <c r="C606" s="175" t="s">
        <v>770</v>
      </c>
      <c r="D606" s="96" t="s">
        <v>788</v>
      </c>
      <c r="E606" s="96" t="s">
        <v>789</v>
      </c>
      <c r="F606" s="96" t="s">
        <v>155</v>
      </c>
      <c r="G606" s="86">
        <v>12716</v>
      </c>
      <c r="H606" s="86">
        <v>10845</v>
      </c>
      <c r="I606" s="108">
        <v>410</v>
      </c>
      <c r="J606" s="86">
        <f>'Форма 2'!I2186</f>
        <v>733110</v>
      </c>
      <c r="K606" s="86">
        <v>0</v>
      </c>
      <c r="L606" s="86">
        <v>0</v>
      </c>
      <c r="M606" s="86">
        <v>0</v>
      </c>
      <c r="N606" s="86">
        <f>J606-K606-L606-M606-O606</f>
        <v>733110</v>
      </c>
      <c r="O606" s="86">
        <v>0</v>
      </c>
      <c r="P606" s="86">
        <f t="shared" si="80"/>
        <v>67.599999999999994</v>
      </c>
      <c r="Q606" s="86">
        <f>'Форма 2'!K2186</f>
        <v>67.599999999999994</v>
      </c>
      <c r="R606" s="182" t="s">
        <v>164</v>
      </c>
      <c r="S606" s="183">
        <v>1</v>
      </c>
      <c r="T606" s="33"/>
    </row>
    <row r="607" spans="1:20" s="21" customFormat="1" x14ac:dyDescent="0.35">
      <c r="A607" s="11">
        <f t="shared" si="81"/>
        <v>171</v>
      </c>
      <c r="B607" s="109">
        <v>3313</v>
      </c>
      <c r="C607" s="175" t="s">
        <v>599</v>
      </c>
      <c r="D607" s="97">
        <v>1973</v>
      </c>
      <c r="E607" s="96" t="s">
        <v>75</v>
      </c>
      <c r="F607" s="96" t="s">
        <v>155</v>
      </c>
      <c r="G607" s="22">
        <v>3909.4</v>
      </c>
      <c r="H607" s="22">
        <v>3573</v>
      </c>
      <c r="I607" s="108">
        <v>135</v>
      </c>
      <c r="J607" s="22">
        <f>'Форма 2'!I2194</f>
        <v>585972</v>
      </c>
      <c r="K607" s="22">
        <v>0</v>
      </c>
      <c r="L607" s="22">
        <v>0</v>
      </c>
      <c r="M607" s="22">
        <v>0</v>
      </c>
      <c r="N607" s="22">
        <f>J607-K607-L607-M607-O607</f>
        <v>585972</v>
      </c>
      <c r="O607" s="22">
        <v>0</v>
      </c>
      <c r="P607" s="22">
        <f t="shared" si="80"/>
        <v>164</v>
      </c>
      <c r="Q607" s="22">
        <f>'Форма 2'!K2194</f>
        <v>164</v>
      </c>
      <c r="R607" s="38" t="s">
        <v>164</v>
      </c>
      <c r="S607" s="172">
        <v>1</v>
      </c>
      <c r="T607" s="33"/>
    </row>
    <row r="608" spans="1:20" s="21" customFormat="1" x14ac:dyDescent="0.35">
      <c r="A608" s="11">
        <f t="shared" si="81"/>
        <v>172</v>
      </c>
      <c r="B608" s="109">
        <v>3316</v>
      </c>
      <c r="C608" s="175" t="s">
        <v>128</v>
      </c>
      <c r="D608" s="97">
        <v>1971</v>
      </c>
      <c r="E608" s="96" t="s">
        <v>75</v>
      </c>
      <c r="F608" s="96" t="s">
        <v>155</v>
      </c>
      <c r="G608" s="22">
        <v>3097.2</v>
      </c>
      <c r="H608" s="22">
        <v>2886.1</v>
      </c>
      <c r="I608" s="108">
        <v>109</v>
      </c>
      <c r="J608" s="22">
        <f>'Форма 2'!I2196</f>
        <v>473320.4</v>
      </c>
      <c r="K608" s="22">
        <v>0</v>
      </c>
      <c r="L608" s="22">
        <v>0</v>
      </c>
      <c r="M608" s="22">
        <v>0</v>
      </c>
      <c r="N608" s="22">
        <f t="shared" si="82"/>
        <v>473320.4</v>
      </c>
      <c r="O608" s="22">
        <v>0</v>
      </c>
      <c r="P608" s="22">
        <f t="shared" si="80"/>
        <v>164</v>
      </c>
      <c r="Q608" s="22">
        <f>'Форма 2'!K2196</f>
        <v>164</v>
      </c>
      <c r="R608" s="38" t="s">
        <v>164</v>
      </c>
      <c r="S608" s="172">
        <v>1</v>
      </c>
      <c r="T608" s="33"/>
    </row>
    <row r="609" spans="1:20" s="21" customFormat="1" x14ac:dyDescent="0.35">
      <c r="A609" s="11">
        <f t="shared" si="81"/>
        <v>173</v>
      </c>
      <c r="B609" s="11">
        <v>4342</v>
      </c>
      <c r="C609" s="37" t="s">
        <v>600</v>
      </c>
      <c r="D609" s="97">
        <v>1974</v>
      </c>
      <c r="E609" s="96" t="s">
        <v>75</v>
      </c>
      <c r="F609" s="96" t="s">
        <v>155</v>
      </c>
      <c r="G609" s="22">
        <v>5793.55</v>
      </c>
      <c r="H609" s="22">
        <v>4412.1499999999996</v>
      </c>
      <c r="I609" s="108">
        <v>167</v>
      </c>
      <c r="J609" s="22">
        <f>'Форма 2'!I2198</f>
        <v>723592.6</v>
      </c>
      <c r="K609" s="22">
        <v>0</v>
      </c>
      <c r="L609" s="22">
        <v>0</v>
      </c>
      <c r="M609" s="22">
        <v>0</v>
      </c>
      <c r="N609" s="22">
        <f t="shared" si="82"/>
        <v>723592.6</v>
      </c>
      <c r="O609" s="22">
        <v>0</v>
      </c>
      <c r="P609" s="22">
        <f t="shared" si="80"/>
        <v>164</v>
      </c>
      <c r="Q609" s="22">
        <f>'Форма 2'!K2198</f>
        <v>164</v>
      </c>
      <c r="R609" s="38" t="s">
        <v>164</v>
      </c>
      <c r="S609" s="172">
        <v>1</v>
      </c>
      <c r="T609" s="33"/>
    </row>
    <row r="610" spans="1:20" s="21" customFormat="1" x14ac:dyDescent="0.35">
      <c r="A610" s="11">
        <f t="shared" si="81"/>
        <v>174</v>
      </c>
      <c r="B610" s="109">
        <v>4343</v>
      </c>
      <c r="C610" s="175" t="s">
        <v>771</v>
      </c>
      <c r="D610" s="97">
        <v>1981</v>
      </c>
      <c r="E610" s="96" t="s">
        <v>75</v>
      </c>
      <c r="F610" s="96" t="s">
        <v>155</v>
      </c>
      <c r="G610" s="22">
        <v>3624.8</v>
      </c>
      <c r="H610" s="22">
        <v>2708.3</v>
      </c>
      <c r="I610" s="108">
        <v>102</v>
      </c>
      <c r="J610" s="22">
        <f>'Форма 2'!I2200</f>
        <v>395411.8</v>
      </c>
      <c r="K610" s="22">
        <v>0</v>
      </c>
      <c r="L610" s="22">
        <v>0</v>
      </c>
      <c r="M610" s="22">
        <v>0</v>
      </c>
      <c r="N610" s="22">
        <f t="shared" si="82"/>
        <v>395411.8</v>
      </c>
      <c r="O610" s="22">
        <v>0</v>
      </c>
      <c r="P610" s="22">
        <f t="shared" si="80"/>
        <v>146</v>
      </c>
      <c r="Q610" s="22">
        <f>'Форма 2'!K2200</f>
        <v>146</v>
      </c>
      <c r="R610" s="38" t="s">
        <v>164</v>
      </c>
      <c r="S610" s="172">
        <v>1</v>
      </c>
      <c r="T610" s="33"/>
    </row>
    <row r="611" spans="1:20" s="21" customFormat="1" x14ac:dyDescent="0.35">
      <c r="A611" s="11">
        <f t="shared" si="81"/>
        <v>175</v>
      </c>
      <c r="B611" s="109">
        <v>3318</v>
      </c>
      <c r="C611" s="175" t="s">
        <v>129</v>
      </c>
      <c r="D611" s="97">
        <v>1972</v>
      </c>
      <c r="E611" s="96" t="s">
        <v>75</v>
      </c>
      <c r="F611" s="96" t="s">
        <v>155</v>
      </c>
      <c r="G611" s="22">
        <v>3824.2</v>
      </c>
      <c r="H611" s="22">
        <v>3544.3</v>
      </c>
      <c r="I611" s="108">
        <v>134</v>
      </c>
      <c r="J611" s="22">
        <f>'Форма 2'!I2202</f>
        <v>581265.19999999995</v>
      </c>
      <c r="K611" s="22">
        <v>0</v>
      </c>
      <c r="L611" s="22">
        <v>0</v>
      </c>
      <c r="M611" s="22">
        <v>0</v>
      </c>
      <c r="N611" s="22">
        <f t="shared" si="82"/>
        <v>581265.19999999995</v>
      </c>
      <c r="O611" s="22">
        <v>0</v>
      </c>
      <c r="P611" s="22">
        <f t="shared" si="80"/>
        <v>164</v>
      </c>
      <c r="Q611" s="22">
        <f>'Форма 2'!K2202</f>
        <v>164</v>
      </c>
      <c r="R611" s="38" t="s">
        <v>164</v>
      </c>
      <c r="S611" s="172">
        <v>1</v>
      </c>
      <c r="T611" s="33"/>
    </row>
    <row r="612" spans="1:20" s="21" customFormat="1" x14ac:dyDescent="0.35">
      <c r="A612" s="11">
        <f t="shared" si="81"/>
        <v>176</v>
      </c>
      <c r="B612" s="11">
        <v>4344</v>
      </c>
      <c r="C612" s="37" t="s">
        <v>601</v>
      </c>
      <c r="D612" s="97">
        <v>1974</v>
      </c>
      <c r="E612" s="96" t="s">
        <v>75</v>
      </c>
      <c r="F612" s="96" t="s">
        <v>155</v>
      </c>
      <c r="G612" s="22">
        <v>4367.7</v>
      </c>
      <c r="H612" s="22">
        <v>3205.5</v>
      </c>
      <c r="I612" s="108">
        <v>121</v>
      </c>
      <c r="J612" s="22">
        <f>'Форма 2'!I2204</f>
        <v>258584.52</v>
      </c>
      <c r="K612" s="22">
        <v>0</v>
      </c>
      <c r="L612" s="22">
        <v>0</v>
      </c>
      <c r="M612" s="22">
        <v>0</v>
      </c>
      <c r="N612" s="22">
        <f t="shared" si="82"/>
        <v>258584.52</v>
      </c>
      <c r="O612" s="22">
        <v>0</v>
      </c>
      <c r="P612" s="22">
        <f t="shared" si="80"/>
        <v>80.67</v>
      </c>
      <c r="Q612" s="22">
        <f>'Форма 2'!K2204</f>
        <v>164</v>
      </c>
      <c r="R612" s="38" t="s">
        <v>164</v>
      </c>
      <c r="S612" s="172">
        <v>1</v>
      </c>
      <c r="T612" s="33"/>
    </row>
    <row r="613" spans="1:20" s="21" customFormat="1" x14ac:dyDescent="0.35">
      <c r="A613" s="11">
        <f t="shared" si="81"/>
        <v>177</v>
      </c>
      <c r="B613" s="109">
        <v>3319</v>
      </c>
      <c r="C613" s="175" t="s">
        <v>130</v>
      </c>
      <c r="D613" s="97">
        <v>1970</v>
      </c>
      <c r="E613" s="97" t="s">
        <v>75</v>
      </c>
      <c r="F613" s="97" t="s">
        <v>155</v>
      </c>
      <c r="G613" s="22">
        <v>3818.3</v>
      </c>
      <c r="H613" s="22">
        <v>3538.3</v>
      </c>
      <c r="I613" s="108">
        <v>134</v>
      </c>
      <c r="J613" s="22">
        <f>'Форма 2'!I2206</f>
        <v>580281.19999999995</v>
      </c>
      <c r="K613" s="22">
        <v>0</v>
      </c>
      <c r="L613" s="22">
        <v>0</v>
      </c>
      <c r="M613" s="22">
        <v>0</v>
      </c>
      <c r="N613" s="22">
        <f t="shared" si="82"/>
        <v>580281.19999999995</v>
      </c>
      <c r="O613" s="22">
        <v>0</v>
      </c>
      <c r="P613" s="22">
        <f t="shared" si="80"/>
        <v>164</v>
      </c>
      <c r="Q613" s="22">
        <f>'Форма 2'!K2206</f>
        <v>164</v>
      </c>
      <c r="R613" s="38" t="s">
        <v>164</v>
      </c>
      <c r="S613" s="172">
        <v>1</v>
      </c>
      <c r="T613" s="33"/>
    </row>
    <row r="614" spans="1:20" s="21" customFormat="1" x14ac:dyDescent="0.35">
      <c r="A614" s="11">
        <f t="shared" si="81"/>
        <v>178</v>
      </c>
      <c r="B614" s="109">
        <v>3320</v>
      </c>
      <c r="C614" s="175" t="s">
        <v>602</v>
      </c>
      <c r="D614" s="97">
        <v>1976</v>
      </c>
      <c r="E614" s="97" t="s">
        <v>75</v>
      </c>
      <c r="F614" s="97" t="s">
        <v>155</v>
      </c>
      <c r="G614" s="22">
        <v>3018</v>
      </c>
      <c r="H614" s="22">
        <v>2666</v>
      </c>
      <c r="I614" s="108">
        <v>101</v>
      </c>
      <c r="J614" s="22">
        <f>'Форма 2'!I2208</f>
        <v>437224</v>
      </c>
      <c r="K614" s="22">
        <v>0</v>
      </c>
      <c r="L614" s="22">
        <v>0</v>
      </c>
      <c r="M614" s="22">
        <v>0</v>
      </c>
      <c r="N614" s="22">
        <f t="shared" si="82"/>
        <v>437224</v>
      </c>
      <c r="O614" s="22">
        <v>0</v>
      </c>
      <c r="P614" s="22">
        <f t="shared" si="80"/>
        <v>164</v>
      </c>
      <c r="Q614" s="22">
        <f>'Форма 2'!K2208</f>
        <v>164</v>
      </c>
      <c r="R614" s="38" t="s">
        <v>164</v>
      </c>
      <c r="S614" s="172">
        <v>1</v>
      </c>
      <c r="T614" s="33"/>
    </row>
    <row r="615" spans="1:20" s="21" customFormat="1" ht="31" x14ac:dyDescent="0.35">
      <c r="A615" s="11">
        <f t="shared" si="81"/>
        <v>179</v>
      </c>
      <c r="B615" s="109">
        <v>4360</v>
      </c>
      <c r="C615" s="175" t="s">
        <v>772</v>
      </c>
      <c r="D615" s="96" t="s">
        <v>222</v>
      </c>
      <c r="E615" s="96" t="s">
        <v>75</v>
      </c>
      <c r="F615" s="96" t="s">
        <v>155</v>
      </c>
      <c r="G615" s="22">
        <v>14794.05</v>
      </c>
      <c r="H615" s="22">
        <v>11758.85</v>
      </c>
      <c r="I615" s="108">
        <v>474</v>
      </c>
      <c r="J615" s="22">
        <f>'Форма 2'!I2210</f>
        <v>1928451.4</v>
      </c>
      <c r="K615" s="22">
        <v>0</v>
      </c>
      <c r="L615" s="22">
        <v>0</v>
      </c>
      <c r="M615" s="22">
        <v>0</v>
      </c>
      <c r="N615" s="22">
        <f t="shared" si="82"/>
        <v>1928451.4</v>
      </c>
      <c r="O615" s="22">
        <v>0</v>
      </c>
      <c r="P615" s="22">
        <f t="shared" si="80"/>
        <v>164</v>
      </c>
      <c r="Q615" s="22">
        <f>'Форма 2'!K2210</f>
        <v>164</v>
      </c>
      <c r="R615" s="38" t="s">
        <v>164</v>
      </c>
      <c r="S615" s="172">
        <v>1</v>
      </c>
      <c r="T615" s="33"/>
    </row>
    <row r="616" spans="1:20" s="21" customFormat="1" x14ac:dyDescent="0.35">
      <c r="A616" s="11">
        <f t="shared" si="81"/>
        <v>180</v>
      </c>
      <c r="B616" s="109">
        <v>3173</v>
      </c>
      <c r="C616" s="175" t="s">
        <v>603</v>
      </c>
      <c r="D616" s="97">
        <v>1976</v>
      </c>
      <c r="E616" s="96" t="s">
        <v>75</v>
      </c>
      <c r="F616" s="96" t="s">
        <v>155</v>
      </c>
      <c r="G616" s="22">
        <v>2921</v>
      </c>
      <c r="H616" s="22">
        <v>2633.8</v>
      </c>
      <c r="I616" s="108">
        <v>99</v>
      </c>
      <c r="J616" s="22">
        <f>'Форма 2'!I2212</f>
        <v>431943.2</v>
      </c>
      <c r="K616" s="22">
        <v>0</v>
      </c>
      <c r="L616" s="22">
        <v>0</v>
      </c>
      <c r="M616" s="22">
        <v>0</v>
      </c>
      <c r="N616" s="22">
        <f t="shared" si="82"/>
        <v>431943.2</v>
      </c>
      <c r="O616" s="22">
        <v>0</v>
      </c>
      <c r="P616" s="22">
        <f t="shared" si="80"/>
        <v>164</v>
      </c>
      <c r="Q616" s="22">
        <f>'Форма 2'!K2212</f>
        <v>164</v>
      </c>
      <c r="R616" s="38" t="s">
        <v>164</v>
      </c>
      <c r="S616" s="172">
        <v>1</v>
      </c>
      <c r="T616" s="33"/>
    </row>
    <row r="617" spans="1:20" s="21" customFormat="1" x14ac:dyDescent="0.35">
      <c r="A617" s="11">
        <f t="shared" si="81"/>
        <v>181</v>
      </c>
      <c r="B617" s="109">
        <v>3183</v>
      </c>
      <c r="C617" s="175" t="s">
        <v>131</v>
      </c>
      <c r="D617" s="97">
        <v>1970</v>
      </c>
      <c r="E617" s="96" t="s">
        <v>75</v>
      </c>
      <c r="F617" s="96" t="s">
        <v>155</v>
      </c>
      <c r="G617" s="22">
        <v>6324.9</v>
      </c>
      <c r="H617" s="22">
        <v>5802.9</v>
      </c>
      <c r="I617" s="108">
        <v>219</v>
      </c>
      <c r="J617" s="22">
        <f>'Форма 2'!I2214</f>
        <v>951675.6</v>
      </c>
      <c r="K617" s="22">
        <v>0</v>
      </c>
      <c r="L617" s="22">
        <v>0</v>
      </c>
      <c r="M617" s="22">
        <v>0</v>
      </c>
      <c r="N617" s="22">
        <f t="shared" si="82"/>
        <v>951675.6</v>
      </c>
      <c r="O617" s="22">
        <v>0</v>
      </c>
      <c r="P617" s="22">
        <f t="shared" si="80"/>
        <v>164</v>
      </c>
      <c r="Q617" s="22">
        <f>'Форма 2'!K2214</f>
        <v>164</v>
      </c>
      <c r="R617" s="38" t="s">
        <v>164</v>
      </c>
      <c r="S617" s="172">
        <v>1</v>
      </c>
      <c r="T617" s="33"/>
    </row>
    <row r="618" spans="1:20" s="21" customFormat="1" x14ac:dyDescent="0.35">
      <c r="A618" s="11">
        <f t="shared" si="81"/>
        <v>182</v>
      </c>
      <c r="B618" s="109">
        <v>3186</v>
      </c>
      <c r="C618" s="175" t="s">
        <v>132</v>
      </c>
      <c r="D618" s="97">
        <v>1970</v>
      </c>
      <c r="E618" s="96" t="s">
        <v>75</v>
      </c>
      <c r="F618" s="96" t="s">
        <v>155</v>
      </c>
      <c r="G618" s="22">
        <v>3116.9</v>
      </c>
      <c r="H618" s="22">
        <v>2902.9</v>
      </c>
      <c r="I618" s="108">
        <v>110</v>
      </c>
      <c r="J618" s="22">
        <f>'Форма 2'!I2216</f>
        <v>476075.6</v>
      </c>
      <c r="K618" s="22">
        <v>0</v>
      </c>
      <c r="L618" s="22">
        <v>0</v>
      </c>
      <c r="M618" s="22">
        <v>0</v>
      </c>
      <c r="N618" s="22">
        <f>J618-K618-L618-M618-O618</f>
        <v>476075.6</v>
      </c>
      <c r="O618" s="22">
        <v>0</v>
      </c>
      <c r="P618" s="22">
        <f t="shared" si="80"/>
        <v>164</v>
      </c>
      <c r="Q618" s="22">
        <f>'Форма 2'!K2216</f>
        <v>164</v>
      </c>
      <c r="R618" s="38" t="s">
        <v>164</v>
      </c>
      <c r="S618" s="172">
        <v>1</v>
      </c>
      <c r="T618" s="33"/>
    </row>
    <row r="619" spans="1:20" s="21" customFormat="1" x14ac:dyDescent="0.35">
      <c r="A619" s="11">
        <f t="shared" si="81"/>
        <v>183</v>
      </c>
      <c r="B619" s="109">
        <v>3190</v>
      </c>
      <c r="C619" s="175" t="s">
        <v>133</v>
      </c>
      <c r="D619" s="97">
        <v>1969</v>
      </c>
      <c r="E619" s="96" t="s">
        <v>75</v>
      </c>
      <c r="F619" s="96" t="s">
        <v>155</v>
      </c>
      <c r="G619" s="22">
        <v>3125.2</v>
      </c>
      <c r="H619" s="22">
        <v>2911</v>
      </c>
      <c r="I619" s="108">
        <v>110</v>
      </c>
      <c r="J619" s="22">
        <f>'Форма 2'!I2218</f>
        <v>477404</v>
      </c>
      <c r="K619" s="22">
        <v>0</v>
      </c>
      <c r="L619" s="22">
        <v>0</v>
      </c>
      <c r="M619" s="22">
        <v>0</v>
      </c>
      <c r="N619" s="22">
        <f t="shared" si="82"/>
        <v>477404</v>
      </c>
      <c r="O619" s="22">
        <v>0</v>
      </c>
      <c r="P619" s="22">
        <f t="shared" si="80"/>
        <v>164</v>
      </c>
      <c r="Q619" s="22">
        <f>'Форма 2'!K2218</f>
        <v>164</v>
      </c>
      <c r="R619" s="38" t="s">
        <v>164</v>
      </c>
      <c r="S619" s="172">
        <v>1</v>
      </c>
      <c r="T619" s="33"/>
    </row>
    <row r="620" spans="1:20" s="21" customFormat="1" x14ac:dyDescent="0.35">
      <c r="A620" s="11">
        <f t="shared" si="81"/>
        <v>184</v>
      </c>
      <c r="B620" s="11">
        <v>3138</v>
      </c>
      <c r="C620" s="37" t="s">
        <v>388</v>
      </c>
      <c r="D620" s="97">
        <v>1971</v>
      </c>
      <c r="E620" s="97" t="s">
        <v>75</v>
      </c>
      <c r="F620" s="97" t="s">
        <v>486</v>
      </c>
      <c r="G620" s="22">
        <v>3540</v>
      </c>
      <c r="H620" s="22">
        <v>3244</v>
      </c>
      <c r="I620" s="26">
        <v>174</v>
      </c>
      <c r="J620" s="22">
        <f>'Форма 2'!I2220</f>
        <v>6486053.5999999996</v>
      </c>
      <c r="K620" s="22">
        <v>0</v>
      </c>
      <c r="L620" s="22">
        <v>0</v>
      </c>
      <c r="M620" s="22">
        <v>0</v>
      </c>
      <c r="N620" s="22">
        <f t="shared" si="82"/>
        <v>6486053.5999999996</v>
      </c>
      <c r="O620" s="22">
        <v>0</v>
      </c>
      <c r="P620" s="22">
        <f t="shared" si="80"/>
        <v>1999.4</v>
      </c>
      <c r="Q620" s="22">
        <f>'Форма 2'!K2220</f>
        <v>2831</v>
      </c>
      <c r="R620" s="38" t="s">
        <v>164</v>
      </c>
      <c r="S620" s="172">
        <v>1</v>
      </c>
      <c r="T620" s="33"/>
    </row>
    <row r="621" spans="1:20" s="21" customFormat="1" x14ac:dyDescent="0.35">
      <c r="A621" s="11">
        <f t="shared" si="81"/>
        <v>185</v>
      </c>
      <c r="B621" s="11">
        <v>3139</v>
      </c>
      <c r="C621" s="37" t="s">
        <v>389</v>
      </c>
      <c r="D621" s="97">
        <v>1970</v>
      </c>
      <c r="E621" s="97" t="s">
        <v>75</v>
      </c>
      <c r="F621" s="97" t="s">
        <v>486</v>
      </c>
      <c r="G621" s="22">
        <v>3566</v>
      </c>
      <c r="H621" s="22">
        <v>3270</v>
      </c>
      <c r="I621" s="26">
        <v>191</v>
      </c>
      <c r="J621" s="22">
        <f>'Форма 2'!I2223</f>
        <v>6538038</v>
      </c>
      <c r="K621" s="22">
        <v>0</v>
      </c>
      <c r="L621" s="22">
        <v>0</v>
      </c>
      <c r="M621" s="22">
        <v>0</v>
      </c>
      <c r="N621" s="22">
        <f t="shared" si="82"/>
        <v>6538038</v>
      </c>
      <c r="O621" s="22">
        <v>0</v>
      </c>
      <c r="P621" s="22">
        <f t="shared" si="80"/>
        <v>1999.4</v>
      </c>
      <c r="Q621" s="22">
        <f>'Форма 2'!K2223</f>
        <v>2831</v>
      </c>
      <c r="R621" s="38" t="s">
        <v>164</v>
      </c>
      <c r="S621" s="172">
        <v>1</v>
      </c>
      <c r="T621" s="33"/>
    </row>
    <row r="622" spans="1:20" s="21" customFormat="1" x14ac:dyDescent="0.35">
      <c r="A622" s="11">
        <f t="shared" si="81"/>
        <v>186</v>
      </c>
      <c r="B622" s="11">
        <v>3140</v>
      </c>
      <c r="C622" s="37" t="s">
        <v>390</v>
      </c>
      <c r="D622" s="97">
        <v>1970</v>
      </c>
      <c r="E622" s="97" t="s">
        <v>75</v>
      </c>
      <c r="F622" s="97" t="s">
        <v>486</v>
      </c>
      <c r="G622" s="22">
        <v>3562</v>
      </c>
      <c r="H622" s="22">
        <v>3278</v>
      </c>
      <c r="I622" s="26">
        <v>153</v>
      </c>
      <c r="J622" s="22">
        <f>'Форма 2'!I2226</f>
        <v>6554033.2000000002</v>
      </c>
      <c r="K622" s="22">
        <v>0</v>
      </c>
      <c r="L622" s="22">
        <v>0</v>
      </c>
      <c r="M622" s="22">
        <v>0</v>
      </c>
      <c r="N622" s="22">
        <f t="shared" si="82"/>
        <v>6554033.2000000002</v>
      </c>
      <c r="O622" s="22">
        <v>0</v>
      </c>
      <c r="P622" s="22">
        <f t="shared" si="80"/>
        <v>1999.4</v>
      </c>
      <c r="Q622" s="22">
        <f>'Форма 2'!K2226</f>
        <v>2831</v>
      </c>
      <c r="R622" s="38" t="s">
        <v>164</v>
      </c>
      <c r="S622" s="172">
        <v>1</v>
      </c>
      <c r="T622" s="33"/>
    </row>
    <row r="623" spans="1:20" s="21" customFormat="1" x14ac:dyDescent="0.35">
      <c r="A623" s="11">
        <f t="shared" si="81"/>
        <v>187</v>
      </c>
      <c r="B623" s="11">
        <v>3192</v>
      </c>
      <c r="C623" s="37" t="s">
        <v>391</v>
      </c>
      <c r="D623" s="97">
        <v>1971</v>
      </c>
      <c r="E623" s="97" t="s">
        <v>75</v>
      </c>
      <c r="F623" s="97" t="s">
        <v>486</v>
      </c>
      <c r="G623" s="22">
        <v>6233</v>
      </c>
      <c r="H623" s="22">
        <v>5806.9</v>
      </c>
      <c r="I623" s="26">
        <v>295</v>
      </c>
      <c r="J623" s="22">
        <f>'Форма 2'!I2229</f>
        <v>11610315.859999999</v>
      </c>
      <c r="K623" s="22">
        <v>0</v>
      </c>
      <c r="L623" s="22">
        <v>0</v>
      </c>
      <c r="M623" s="22">
        <v>0</v>
      </c>
      <c r="N623" s="22">
        <f t="shared" si="82"/>
        <v>11610315.859999999</v>
      </c>
      <c r="O623" s="22">
        <v>0</v>
      </c>
      <c r="P623" s="22">
        <f t="shared" ref="P623:P686" si="83">J623/H623</f>
        <v>1999.4</v>
      </c>
      <c r="Q623" s="22">
        <f>'Форма 2'!K2229</f>
        <v>2831</v>
      </c>
      <c r="R623" s="38" t="s">
        <v>164</v>
      </c>
      <c r="S623" s="172">
        <v>1</v>
      </c>
      <c r="T623" s="33"/>
    </row>
    <row r="624" spans="1:20" s="21" customFormat="1" x14ac:dyDescent="0.35">
      <c r="A624" s="11">
        <f t="shared" ref="A624:A643" si="84">A623+1</f>
        <v>188</v>
      </c>
      <c r="B624" s="109">
        <v>3141</v>
      </c>
      <c r="C624" s="175" t="s">
        <v>773</v>
      </c>
      <c r="D624" s="97">
        <v>1995</v>
      </c>
      <c r="E624" s="97" t="s">
        <v>75</v>
      </c>
      <c r="F624" s="97" t="s">
        <v>155</v>
      </c>
      <c r="G624" s="22">
        <v>4452</v>
      </c>
      <c r="H624" s="22">
        <v>3754</v>
      </c>
      <c r="I624" s="108">
        <v>142</v>
      </c>
      <c r="J624" s="22">
        <f>'Форма 2'!I2232</f>
        <v>615656</v>
      </c>
      <c r="K624" s="22">
        <v>0</v>
      </c>
      <c r="L624" s="22">
        <v>0</v>
      </c>
      <c r="M624" s="22">
        <v>0</v>
      </c>
      <c r="N624" s="22">
        <f t="shared" si="82"/>
        <v>615656</v>
      </c>
      <c r="O624" s="22">
        <v>0</v>
      </c>
      <c r="P624" s="22">
        <f t="shared" si="83"/>
        <v>164</v>
      </c>
      <c r="Q624" s="22">
        <f>'Форма 2'!K2232</f>
        <v>164</v>
      </c>
      <c r="R624" s="38" t="s">
        <v>164</v>
      </c>
      <c r="S624" s="172">
        <v>1</v>
      </c>
      <c r="T624" s="33"/>
    </row>
    <row r="625" spans="1:20" s="21" customFormat="1" x14ac:dyDescent="0.35">
      <c r="A625" s="11">
        <f t="shared" si="84"/>
        <v>189</v>
      </c>
      <c r="B625" s="109">
        <v>3376</v>
      </c>
      <c r="C625" s="175" t="s">
        <v>134</v>
      </c>
      <c r="D625" s="97">
        <v>1964</v>
      </c>
      <c r="E625" s="97" t="s">
        <v>75</v>
      </c>
      <c r="F625" s="97" t="s">
        <v>155</v>
      </c>
      <c r="G625" s="22">
        <v>2702.4</v>
      </c>
      <c r="H625" s="22">
        <v>2525.6</v>
      </c>
      <c r="I625" s="108">
        <v>95</v>
      </c>
      <c r="J625" s="22">
        <f>'Форма 2'!I2234</f>
        <v>414198.4</v>
      </c>
      <c r="K625" s="22">
        <v>0</v>
      </c>
      <c r="L625" s="22">
        <v>0</v>
      </c>
      <c r="M625" s="22">
        <v>0</v>
      </c>
      <c r="N625" s="22">
        <f t="shared" ref="N625:N642" si="85">J625-K625-L625-M625-O625</f>
        <v>414198.4</v>
      </c>
      <c r="O625" s="22">
        <v>0</v>
      </c>
      <c r="P625" s="22">
        <f t="shared" si="83"/>
        <v>164</v>
      </c>
      <c r="Q625" s="22">
        <f>'Форма 2'!K2234</f>
        <v>164</v>
      </c>
      <c r="R625" s="38" t="s">
        <v>164</v>
      </c>
      <c r="S625" s="172">
        <v>1</v>
      </c>
      <c r="T625" s="33"/>
    </row>
    <row r="626" spans="1:20" s="21" customFormat="1" x14ac:dyDescent="0.35">
      <c r="A626" s="11">
        <f t="shared" si="84"/>
        <v>190</v>
      </c>
      <c r="B626" s="109">
        <v>3378</v>
      </c>
      <c r="C626" s="175" t="s">
        <v>604</v>
      </c>
      <c r="D626" s="97">
        <v>1973</v>
      </c>
      <c r="E626" s="97" t="s">
        <v>75</v>
      </c>
      <c r="F626" s="97" t="s">
        <v>155</v>
      </c>
      <c r="G626" s="22">
        <v>4538.3999999999996</v>
      </c>
      <c r="H626" s="22">
        <v>3969.6</v>
      </c>
      <c r="I626" s="108">
        <v>150</v>
      </c>
      <c r="J626" s="22">
        <f>'Форма 2'!I2236</f>
        <v>651014.40000000002</v>
      </c>
      <c r="K626" s="22">
        <v>0</v>
      </c>
      <c r="L626" s="22">
        <v>0</v>
      </c>
      <c r="M626" s="22">
        <v>0</v>
      </c>
      <c r="N626" s="22">
        <f t="shared" si="85"/>
        <v>651014.40000000002</v>
      </c>
      <c r="O626" s="22">
        <v>0</v>
      </c>
      <c r="P626" s="22">
        <f t="shared" si="83"/>
        <v>164</v>
      </c>
      <c r="Q626" s="22">
        <f>'Форма 2'!K2236</f>
        <v>164</v>
      </c>
      <c r="R626" s="38" t="s">
        <v>164</v>
      </c>
      <c r="S626" s="172">
        <v>1</v>
      </c>
      <c r="T626" s="33"/>
    </row>
    <row r="627" spans="1:20" s="21" customFormat="1" x14ac:dyDescent="0.35">
      <c r="A627" s="11">
        <f t="shared" si="84"/>
        <v>191</v>
      </c>
      <c r="B627" s="109">
        <v>3381</v>
      </c>
      <c r="C627" s="175" t="s">
        <v>605</v>
      </c>
      <c r="D627" s="97">
        <v>1979</v>
      </c>
      <c r="E627" s="96" t="s">
        <v>75</v>
      </c>
      <c r="F627" s="96" t="s">
        <v>155</v>
      </c>
      <c r="G627" s="22">
        <v>1603.3</v>
      </c>
      <c r="H627" s="22">
        <v>1492.8</v>
      </c>
      <c r="I627" s="108">
        <v>56</v>
      </c>
      <c r="J627" s="22">
        <f>'Форма 2'!I2238</f>
        <v>244819.20000000001</v>
      </c>
      <c r="K627" s="22">
        <v>0</v>
      </c>
      <c r="L627" s="22">
        <v>0</v>
      </c>
      <c r="M627" s="22">
        <v>0</v>
      </c>
      <c r="N627" s="22">
        <f t="shared" si="85"/>
        <v>244819.20000000001</v>
      </c>
      <c r="O627" s="22">
        <v>0</v>
      </c>
      <c r="P627" s="22">
        <f t="shared" si="83"/>
        <v>164</v>
      </c>
      <c r="Q627" s="22">
        <f>'Форма 2'!K2238</f>
        <v>164</v>
      </c>
      <c r="R627" s="38" t="s">
        <v>164</v>
      </c>
      <c r="S627" s="172">
        <v>1</v>
      </c>
      <c r="T627" s="33"/>
    </row>
    <row r="628" spans="1:20" s="21" customFormat="1" ht="31" x14ac:dyDescent="0.35">
      <c r="A628" s="11">
        <f t="shared" si="84"/>
        <v>192</v>
      </c>
      <c r="B628" s="109">
        <v>3383</v>
      </c>
      <c r="C628" s="175" t="s">
        <v>774</v>
      </c>
      <c r="D628" s="96" t="s">
        <v>790</v>
      </c>
      <c r="E628" s="96" t="s">
        <v>75</v>
      </c>
      <c r="F628" s="96" t="s">
        <v>155</v>
      </c>
      <c r="G628" s="22">
        <v>5463</v>
      </c>
      <c r="H628" s="22">
        <v>5213</v>
      </c>
      <c r="I628" s="108">
        <v>197</v>
      </c>
      <c r="J628" s="22">
        <f>'Форма 2'!I2240</f>
        <v>854932</v>
      </c>
      <c r="K628" s="22">
        <v>0</v>
      </c>
      <c r="L628" s="22">
        <v>0</v>
      </c>
      <c r="M628" s="22">
        <v>0</v>
      </c>
      <c r="N628" s="22">
        <f t="shared" si="85"/>
        <v>854932</v>
      </c>
      <c r="O628" s="22">
        <v>0</v>
      </c>
      <c r="P628" s="22">
        <f t="shared" si="83"/>
        <v>164</v>
      </c>
      <c r="Q628" s="22">
        <f>'Форма 2'!K2240</f>
        <v>164</v>
      </c>
      <c r="R628" s="38" t="s">
        <v>164</v>
      </c>
      <c r="S628" s="172">
        <v>1</v>
      </c>
      <c r="T628" s="33"/>
    </row>
    <row r="629" spans="1:20" s="21" customFormat="1" x14ac:dyDescent="0.35">
      <c r="A629" s="11">
        <f t="shared" si="84"/>
        <v>193</v>
      </c>
      <c r="B629" s="109">
        <v>3388</v>
      </c>
      <c r="C629" s="175" t="s">
        <v>775</v>
      </c>
      <c r="D629" s="97">
        <v>1994</v>
      </c>
      <c r="E629" s="96" t="s">
        <v>312</v>
      </c>
      <c r="F629" s="96" t="s">
        <v>155</v>
      </c>
      <c r="G629" s="22">
        <v>2856.5</v>
      </c>
      <c r="H629" s="22">
        <v>2537.1999999999998</v>
      </c>
      <c r="I629" s="108">
        <v>96</v>
      </c>
      <c r="J629" s="22">
        <f>'Форма 2'!I2242</f>
        <v>956524.4</v>
      </c>
      <c r="K629" s="22">
        <v>0</v>
      </c>
      <c r="L629" s="22">
        <v>0</v>
      </c>
      <c r="M629" s="22">
        <v>0</v>
      </c>
      <c r="N629" s="22">
        <f t="shared" si="85"/>
        <v>956524.4</v>
      </c>
      <c r="O629" s="22">
        <v>0</v>
      </c>
      <c r="P629" s="22">
        <f t="shared" si="83"/>
        <v>377</v>
      </c>
      <c r="Q629" s="22">
        <f>'Форма 2'!K2242</f>
        <v>377</v>
      </c>
      <c r="R629" s="38" t="s">
        <v>164</v>
      </c>
      <c r="S629" s="172">
        <v>1</v>
      </c>
      <c r="T629" s="33"/>
    </row>
    <row r="630" spans="1:20" s="21" customFormat="1" x14ac:dyDescent="0.35">
      <c r="A630" s="11">
        <f t="shared" si="84"/>
        <v>194</v>
      </c>
      <c r="B630" s="11">
        <v>3389</v>
      </c>
      <c r="C630" s="37" t="s">
        <v>393</v>
      </c>
      <c r="D630" s="97">
        <v>1945</v>
      </c>
      <c r="E630" s="97" t="s">
        <v>488</v>
      </c>
      <c r="F630" s="97" t="s">
        <v>186</v>
      </c>
      <c r="G630" s="22">
        <v>1837.27</v>
      </c>
      <c r="H630" s="22">
        <v>1631.17</v>
      </c>
      <c r="I630" s="108">
        <v>62</v>
      </c>
      <c r="J630" s="22">
        <f>'Форма 2'!I2246</f>
        <v>4867411.28</v>
      </c>
      <c r="K630" s="22">
        <v>0</v>
      </c>
      <c r="L630" s="22">
        <v>0</v>
      </c>
      <c r="M630" s="22">
        <v>0</v>
      </c>
      <c r="N630" s="22">
        <f t="shared" si="85"/>
        <v>4867411.28</v>
      </c>
      <c r="O630" s="22">
        <v>0</v>
      </c>
      <c r="P630" s="22">
        <f t="shared" si="83"/>
        <v>2984</v>
      </c>
      <c r="Q630" s="22">
        <f>'Форма 2'!K2246</f>
        <v>2984</v>
      </c>
      <c r="R630" s="38" t="s">
        <v>164</v>
      </c>
      <c r="S630" s="172">
        <v>1</v>
      </c>
      <c r="T630" s="33"/>
    </row>
    <row r="631" spans="1:20" s="21" customFormat="1" x14ac:dyDescent="0.35">
      <c r="A631" s="11">
        <f t="shared" si="84"/>
        <v>195</v>
      </c>
      <c r="B631" s="109">
        <v>3398</v>
      </c>
      <c r="C631" s="175" t="s">
        <v>606</v>
      </c>
      <c r="D631" s="97">
        <v>1977</v>
      </c>
      <c r="E631" s="97" t="s">
        <v>75</v>
      </c>
      <c r="F631" s="97" t="s">
        <v>155</v>
      </c>
      <c r="G631" s="22">
        <v>3163.87</v>
      </c>
      <c r="H631" s="22">
        <v>2697.87</v>
      </c>
      <c r="I631" s="108">
        <v>102</v>
      </c>
      <c r="J631" s="22">
        <f>'Форма 2'!I2250</f>
        <v>442450.68</v>
      </c>
      <c r="K631" s="22">
        <v>0</v>
      </c>
      <c r="L631" s="22">
        <v>0</v>
      </c>
      <c r="M631" s="22">
        <v>0</v>
      </c>
      <c r="N631" s="22">
        <f t="shared" si="85"/>
        <v>442450.68</v>
      </c>
      <c r="O631" s="22">
        <v>0</v>
      </c>
      <c r="P631" s="22">
        <f t="shared" si="83"/>
        <v>164</v>
      </c>
      <c r="Q631" s="22">
        <f>'Форма 2'!K2250</f>
        <v>164</v>
      </c>
      <c r="R631" s="38" t="s">
        <v>164</v>
      </c>
      <c r="S631" s="172">
        <v>1</v>
      </c>
      <c r="T631" s="33"/>
    </row>
    <row r="632" spans="1:20" s="21" customFormat="1" x14ac:dyDescent="0.35">
      <c r="A632" s="11">
        <f t="shared" si="84"/>
        <v>196</v>
      </c>
      <c r="B632" s="109">
        <v>3406</v>
      </c>
      <c r="C632" s="175" t="s">
        <v>135</v>
      </c>
      <c r="D632" s="97">
        <v>1956</v>
      </c>
      <c r="E632" s="97" t="s">
        <v>607</v>
      </c>
      <c r="F632" s="97" t="s">
        <v>155</v>
      </c>
      <c r="G632" s="22">
        <v>1344.96</v>
      </c>
      <c r="H632" s="22">
        <v>1229.96</v>
      </c>
      <c r="I632" s="108">
        <v>46</v>
      </c>
      <c r="J632" s="22">
        <f>'Форма 2'!I2252</f>
        <v>480914.36</v>
      </c>
      <c r="K632" s="22">
        <v>0</v>
      </c>
      <c r="L632" s="22">
        <v>0</v>
      </c>
      <c r="M632" s="22">
        <v>0</v>
      </c>
      <c r="N632" s="22">
        <f t="shared" si="85"/>
        <v>480914.36</v>
      </c>
      <c r="O632" s="22">
        <v>0</v>
      </c>
      <c r="P632" s="22">
        <f t="shared" si="83"/>
        <v>391</v>
      </c>
      <c r="Q632" s="22">
        <f>'Форма 2'!K2252</f>
        <v>391</v>
      </c>
      <c r="R632" s="38" t="s">
        <v>164</v>
      </c>
      <c r="S632" s="172">
        <v>1</v>
      </c>
      <c r="T632" s="33"/>
    </row>
    <row r="633" spans="1:20" s="21" customFormat="1" x14ac:dyDescent="0.35">
      <c r="A633" s="11">
        <f t="shared" si="84"/>
        <v>197</v>
      </c>
      <c r="B633" s="109">
        <v>3408</v>
      </c>
      <c r="C633" s="175" t="s">
        <v>136</v>
      </c>
      <c r="D633" s="97">
        <v>1959</v>
      </c>
      <c r="E633" s="96" t="s">
        <v>75</v>
      </c>
      <c r="F633" s="96" t="s">
        <v>155</v>
      </c>
      <c r="G633" s="22">
        <v>3389.51</v>
      </c>
      <c r="H633" s="22">
        <v>3143.51</v>
      </c>
      <c r="I633" s="108">
        <v>119</v>
      </c>
      <c r="J633" s="22">
        <f>'Форма 2'!I2256</f>
        <v>515535.64</v>
      </c>
      <c r="K633" s="22">
        <v>0</v>
      </c>
      <c r="L633" s="22">
        <v>0</v>
      </c>
      <c r="M633" s="22">
        <v>0</v>
      </c>
      <c r="N633" s="22">
        <f t="shared" si="85"/>
        <v>515535.64</v>
      </c>
      <c r="O633" s="22">
        <v>0</v>
      </c>
      <c r="P633" s="22">
        <f t="shared" si="83"/>
        <v>164</v>
      </c>
      <c r="Q633" s="22">
        <f>'Форма 2'!K2256</f>
        <v>164</v>
      </c>
      <c r="R633" s="38" t="s">
        <v>164</v>
      </c>
      <c r="S633" s="172">
        <v>1</v>
      </c>
      <c r="T633" s="33"/>
    </row>
    <row r="634" spans="1:20" s="21" customFormat="1" x14ac:dyDescent="0.35">
      <c r="A634" s="11">
        <f t="shared" si="84"/>
        <v>198</v>
      </c>
      <c r="B634" s="109">
        <v>4365</v>
      </c>
      <c r="C634" s="175" t="s">
        <v>394</v>
      </c>
      <c r="D634" s="97">
        <v>1904</v>
      </c>
      <c r="E634" s="97" t="s">
        <v>75</v>
      </c>
      <c r="F634" s="97" t="s">
        <v>186</v>
      </c>
      <c r="G634" s="22">
        <v>1569</v>
      </c>
      <c r="H634" s="22">
        <v>1319.4</v>
      </c>
      <c r="I634" s="108">
        <v>51</v>
      </c>
      <c r="J634" s="22">
        <f>'Форма 2'!I2258</f>
        <v>7705296</v>
      </c>
      <c r="K634" s="22">
        <v>0</v>
      </c>
      <c r="L634" s="22">
        <v>0</v>
      </c>
      <c r="M634" s="22">
        <v>0</v>
      </c>
      <c r="N634" s="22">
        <f t="shared" si="85"/>
        <v>7705296</v>
      </c>
      <c r="O634" s="22">
        <v>0</v>
      </c>
      <c r="P634" s="22">
        <f t="shared" si="83"/>
        <v>5840</v>
      </c>
      <c r="Q634" s="22">
        <f>'Форма 2'!K2258</f>
        <v>5840</v>
      </c>
      <c r="R634" s="38" t="s">
        <v>164</v>
      </c>
      <c r="S634" s="172">
        <v>1</v>
      </c>
      <c r="T634" s="33"/>
    </row>
    <row r="635" spans="1:20" s="21" customFormat="1" x14ac:dyDescent="0.35">
      <c r="A635" s="11">
        <f t="shared" si="84"/>
        <v>199</v>
      </c>
      <c r="B635" s="109">
        <v>4366</v>
      </c>
      <c r="C635" s="175" t="s">
        <v>395</v>
      </c>
      <c r="D635" s="97">
        <v>1917</v>
      </c>
      <c r="E635" s="97" t="s">
        <v>75</v>
      </c>
      <c r="F635" s="97" t="s">
        <v>186</v>
      </c>
      <c r="G635" s="22">
        <v>2131.7600000000002</v>
      </c>
      <c r="H635" s="22">
        <v>1864.76</v>
      </c>
      <c r="I635" s="108">
        <v>80</v>
      </c>
      <c r="J635" s="22">
        <f>'Форма 2'!I2263</f>
        <v>10448250.279999999</v>
      </c>
      <c r="K635" s="22">
        <v>0</v>
      </c>
      <c r="L635" s="22">
        <v>0</v>
      </c>
      <c r="M635" s="22">
        <v>0</v>
      </c>
      <c r="N635" s="22">
        <f t="shared" si="85"/>
        <v>10448250.279999999</v>
      </c>
      <c r="O635" s="22">
        <v>0</v>
      </c>
      <c r="P635" s="22">
        <f t="shared" si="83"/>
        <v>5603</v>
      </c>
      <c r="Q635" s="22">
        <f>'Форма 2'!K2263</f>
        <v>5603</v>
      </c>
      <c r="R635" s="38" t="s">
        <v>164</v>
      </c>
      <c r="S635" s="172">
        <v>1</v>
      </c>
      <c r="T635" s="33"/>
    </row>
    <row r="636" spans="1:20" s="21" customFormat="1" x14ac:dyDescent="0.35">
      <c r="A636" s="11">
        <f t="shared" si="84"/>
        <v>200</v>
      </c>
      <c r="B636" s="109">
        <v>4367</v>
      </c>
      <c r="C636" s="175" t="s">
        <v>396</v>
      </c>
      <c r="D636" s="97">
        <v>1917</v>
      </c>
      <c r="E636" s="97" t="s">
        <v>75</v>
      </c>
      <c r="F636" s="97" t="s">
        <v>186</v>
      </c>
      <c r="G636" s="22">
        <v>836.8</v>
      </c>
      <c r="H636" s="22">
        <v>723.7</v>
      </c>
      <c r="I636" s="108">
        <v>33</v>
      </c>
      <c r="J636" s="22">
        <f>'Форма 2'!I2267</f>
        <v>4226408</v>
      </c>
      <c r="K636" s="22">
        <v>0</v>
      </c>
      <c r="L636" s="22">
        <v>0</v>
      </c>
      <c r="M636" s="22">
        <v>0</v>
      </c>
      <c r="N636" s="22">
        <f t="shared" si="85"/>
        <v>4226408</v>
      </c>
      <c r="O636" s="22">
        <v>0</v>
      </c>
      <c r="P636" s="22">
        <f t="shared" si="83"/>
        <v>5840</v>
      </c>
      <c r="Q636" s="22">
        <f>'Форма 2'!K2267</f>
        <v>5840</v>
      </c>
      <c r="R636" s="38" t="s">
        <v>164</v>
      </c>
      <c r="S636" s="172">
        <v>1</v>
      </c>
      <c r="T636" s="33"/>
    </row>
    <row r="637" spans="1:20" s="21" customFormat="1" x14ac:dyDescent="0.35">
      <c r="A637" s="11">
        <f t="shared" si="84"/>
        <v>201</v>
      </c>
      <c r="B637" s="109">
        <v>3416</v>
      </c>
      <c r="C637" s="175" t="s">
        <v>137</v>
      </c>
      <c r="D637" s="97">
        <v>1917</v>
      </c>
      <c r="E637" s="96" t="s">
        <v>439</v>
      </c>
      <c r="F637" s="96" t="s">
        <v>155</v>
      </c>
      <c r="G637" s="22">
        <v>941</v>
      </c>
      <c r="H637" s="22">
        <v>887</v>
      </c>
      <c r="I637" s="108">
        <v>34</v>
      </c>
      <c r="J637" s="22">
        <f>'Форма 2'!I2272</f>
        <v>54107</v>
      </c>
      <c r="K637" s="22">
        <v>0</v>
      </c>
      <c r="L637" s="22">
        <v>0</v>
      </c>
      <c r="M637" s="22">
        <v>0</v>
      </c>
      <c r="N637" s="22">
        <f t="shared" si="85"/>
        <v>54107</v>
      </c>
      <c r="O637" s="22">
        <v>0</v>
      </c>
      <c r="P637" s="22">
        <f t="shared" si="83"/>
        <v>61</v>
      </c>
      <c r="Q637" s="22">
        <f>'Форма 2'!K2272</f>
        <v>61</v>
      </c>
      <c r="R637" s="38" t="s">
        <v>164</v>
      </c>
      <c r="S637" s="172">
        <v>1</v>
      </c>
      <c r="T637" s="33"/>
    </row>
    <row r="638" spans="1:20" s="21" customFormat="1" x14ac:dyDescent="0.35">
      <c r="A638" s="11">
        <f t="shared" si="84"/>
        <v>202</v>
      </c>
      <c r="B638" s="109">
        <v>3417</v>
      </c>
      <c r="C638" s="175" t="s">
        <v>138</v>
      </c>
      <c r="D638" s="97">
        <v>1917</v>
      </c>
      <c r="E638" s="96" t="s">
        <v>608</v>
      </c>
      <c r="F638" s="96" t="s">
        <v>155</v>
      </c>
      <c r="G638" s="22">
        <v>975.5</v>
      </c>
      <c r="H638" s="22">
        <v>921.5</v>
      </c>
      <c r="I638" s="108">
        <v>35</v>
      </c>
      <c r="J638" s="22">
        <f>'Форма 2'!I2275</f>
        <v>340033.5</v>
      </c>
      <c r="K638" s="22">
        <v>0</v>
      </c>
      <c r="L638" s="22">
        <v>0</v>
      </c>
      <c r="M638" s="22">
        <v>0</v>
      </c>
      <c r="N638" s="22">
        <f t="shared" si="85"/>
        <v>340033.5</v>
      </c>
      <c r="O638" s="22">
        <v>0</v>
      </c>
      <c r="P638" s="22">
        <f t="shared" si="83"/>
        <v>369</v>
      </c>
      <c r="Q638" s="22">
        <f>'Форма 2'!K2275</f>
        <v>369</v>
      </c>
      <c r="R638" s="38" t="s">
        <v>164</v>
      </c>
      <c r="S638" s="172">
        <v>1</v>
      </c>
      <c r="T638" s="33"/>
    </row>
    <row r="639" spans="1:20" s="21" customFormat="1" x14ac:dyDescent="0.35">
      <c r="A639" s="11">
        <f t="shared" si="84"/>
        <v>203</v>
      </c>
      <c r="B639" s="109">
        <v>8156</v>
      </c>
      <c r="C639" s="175" t="s">
        <v>776</v>
      </c>
      <c r="D639" s="97">
        <v>1983</v>
      </c>
      <c r="E639" s="96" t="s">
        <v>75</v>
      </c>
      <c r="F639" s="96" t="s">
        <v>155</v>
      </c>
      <c r="G639" s="22">
        <v>4327.3999999999996</v>
      </c>
      <c r="H639" s="22">
        <v>3902.7</v>
      </c>
      <c r="I639" s="108">
        <v>148</v>
      </c>
      <c r="J639" s="22">
        <f>'Форма 2'!I2280</f>
        <v>569794.19999999995</v>
      </c>
      <c r="K639" s="22">
        <v>0</v>
      </c>
      <c r="L639" s="22">
        <v>0</v>
      </c>
      <c r="M639" s="22">
        <v>0</v>
      </c>
      <c r="N639" s="22">
        <f t="shared" si="85"/>
        <v>569794.19999999995</v>
      </c>
      <c r="O639" s="22">
        <v>0</v>
      </c>
      <c r="P639" s="22">
        <f t="shared" si="83"/>
        <v>146</v>
      </c>
      <c r="Q639" s="22">
        <f>'Форма 2'!K2280</f>
        <v>146</v>
      </c>
      <c r="R639" s="38" t="s">
        <v>164</v>
      </c>
      <c r="S639" s="172">
        <v>1</v>
      </c>
      <c r="T639" s="33"/>
    </row>
    <row r="640" spans="1:20" s="21" customFormat="1" x14ac:dyDescent="0.35">
      <c r="A640" s="11">
        <f t="shared" si="84"/>
        <v>204</v>
      </c>
      <c r="B640" s="109">
        <v>3147</v>
      </c>
      <c r="C640" s="175" t="s">
        <v>397</v>
      </c>
      <c r="D640" s="97">
        <v>1988</v>
      </c>
      <c r="E640" s="96" t="s">
        <v>75</v>
      </c>
      <c r="F640" s="96" t="s">
        <v>155</v>
      </c>
      <c r="G640" s="22">
        <v>8586</v>
      </c>
      <c r="H640" s="22">
        <v>7160</v>
      </c>
      <c r="I640" s="108">
        <v>270</v>
      </c>
      <c r="J640" s="22">
        <f>'Форма 2'!I2282</f>
        <v>1174240</v>
      </c>
      <c r="K640" s="22">
        <v>0</v>
      </c>
      <c r="L640" s="22">
        <v>0</v>
      </c>
      <c r="M640" s="22">
        <v>0</v>
      </c>
      <c r="N640" s="22">
        <f t="shared" si="85"/>
        <v>1174240</v>
      </c>
      <c r="O640" s="22">
        <v>0</v>
      </c>
      <c r="P640" s="22">
        <f t="shared" si="83"/>
        <v>164</v>
      </c>
      <c r="Q640" s="22">
        <f>'Форма 2'!K2282</f>
        <v>164</v>
      </c>
      <c r="R640" s="38" t="s">
        <v>164</v>
      </c>
      <c r="S640" s="172">
        <v>1</v>
      </c>
      <c r="T640" s="33"/>
    </row>
    <row r="641" spans="1:20" s="21" customFormat="1" x14ac:dyDescent="0.35">
      <c r="A641" s="11">
        <f t="shared" si="84"/>
        <v>205</v>
      </c>
      <c r="B641" s="109">
        <v>4254</v>
      </c>
      <c r="C641" s="175" t="s">
        <v>777</v>
      </c>
      <c r="D641" s="97">
        <v>1991</v>
      </c>
      <c r="E641" s="96" t="s">
        <v>185</v>
      </c>
      <c r="F641" s="96" t="s">
        <v>155</v>
      </c>
      <c r="G641" s="22">
        <v>5601.2</v>
      </c>
      <c r="H641" s="22">
        <v>4859.2</v>
      </c>
      <c r="I641" s="108">
        <v>184</v>
      </c>
      <c r="J641" s="22">
        <f>'Форма 2'!I2284</f>
        <v>49160</v>
      </c>
      <c r="K641" s="22">
        <v>0</v>
      </c>
      <c r="L641" s="22">
        <v>0</v>
      </c>
      <c r="M641" s="22">
        <v>0</v>
      </c>
      <c r="N641" s="22">
        <f t="shared" si="85"/>
        <v>49160</v>
      </c>
      <c r="O641" s="22">
        <v>0</v>
      </c>
      <c r="P641" s="22">
        <f t="shared" si="83"/>
        <v>10.119999999999999</v>
      </c>
      <c r="Q641" s="22">
        <f>'Форма 2'!K2284</f>
        <v>10.119999999999999</v>
      </c>
      <c r="R641" s="38" t="s">
        <v>164</v>
      </c>
      <c r="S641" s="172">
        <v>1</v>
      </c>
      <c r="T641" s="33"/>
    </row>
    <row r="642" spans="1:20" s="21" customFormat="1" x14ac:dyDescent="0.35">
      <c r="A642" s="11">
        <f t="shared" si="84"/>
        <v>206</v>
      </c>
      <c r="B642" s="109">
        <v>3438</v>
      </c>
      <c r="C642" s="175" t="s">
        <v>778</v>
      </c>
      <c r="D642" s="97">
        <v>1980</v>
      </c>
      <c r="E642" s="97" t="s">
        <v>75</v>
      </c>
      <c r="F642" s="97" t="s">
        <v>155</v>
      </c>
      <c r="G642" s="22">
        <v>11134.22</v>
      </c>
      <c r="H642" s="22">
        <v>10071.02</v>
      </c>
      <c r="I642" s="108">
        <v>380</v>
      </c>
      <c r="J642" s="22">
        <f>'Форма 2'!I2287</f>
        <v>1651647.28</v>
      </c>
      <c r="K642" s="22">
        <v>0</v>
      </c>
      <c r="L642" s="22">
        <v>0</v>
      </c>
      <c r="M642" s="22">
        <v>0</v>
      </c>
      <c r="N642" s="22">
        <f t="shared" si="85"/>
        <v>1651647.28</v>
      </c>
      <c r="O642" s="22">
        <v>0</v>
      </c>
      <c r="P642" s="22">
        <f t="shared" si="83"/>
        <v>164</v>
      </c>
      <c r="Q642" s="22">
        <f>'Форма 2'!K2287</f>
        <v>164</v>
      </c>
      <c r="R642" s="38" t="s">
        <v>164</v>
      </c>
      <c r="S642" s="172">
        <v>1</v>
      </c>
      <c r="T642" s="33"/>
    </row>
    <row r="643" spans="1:20" s="21" customFormat="1" x14ac:dyDescent="0.35">
      <c r="A643" s="11">
        <f t="shared" si="84"/>
        <v>207</v>
      </c>
      <c r="B643" s="11">
        <v>8032</v>
      </c>
      <c r="C643" s="37" t="s">
        <v>609</v>
      </c>
      <c r="D643" s="97">
        <v>1974</v>
      </c>
      <c r="E643" s="97" t="s">
        <v>185</v>
      </c>
      <c r="F643" s="97" t="s">
        <v>186</v>
      </c>
      <c r="G643" s="22">
        <v>2818.3</v>
      </c>
      <c r="H643" s="22">
        <v>2459.3000000000002</v>
      </c>
      <c r="I643" s="26">
        <v>84</v>
      </c>
      <c r="J643" s="22">
        <f>'Форма 2'!I2289</f>
        <v>1769972</v>
      </c>
      <c r="K643" s="22">
        <v>0</v>
      </c>
      <c r="L643" s="22">
        <v>0</v>
      </c>
      <c r="M643" s="22">
        <v>0</v>
      </c>
      <c r="N643" s="22">
        <f>J643-K643-L643-M643-O643</f>
        <v>1769972</v>
      </c>
      <c r="O643" s="22">
        <v>0</v>
      </c>
      <c r="P643" s="22">
        <f t="shared" si="83"/>
        <v>719.71</v>
      </c>
      <c r="Q643" s="22">
        <f>'Форма 2'!K2289</f>
        <v>719.71</v>
      </c>
      <c r="R643" s="38" t="s">
        <v>164</v>
      </c>
      <c r="S643" s="172">
        <v>1</v>
      </c>
      <c r="T643" s="33"/>
    </row>
    <row r="644" spans="1:20" s="21" customFormat="1" x14ac:dyDescent="0.35">
      <c r="A644" s="227" t="s">
        <v>398</v>
      </c>
      <c r="B644" s="227"/>
      <c r="C644" s="227"/>
      <c r="D644" s="97" t="s">
        <v>13</v>
      </c>
      <c r="E644" s="97" t="s">
        <v>13</v>
      </c>
      <c r="F644" s="97" t="s">
        <v>13</v>
      </c>
      <c r="G644" s="22">
        <f t="shared" ref="G644:O644" si="86">SUM(G645:G690)</f>
        <v>201678.65</v>
      </c>
      <c r="H644" s="22">
        <f t="shared" si="86"/>
        <v>178529.53</v>
      </c>
      <c r="I644" s="26">
        <f t="shared" si="86"/>
        <v>7755</v>
      </c>
      <c r="J644" s="22">
        <f t="shared" si="86"/>
        <v>129453334.65000001</v>
      </c>
      <c r="K644" s="22">
        <f t="shared" si="86"/>
        <v>0</v>
      </c>
      <c r="L644" s="22">
        <f t="shared" si="86"/>
        <v>0</v>
      </c>
      <c r="M644" s="22">
        <f t="shared" si="86"/>
        <v>0</v>
      </c>
      <c r="N644" s="22">
        <f t="shared" si="86"/>
        <v>129453334.65000001</v>
      </c>
      <c r="O644" s="22">
        <f t="shared" si="86"/>
        <v>0</v>
      </c>
      <c r="P644" s="22" t="s">
        <v>13</v>
      </c>
      <c r="Q644" s="22" t="s">
        <v>13</v>
      </c>
      <c r="R644" s="38" t="s">
        <v>13</v>
      </c>
      <c r="S644" s="172" t="s">
        <v>13</v>
      </c>
      <c r="T644" s="33"/>
    </row>
    <row r="645" spans="1:20" s="21" customFormat="1" x14ac:dyDescent="0.35">
      <c r="A645" s="11">
        <f>A643+1</f>
        <v>208</v>
      </c>
      <c r="B645" s="109">
        <v>2427</v>
      </c>
      <c r="C645" s="175" t="s">
        <v>139</v>
      </c>
      <c r="D645" s="97">
        <v>1962</v>
      </c>
      <c r="E645" s="97" t="s">
        <v>75</v>
      </c>
      <c r="F645" s="97" t="s">
        <v>155</v>
      </c>
      <c r="G645" s="22">
        <v>4049.25</v>
      </c>
      <c r="H645" s="22">
        <v>3713.1</v>
      </c>
      <c r="I645" s="108">
        <v>140</v>
      </c>
      <c r="J645" s="22">
        <f>'Форма 2'!I2293</f>
        <v>608948.4</v>
      </c>
      <c r="K645" s="22">
        <v>0</v>
      </c>
      <c r="L645" s="22">
        <v>0</v>
      </c>
      <c r="M645" s="22">
        <v>0</v>
      </c>
      <c r="N645" s="22">
        <f>J645-K645-L645-M645-O645</f>
        <v>608948.4</v>
      </c>
      <c r="O645" s="22">
        <v>0</v>
      </c>
      <c r="P645" s="22">
        <f t="shared" si="83"/>
        <v>164</v>
      </c>
      <c r="Q645" s="22">
        <f>'Форма 2'!K2293</f>
        <v>164</v>
      </c>
      <c r="R645" s="38" t="s">
        <v>164</v>
      </c>
      <c r="S645" s="172">
        <v>1</v>
      </c>
      <c r="T645" s="33"/>
    </row>
    <row r="646" spans="1:20" s="21" customFormat="1" x14ac:dyDescent="0.35">
      <c r="A646" s="11">
        <f>A645+1</f>
        <v>209</v>
      </c>
      <c r="B646" s="11">
        <v>2258</v>
      </c>
      <c r="C646" s="37" t="s">
        <v>399</v>
      </c>
      <c r="D646" s="97">
        <v>1968</v>
      </c>
      <c r="E646" s="97" t="s">
        <v>75</v>
      </c>
      <c r="F646" s="97" t="s">
        <v>486</v>
      </c>
      <c r="G646" s="22">
        <v>4958.3</v>
      </c>
      <c r="H646" s="22">
        <v>4516</v>
      </c>
      <c r="I646" s="26">
        <v>193</v>
      </c>
      <c r="J646" s="22">
        <f>'Форма 2'!I2295</f>
        <v>7341250.8899999997</v>
      </c>
      <c r="K646" s="22">
        <v>0</v>
      </c>
      <c r="L646" s="22">
        <v>0</v>
      </c>
      <c r="M646" s="22">
        <v>0</v>
      </c>
      <c r="N646" s="22">
        <f t="shared" ref="N646:N690" si="87">J646-K646-L646-M646-O646</f>
        <v>7341250.8899999997</v>
      </c>
      <c r="O646" s="22">
        <v>0</v>
      </c>
      <c r="P646" s="22">
        <f t="shared" si="83"/>
        <v>1625.61</v>
      </c>
      <c r="Q646" s="22">
        <f>'Форма 2'!K2295</f>
        <v>2831</v>
      </c>
      <c r="R646" s="38" t="s">
        <v>164</v>
      </c>
      <c r="S646" s="172">
        <v>1</v>
      </c>
      <c r="T646" s="33"/>
    </row>
    <row r="647" spans="1:20" s="21" customFormat="1" x14ac:dyDescent="0.35">
      <c r="A647" s="11">
        <f t="shared" ref="A647:A690" si="88">A646+1</f>
        <v>210</v>
      </c>
      <c r="B647" s="109">
        <v>8169</v>
      </c>
      <c r="C647" s="175" t="s">
        <v>610</v>
      </c>
      <c r="D647" s="97">
        <v>1932</v>
      </c>
      <c r="E647" s="96" t="s">
        <v>75</v>
      </c>
      <c r="F647" s="96" t="s">
        <v>155</v>
      </c>
      <c r="G647" s="22">
        <v>4847.74</v>
      </c>
      <c r="H647" s="22">
        <v>3616.91</v>
      </c>
      <c r="I647" s="84">
        <v>87</v>
      </c>
      <c r="J647" s="22">
        <f>'Форма 2'!I2298</f>
        <v>593173.24</v>
      </c>
      <c r="K647" s="22">
        <v>0</v>
      </c>
      <c r="L647" s="22">
        <v>0</v>
      </c>
      <c r="M647" s="22">
        <v>0</v>
      </c>
      <c r="N647" s="22">
        <f>J647-K647-L647-M647-O647</f>
        <v>593173.24</v>
      </c>
      <c r="O647" s="22">
        <v>0</v>
      </c>
      <c r="P647" s="22">
        <f t="shared" si="83"/>
        <v>164</v>
      </c>
      <c r="Q647" s="22">
        <f>'Форма 2'!K2298</f>
        <v>164</v>
      </c>
      <c r="R647" s="38" t="s">
        <v>164</v>
      </c>
      <c r="S647" s="172">
        <v>1</v>
      </c>
      <c r="T647" s="33"/>
    </row>
    <row r="648" spans="1:20" s="21" customFormat="1" x14ac:dyDescent="0.35">
      <c r="A648" s="11">
        <f t="shared" si="88"/>
        <v>211</v>
      </c>
      <c r="B648" s="11">
        <v>2345</v>
      </c>
      <c r="C648" s="37" t="s">
        <v>402</v>
      </c>
      <c r="D648" s="97">
        <v>1966</v>
      </c>
      <c r="E648" s="97" t="s">
        <v>75</v>
      </c>
      <c r="F648" s="97" t="s">
        <v>486</v>
      </c>
      <c r="G648" s="22">
        <v>3070.7</v>
      </c>
      <c r="H648" s="22">
        <v>2866.7</v>
      </c>
      <c r="I648" s="26">
        <v>128</v>
      </c>
      <c r="J648" s="22">
        <f>'Форма 2'!I2300</f>
        <v>6044549.9900000002</v>
      </c>
      <c r="K648" s="22">
        <v>0</v>
      </c>
      <c r="L648" s="22">
        <v>0</v>
      </c>
      <c r="M648" s="22">
        <v>0</v>
      </c>
      <c r="N648" s="22">
        <f t="shared" si="87"/>
        <v>6044549.9900000002</v>
      </c>
      <c r="O648" s="22">
        <v>0</v>
      </c>
      <c r="P648" s="22">
        <f t="shared" si="83"/>
        <v>2108.54</v>
      </c>
      <c r="Q648" s="22">
        <f>'Форма 2'!K2300</f>
        <v>3449</v>
      </c>
      <c r="R648" s="38" t="s">
        <v>164</v>
      </c>
      <c r="S648" s="172">
        <v>1</v>
      </c>
      <c r="T648" s="33"/>
    </row>
    <row r="649" spans="1:20" s="21" customFormat="1" x14ac:dyDescent="0.35">
      <c r="A649" s="11">
        <f t="shared" si="88"/>
        <v>212</v>
      </c>
      <c r="B649" s="11">
        <v>2213</v>
      </c>
      <c r="C649" s="37" t="s">
        <v>403</v>
      </c>
      <c r="D649" s="97">
        <v>1967</v>
      </c>
      <c r="E649" s="97" t="s">
        <v>75</v>
      </c>
      <c r="F649" s="97" t="s">
        <v>486</v>
      </c>
      <c r="G649" s="22">
        <v>3514</v>
      </c>
      <c r="H649" s="22">
        <v>3314</v>
      </c>
      <c r="I649" s="26">
        <v>120</v>
      </c>
      <c r="J649" s="22">
        <f>'Форма 2'!I2303</f>
        <v>7809843.5499999998</v>
      </c>
      <c r="K649" s="22">
        <v>0</v>
      </c>
      <c r="L649" s="22">
        <v>0</v>
      </c>
      <c r="M649" s="22">
        <v>0</v>
      </c>
      <c r="N649" s="22">
        <f t="shared" si="87"/>
        <v>7809843.5499999998</v>
      </c>
      <c r="O649" s="22">
        <v>0</v>
      </c>
      <c r="P649" s="22">
        <f t="shared" si="83"/>
        <v>2356.62</v>
      </c>
      <c r="Q649" s="22">
        <f>'Форма 2'!K2303</f>
        <v>3449</v>
      </c>
      <c r="R649" s="38" t="s">
        <v>164</v>
      </c>
      <c r="S649" s="172">
        <v>1</v>
      </c>
      <c r="T649" s="33"/>
    </row>
    <row r="650" spans="1:20" s="21" customFormat="1" x14ac:dyDescent="0.35">
      <c r="A650" s="11">
        <f t="shared" si="88"/>
        <v>213</v>
      </c>
      <c r="B650" s="11">
        <v>2215</v>
      </c>
      <c r="C650" s="37" t="s">
        <v>404</v>
      </c>
      <c r="D650" s="97">
        <v>1967</v>
      </c>
      <c r="E650" s="97" t="s">
        <v>75</v>
      </c>
      <c r="F650" s="97" t="s">
        <v>486</v>
      </c>
      <c r="G650" s="22">
        <v>3903.5</v>
      </c>
      <c r="H650" s="22">
        <v>3550.3</v>
      </c>
      <c r="I650" s="26">
        <v>178</v>
      </c>
      <c r="J650" s="22">
        <f>'Форма 2'!I2306</f>
        <v>6959371.46</v>
      </c>
      <c r="K650" s="22">
        <v>0</v>
      </c>
      <c r="L650" s="22">
        <v>0</v>
      </c>
      <c r="M650" s="22">
        <v>0</v>
      </c>
      <c r="N650" s="22">
        <f t="shared" si="87"/>
        <v>6959371.46</v>
      </c>
      <c r="O650" s="22">
        <v>0</v>
      </c>
      <c r="P650" s="22">
        <f t="shared" si="83"/>
        <v>1960.22</v>
      </c>
      <c r="Q650" s="22">
        <f>'Форма 2'!K2306</f>
        <v>2831</v>
      </c>
      <c r="R650" s="38" t="s">
        <v>164</v>
      </c>
      <c r="S650" s="172">
        <v>1</v>
      </c>
      <c r="T650" s="33"/>
    </row>
    <row r="651" spans="1:20" s="21" customFormat="1" ht="46.5" x14ac:dyDescent="0.35">
      <c r="A651" s="11">
        <f t="shared" si="88"/>
        <v>214</v>
      </c>
      <c r="B651" s="11">
        <v>2475</v>
      </c>
      <c r="C651" s="37" t="s">
        <v>611</v>
      </c>
      <c r="D651" s="96" t="s">
        <v>612</v>
      </c>
      <c r="E651" s="97" t="s">
        <v>185</v>
      </c>
      <c r="F651" s="97" t="s">
        <v>186</v>
      </c>
      <c r="G651" s="22">
        <v>15875.19</v>
      </c>
      <c r="H651" s="22">
        <v>14771.39</v>
      </c>
      <c r="I651" s="26">
        <v>604</v>
      </c>
      <c r="J651" s="22">
        <f>'Форма 2'!I2309</f>
        <v>3539944</v>
      </c>
      <c r="K651" s="22">
        <v>0</v>
      </c>
      <c r="L651" s="22">
        <v>0</v>
      </c>
      <c r="M651" s="22">
        <v>0</v>
      </c>
      <c r="N651" s="22">
        <f>J651-K651-L651-M651-O651</f>
        <v>3539944</v>
      </c>
      <c r="O651" s="22">
        <v>0</v>
      </c>
      <c r="P651" s="22">
        <f t="shared" si="83"/>
        <v>239.65</v>
      </c>
      <c r="Q651" s="22">
        <f>'Форма 2'!K2309</f>
        <v>239.65</v>
      </c>
      <c r="R651" s="38" t="s">
        <v>164</v>
      </c>
      <c r="S651" s="172">
        <v>1</v>
      </c>
      <c r="T651" s="33"/>
    </row>
    <row r="652" spans="1:20" s="21" customFormat="1" x14ac:dyDescent="0.35">
      <c r="A652" s="11">
        <f t="shared" si="88"/>
        <v>215</v>
      </c>
      <c r="B652" s="11">
        <v>2217</v>
      </c>
      <c r="C652" s="37" t="s">
        <v>405</v>
      </c>
      <c r="D652" s="97">
        <v>1967</v>
      </c>
      <c r="E652" s="97" t="s">
        <v>75</v>
      </c>
      <c r="F652" s="97" t="s">
        <v>486</v>
      </c>
      <c r="G652" s="22">
        <v>3899.4</v>
      </c>
      <c r="H652" s="22">
        <v>3563</v>
      </c>
      <c r="I652" s="26">
        <v>172</v>
      </c>
      <c r="J652" s="22">
        <f>'Форма 2'!I2316</f>
        <v>6959371.46</v>
      </c>
      <c r="K652" s="22">
        <v>0</v>
      </c>
      <c r="L652" s="22">
        <v>0</v>
      </c>
      <c r="M652" s="22">
        <v>0</v>
      </c>
      <c r="N652" s="22">
        <f t="shared" si="87"/>
        <v>6959371.46</v>
      </c>
      <c r="O652" s="22">
        <v>0</v>
      </c>
      <c r="P652" s="22">
        <f t="shared" si="83"/>
        <v>1953.23</v>
      </c>
      <c r="Q652" s="22">
        <f>'Форма 2'!K2316</f>
        <v>2831</v>
      </c>
      <c r="R652" s="38" t="s">
        <v>164</v>
      </c>
      <c r="S652" s="172">
        <v>1</v>
      </c>
      <c r="T652" s="33"/>
    </row>
    <row r="653" spans="1:20" s="21" customFormat="1" x14ac:dyDescent="0.35">
      <c r="A653" s="11">
        <f t="shared" si="88"/>
        <v>216</v>
      </c>
      <c r="B653" s="109">
        <v>2536</v>
      </c>
      <c r="C653" s="175" t="s">
        <v>140</v>
      </c>
      <c r="D653" s="97">
        <v>1962</v>
      </c>
      <c r="E653" s="96" t="s">
        <v>439</v>
      </c>
      <c r="F653" s="96" t="s">
        <v>155</v>
      </c>
      <c r="G653" s="22">
        <v>835.9</v>
      </c>
      <c r="H653" s="22">
        <v>775.9</v>
      </c>
      <c r="I653" s="108">
        <v>29</v>
      </c>
      <c r="J653" s="22">
        <f>'Форма 2'!I2319</f>
        <v>164490.79999999999</v>
      </c>
      <c r="K653" s="22">
        <v>0</v>
      </c>
      <c r="L653" s="22">
        <v>0</v>
      </c>
      <c r="M653" s="22">
        <v>0</v>
      </c>
      <c r="N653" s="22">
        <f>J653-K653-L653-M653-O653</f>
        <v>164490.79999999999</v>
      </c>
      <c r="O653" s="22">
        <v>0</v>
      </c>
      <c r="P653" s="22">
        <f t="shared" si="83"/>
        <v>212</v>
      </c>
      <c r="Q653" s="22">
        <f>'Форма 2'!K2319</f>
        <v>212</v>
      </c>
      <c r="R653" s="38" t="s">
        <v>164</v>
      </c>
      <c r="S653" s="172">
        <v>1</v>
      </c>
      <c r="T653" s="33"/>
    </row>
    <row r="654" spans="1:20" s="21" customFormat="1" x14ac:dyDescent="0.35">
      <c r="A654" s="11">
        <f t="shared" si="88"/>
        <v>217</v>
      </c>
      <c r="B654" s="109">
        <v>2409</v>
      </c>
      <c r="C654" s="175" t="s">
        <v>141</v>
      </c>
      <c r="D654" s="97">
        <v>1964</v>
      </c>
      <c r="E654" s="96" t="s">
        <v>75</v>
      </c>
      <c r="F654" s="96" t="s">
        <v>155</v>
      </c>
      <c r="G654" s="22">
        <v>2579.3000000000002</v>
      </c>
      <c r="H654" s="22">
        <v>2414.56</v>
      </c>
      <c r="I654" s="108">
        <v>91</v>
      </c>
      <c r="J654" s="22">
        <f>'Форма 2'!I2321</f>
        <v>395987.84</v>
      </c>
      <c r="K654" s="22">
        <v>0</v>
      </c>
      <c r="L654" s="22">
        <v>0</v>
      </c>
      <c r="M654" s="22">
        <v>0</v>
      </c>
      <c r="N654" s="22">
        <f>J654-K654-L654-M654-O654</f>
        <v>395987.84</v>
      </c>
      <c r="O654" s="22">
        <v>0</v>
      </c>
      <c r="P654" s="22">
        <f t="shared" si="83"/>
        <v>164</v>
      </c>
      <c r="Q654" s="22">
        <f>'Форма 2'!K2321</f>
        <v>164</v>
      </c>
      <c r="R654" s="38" t="s">
        <v>164</v>
      </c>
      <c r="S654" s="172">
        <v>1</v>
      </c>
      <c r="T654" s="33"/>
    </row>
    <row r="655" spans="1:20" s="21" customFormat="1" x14ac:dyDescent="0.35">
      <c r="A655" s="11">
        <f t="shared" si="88"/>
        <v>218</v>
      </c>
      <c r="B655" s="11">
        <v>2222</v>
      </c>
      <c r="C655" s="37" t="s">
        <v>408</v>
      </c>
      <c r="D655" s="97">
        <v>1974</v>
      </c>
      <c r="E655" s="97" t="s">
        <v>75</v>
      </c>
      <c r="F655" s="97" t="s">
        <v>486</v>
      </c>
      <c r="G655" s="22">
        <v>6206.42</v>
      </c>
      <c r="H655" s="22">
        <v>5780.42</v>
      </c>
      <c r="I655" s="26">
        <v>271</v>
      </c>
      <c r="J655" s="22">
        <f>'Форма 2'!I2323</f>
        <v>14080525.08</v>
      </c>
      <c r="K655" s="22">
        <v>0</v>
      </c>
      <c r="L655" s="22">
        <v>0</v>
      </c>
      <c r="M655" s="22">
        <v>0</v>
      </c>
      <c r="N655" s="22">
        <f t="shared" si="87"/>
        <v>14080525.08</v>
      </c>
      <c r="O655" s="22">
        <v>0</v>
      </c>
      <c r="P655" s="22">
        <f t="shared" si="83"/>
        <v>2435.9</v>
      </c>
      <c r="Q655" s="22">
        <f>'Форма 2'!K2323</f>
        <v>3449</v>
      </c>
      <c r="R655" s="38" t="s">
        <v>164</v>
      </c>
      <c r="S655" s="172">
        <v>1</v>
      </c>
      <c r="T655" s="33"/>
    </row>
    <row r="656" spans="1:20" s="21" customFormat="1" x14ac:dyDescent="0.35">
      <c r="A656" s="11">
        <f t="shared" si="88"/>
        <v>219</v>
      </c>
      <c r="B656" s="11">
        <v>2223</v>
      </c>
      <c r="C656" s="37" t="s">
        <v>409</v>
      </c>
      <c r="D656" s="97">
        <v>1971</v>
      </c>
      <c r="E656" s="97" t="s">
        <v>75</v>
      </c>
      <c r="F656" s="97" t="s">
        <v>486</v>
      </c>
      <c r="G656" s="22">
        <v>4950.6000000000004</v>
      </c>
      <c r="H656" s="22">
        <v>4630</v>
      </c>
      <c r="I656" s="26">
        <v>232</v>
      </c>
      <c r="J656" s="22">
        <f>'Форма 2'!I2326</f>
        <v>9257222</v>
      </c>
      <c r="K656" s="22">
        <v>0</v>
      </c>
      <c r="L656" s="22">
        <v>0</v>
      </c>
      <c r="M656" s="22">
        <v>0</v>
      </c>
      <c r="N656" s="22">
        <f t="shared" si="87"/>
        <v>9257222</v>
      </c>
      <c r="O656" s="22">
        <v>0</v>
      </c>
      <c r="P656" s="22">
        <f t="shared" si="83"/>
        <v>1999.4</v>
      </c>
      <c r="Q656" s="22">
        <f>'Форма 2'!K2326</f>
        <v>2831</v>
      </c>
      <c r="R656" s="38" t="s">
        <v>164</v>
      </c>
      <c r="S656" s="172">
        <v>1</v>
      </c>
      <c r="T656" s="33"/>
    </row>
    <row r="657" spans="1:20" s="21" customFormat="1" x14ac:dyDescent="0.35">
      <c r="A657" s="11">
        <f t="shared" si="88"/>
        <v>220</v>
      </c>
      <c r="B657" s="11">
        <v>2103</v>
      </c>
      <c r="C657" s="37" t="s">
        <v>410</v>
      </c>
      <c r="D657" s="97">
        <v>1967</v>
      </c>
      <c r="E657" s="97" t="s">
        <v>75</v>
      </c>
      <c r="F657" s="97" t="s">
        <v>486</v>
      </c>
      <c r="G657" s="22">
        <f>3273.5+249.6</f>
        <v>3523.1</v>
      </c>
      <c r="H657" s="22">
        <v>3273.5</v>
      </c>
      <c r="I657" s="26">
        <v>137</v>
      </c>
      <c r="J657" s="22">
        <f>'Форма 2'!I2329</f>
        <v>6796233.6200000001</v>
      </c>
      <c r="K657" s="22">
        <v>0</v>
      </c>
      <c r="L657" s="22">
        <v>0</v>
      </c>
      <c r="M657" s="22">
        <v>0</v>
      </c>
      <c r="N657" s="22">
        <f t="shared" si="87"/>
        <v>6796233.6200000001</v>
      </c>
      <c r="O657" s="22">
        <v>0</v>
      </c>
      <c r="P657" s="22">
        <f t="shared" si="83"/>
        <v>2076.14</v>
      </c>
      <c r="Q657" s="22">
        <f>'Форма 2'!K2329</f>
        <v>3449</v>
      </c>
      <c r="R657" s="38" t="s">
        <v>164</v>
      </c>
      <c r="S657" s="172">
        <v>1</v>
      </c>
      <c r="T657" s="33"/>
    </row>
    <row r="658" spans="1:20" s="21" customFormat="1" x14ac:dyDescent="0.35">
      <c r="A658" s="11">
        <f t="shared" si="88"/>
        <v>221</v>
      </c>
      <c r="B658" s="11">
        <v>2496</v>
      </c>
      <c r="C658" s="37" t="s">
        <v>613</v>
      </c>
      <c r="D658" s="97">
        <v>1956</v>
      </c>
      <c r="E658" s="97" t="s">
        <v>488</v>
      </c>
      <c r="F658" s="97" t="s">
        <v>186</v>
      </c>
      <c r="G658" s="22">
        <v>786.12</v>
      </c>
      <c r="H658" s="22">
        <v>655.1</v>
      </c>
      <c r="I658" s="26">
        <v>31</v>
      </c>
      <c r="J658" s="22">
        <f>'Форма 2'!I2332</f>
        <v>1954818.4</v>
      </c>
      <c r="K658" s="22">
        <v>0</v>
      </c>
      <c r="L658" s="22">
        <v>0</v>
      </c>
      <c r="M658" s="22">
        <v>0</v>
      </c>
      <c r="N658" s="22">
        <f t="shared" si="87"/>
        <v>1954818.4</v>
      </c>
      <c r="O658" s="22">
        <v>0</v>
      </c>
      <c r="P658" s="22">
        <f t="shared" si="83"/>
        <v>2984</v>
      </c>
      <c r="Q658" s="22">
        <f>'Форма 2'!K2332</f>
        <v>2984</v>
      </c>
      <c r="R658" s="38" t="s">
        <v>164</v>
      </c>
      <c r="S658" s="172">
        <v>1</v>
      </c>
      <c r="T658" s="33"/>
    </row>
    <row r="659" spans="1:20" s="21" customFormat="1" x14ac:dyDescent="0.35">
      <c r="A659" s="11">
        <f t="shared" si="88"/>
        <v>222</v>
      </c>
      <c r="B659" s="11">
        <v>2368</v>
      </c>
      <c r="C659" s="37" t="s">
        <v>412</v>
      </c>
      <c r="D659" s="97">
        <v>1975</v>
      </c>
      <c r="E659" s="97" t="s">
        <v>75</v>
      </c>
      <c r="F659" s="97" t="s">
        <v>486</v>
      </c>
      <c r="G659" s="22">
        <f>4326+870.7+(82.8)*5</f>
        <v>5610.7</v>
      </c>
      <c r="H659" s="22">
        <v>4326</v>
      </c>
      <c r="I659" s="26">
        <v>211</v>
      </c>
      <c r="J659" s="22">
        <f>'Форма 2'!I2336</f>
        <v>9993853.2100000009</v>
      </c>
      <c r="K659" s="22">
        <v>0</v>
      </c>
      <c r="L659" s="22">
        <v>0</v>
      </c>
      <c r="M659" s="22">
        <v>0</v>
      </c>
      <c r="N659" s="22">
        <f t="shared" si="87"/>
        <v>9993853.2100000009</v>
      </c>
      <c r="O659" s="22">
        <v>0</v>
      </c>
      <c r="P659" s="22">
        <f t="shared" si="83"/>
        <v>2310.1799999999998</v>
      </c>
      <c r="Q659" s="22">
        <f>'Форма 2'!K2336</f>
        <v>3449</v>
      </c>
      <c r="R659" s="38" t="s">
        <v>164</v>
      </c>
      <c r="S659" s="172">
        <v>1</v>
      </c>
      <c r="T659" s="33"/>
    </row>
    <row r="660" spans="1:20" s="21" customFormat="1" x14ac:dyDescent="0.35">
      <c r="A660" s="11">
        <f t="shared" si="88"/>
        <v>223</v>
      </c>
      <c r="B660" s="109">
        <v>2235</v>
      </c>
      <c r="C660" s="175" t="s">
        <v>142</v>
      </c>
      <c r="D660" s="97">
        <v>1985</v>
      </c>
      <c r="E660" s="96" t="s">
        <v>312</v>
      </c>
      <c r="F660" s="96" t="s">
        <v>155</v>
      </c>
      <c r="G660" s="22">
        <v>3951.8</v>
      </c>
      <c r="H660" s="22">
        <v>3471.8</v>
      </c>
      <c r="I660" s="108">
        <v>131</v>
      </c>
      <c r="J660" s="22">
        <f>'Форма 2'!I2339</f>
        <v>722134.4</v>
      </c>
      <c r="K660" s="22">
        <v>0</v>
      </c>
      <c r="L660" s="22">
        <v>0</v>
      </c>
      <c r="M660" s="22">
        <v>0</v>
      </c>
      <c r="N660" s="22">
        <f>J660-K660-L660-M660-O660</f>
        <v>722134.4</v>
      </c>
      <c r="O660" s="22">
        <v>0</v>
      </c>
      <c r="P660" s="22">
        <f t="shared" si="83"/>
        <v>208</v>
      </c>
      <c r="Q660" s="22">
        <f>'Форма 2'!K2339</f>
        <v>208</v>
      </c>
      <c r="R660" s="38" t="s">
        <v>164</v>
      </c>
      <c r="S660" s="172">
        <v>1</v>
      </c>
      <c r="T660" s="33"/>
    </row>
    <row r="661" spans="1:20" s="21" customFormat="1" x14ac:dyDescent="0.35">
      <c r="A661" s="11">
        <f t="shared" si="88"/>
        <v>224</v>
      </c>
      <c r="B661" s="109">
        <v>2411</v>
      </c>
      <c r="C661" s="175" t="s">
        <v>143</v>
      </c>
      <c r="D661" s="97">
        <v>1907</v>
      </c>
      <c r="E661" s="96" t="s">
        <v>75</v>
      </c>
      <c r="F661" s="96" t="s">
        <v>155</v>
      </c>
      <c r="G661" s="22">
        <v>991.1</v>
      </c>
      <c r="H661" s="22">
        <v>812.8</v>
      </c>
      <c r="I661" s="84">
        <v>49</v>
      </c>
      <c r="J661" s="22">
        <f>'Форма 2'!I2342</f>
        <v>133299.20000000001</v>
      </c>
      <c r="K661" s="22">
        <v>0</v>
      </c>
      <c r="L661" s="22">
        <v>0</v>
      </c>
      <c r="M661" s="22">
        <v>0</v>
      </c>
      <c r="N661" s="22">
        <f>J661-K661-L661-M661-O661</f>
        <v>133299.20000000001</v>
      </c>
      <c r="O661" s="22">
        <v>0</v>
      </c>
      <c r="P661" s="22">
        <f t="shared" si="83"/>
        <v>164</v>
      </c>
      <c r="Q661" s="22">
        <f>'Форма 2'!K2342</f>
        <v>164</v>
      </c>
      <c r="R661" s="38" t="s">
        <v>164</v>
      </c>
      <c r="S661" s="172">
        <v>1</v>
      </c>
      <c r="T661" s="33"/>
    </row>
    <row r="662" spans="1:20" s="21" customFormat="1" ht="31" x14ac:dyDescent="0.35">
      <c r="A662" s="11">
        <f t="shared" si="88"/>
        <v>225</v>
      </c>
      <c r="B662" s="109">
        <v>2570</v>
      </c>
      <c r="C662" s="175" t="s">
        <v>144</v>
      </c>
      <c r="D662" s="96" t="s">
        <v>614</v>
      </c>
      <c r="E662" s="96" t="s">
        <v>439</v>
      </c>
      <c r="F662" s="96" t="s">
        <v>155</v>
      </c>
      <c r="G662" s="22">
        <v>718.4</v>
      </c>
      <c r="H662" s="22">
        <v>628.4</v>
      </c>
      <c r="I662" s="84">
        <v>20</v>
      </c>
      <c r="J662" s="22">
        <f>'Форма 2'!I2344</f>
        <v>27649.599999999999</v>
      </c>
      <c r="K662" s="22">
        <v>0</v>
      </c>
      <c r="L662" s="22">
        <v>0</v>
      </c>
      <c r="M662" s="22">
        <v>0</v>
      </c>
      <c r="N662" s="22">
        <f t="shared" si="87"/>
        <v>27649.599999999999</v>
      </c>
      <c r="O662" s="22">
        <v>0</v>
      </c>
      <c r="P662" s="22">
        <f t="shared" si="83"/>
        <v>44</v>
      </c>
      <c r="Q662" s="22">
        <f>'Форма 2'!K2344</f>
        <v>44</v>
      </c>
      <c r="R662" s="38" t="s">
        <v>164</v>
      </c>
      <c r="S662" s="172">
        <v>1</v>
      </c>
      <c r="T662" s="33"/>
    </row>
    <row r="663" spans="1:20" s="194" customFormat="1" x14ac:dyDescent="0.35">
      <c r="A663" s="124">
        <f t="shared" si="88"/>
        <v>226</v>
      </c>
      <c r="B663" s="124">
        <v>2236</v>
      </c>
      <c r="C663" s="37" t="s">
        <v>414</v>
      </c>
      <c r="D663" s="96">
        <v>1992</v>
      </c>
      <c r="E663" s="96" t="s">
        <v>239</v>
      </c>
      <c r="F663" s="96" t="s">
        <v>158</v>
      </c>
      <c r="G663" s="86">
        <v>1955.2</v>
      </c>
      <c r="H663" s="86">
        <v>1767.2</v>
      </c>
      <c r="I663" s="99">
        <v>90</v>
      </c>
      <c r="J663" s="86">
        <f>'Форма 2'!I2346</f>
        <v>4858032.8</v>
      </c>
      <c r="K663" s="86">
        <v>0</v>
      </c>
      <c r="L663" s="86">
        <v>0</v>
      </c>
      <c r="M663" s="86">
        <v>0</v>
      </c>
      <c r="N663" s="86">
        <f t="shared" si="87"/>
        <v>4858032.8</v>
      </c>
      <c r="O663" s="86">
        <v>0</v>
      </c>
      <c r="P663" s="86">
        <f t="shared" si="83"/>
        <v>2749</v>
      </c>
      <c r="Q663" s="86">
        <f>'Форма 2'!K2346</f>
        <v>2749</v>
      </c>
      <c r="R663" s="182" t="s">
        <v>164</v>
      </c>
      <c r="S663" s="183">
        <v>1</v>
      </c>
      <c r="T663" s="33"/>
    </row>
    <row r="664" spans="1:20" s="21" customFormat="1" x14ac:dyDescent="0.35">
      <c r="A664" s="11">
        <f t="shared" si="88"/>
        <v>227</v>
      </c>
      <c r="B664" s="109">
        <v>2412</v>
      </c>
      <c r="C664" s="175" t="s">
        <v>145</v>
      </c>
      <c r="D664" s="97">
        <v>1966</v>
      </c>
      <c r="E664" s="96" t="s">
        <v>75</v>
      </c>
      <c r="F664" s="96" t="s">
        <v>155</v>
      </c>
      <c r="G664" s="22">
        <v>1450.2</v>
      </c>
      <c r="H664" s="22">
        <v>1324.2</v>
      </c>
      <c r="I664" s="84">
        <v>63</v>
      </c>
      <c r="J664" s="22">
        <f>'Форма 2'!I2349</f>
        <v>217168.8</v>
      </c>
      <c r="K664" s="22">
        <v>0</v>
      </c>
      <c r="L664" s="22">
        <v>0</v>
      </c>
      <c r="M664" s="22">
        <v>0</v>
      </c>
      <c r="N664" s="22">
        <f t="shared" si="87"/>
        <v>217168.8</v>
      </c>
      <c r="O664" s="22">
        <v>0</v>
      </c>
      <c r="P664" s="22">
        <f t="shared" si="83"/>
        <v>164</v>
      </c>
      <c r="Q664" s="22">
        <f>'Форма 2'!K2349</f>
        <v>164</v>
      </c>
      <c r="R664" s="38" t="s">
        <v>164</v>
      </c>
      <c r="S664" s="172">
        <v>1</v>
      </c>
      <c r="T664" s="33"/>
    </row>
    <row r="665" spans="1:20" s="21" customFormat="1" x14ac:dyDescent="0.35">
      <c r="A665" s="11">
        <f t="shared" si="88"/>
        <v>228</v>
      </c>
      <c r="B665" s="109">
        <v>2416</v>
      </c>
      <c r="C665" s="175" t="s">
        <v>146</v>
      </c>
      <c r="D665" s="97">
        <v>1966</v>
      </c>
      <c r="E665" s="96" t="s">
        <v>75</v>
      </c>
      <c r="F665" s="96" t="s">
        <v>155</v>
      </c>
      <c r="G665" s="22">
        <v>2562.8000000000002</v>
      </c>
      <c r="H665" s="22">
        <v>2375.6</v>
      </c>
      <c r="I665" s="108">
        <v>90</v>
      </c>
      <c r="J665" s="22">
        <f>'Форма 2'!I2351</f>
        <v>389598.4</v>
      </c>
      <c r="K665" s="22">
        <v>0</v>
      </c>
      <c r="L665" s="22">
        <v>0</v>
      </c>
      <c r="M665" s="22">
        <v>0</v>
      </c>
      <c r="N665" s="22">
        <f>J665-K665-L665-M665-O665</f>
        <v>389598.4</v>
      </c>
      <c r="O665" s="22">
        <v>0</v>
      </c>
      <c r="P665" s="22">
        <f t="shared" si="83"/>
        <v>164</v>
      </c>
      <c r="Q665" s="22">
        <f>'Форма 2'!K2351</f>
        <v>164</v>
      </c>
      <c r="R665" s="38" t="s">
        <v>164</v>
      </c>
      <c r="S665" s="172">
        <v>1</v>
      </c>
      <c r="T665" s="33"/>
    </row>
    <row r="666" spans="1:20" x14ac:dyDescent="0.35">
      <c r="A666" s="11">
        <f t="shared" si="88"/>
        <v>229</v>
      </c>
      <c r="B666" s="109">
        <v>2489</v>
      </c>
      <c r="C666" s="175" t="s">
        <v>779</v>
      </c>
      <c r="D666" s="97">
        <v>1984</v>
      </c>
      <c r="E666" s="96" t="s">
        <v>75</v>
      </c>
      <c r="F666" s="96" t="s">
        <v>155</v>
      </c>
      <c r="G666" s="22">
        <v>4947.7</v>
      </c>
      <c r="H666" s="22">
        <v>4049.2</v>
      </c>
      <c r="I666" s="108">
        <v>153</v>
      </c>
      <c r="J666" s="22">
        <f>'Форма 2'!I2353</f>
        <v>664068.80000000005</v>
      </c>
      <c r="K666" s="22">
        <v>0</v>
      </c>
      <c r="L666" s="22">
        <v>0</v>
      </c>
      <c r="M666" s="22">
        <v>0</v>
      </c>
      <c r="N666" s="22">
        <f>J666-K666-L666-M666-O666</f>
        <v>664068.80000000005</v>
      </c>
      <c r="O666" s="22">
        <v>0</v>
      </c>
      <c r="P666" s="22">
        <f t="shared" si="83"/>
        <v>164</v>
      </c>
      <c r="Q666" s="22">
        <f>'Форма 2'!K2353</f>
        <v>164</v>
      </c>
      <c r="R666" s="38" t="s">
        <v>164</v>
      </c>
      <c r="S666" s="172">
        <v>1</v>
      </c>
      <c r="T666" s="33"/>
    </row>
    <row r="667" spans="1:20" s="33" customFormat="1" x14ac:dyDescent="0.35">
      <c r="A667" s="11">
        <f t="shared" si="88"/>
        <v>230</v>
      </c>
      <c r="B667" s="109">
        <v>2239</v>
      </c>
      <c r="C667" s="175" t="s">
        <v>780</v>
      </c>
      <c r="D667" s="97">
        <v>1989</v>
      </c>
      <c r="E667" s="96" t="s">
        <v>312</v>
      </c>
      <c r="F667" s="96" t="s">
        <v>155</v>
      </c>
      <c r="G667" s="22">
        <v>5087.6000000000004</v>
      </c>
      <c r="H667" s="22">
        <v>4698.6000000000004</v>
      </c>
      <c r="I667" s="108">
        <v>178</v>
      </c>
      <c r="J667" s="22">
        <f>'Форма 2'!I2355</f>
        <v>977308.8</v>
      </c>
      <c r="K667" s="22">
        <v>0</v>
      </c>
      <c r="L667" s="22">
        <v>0</v>
      </c>
      <c r="M667" s="22">
        <v>0</v>
      </c>
      <c r="N667" s="22">
        <f>J667-K667-L667-M667-O667</f>
        <v>977308.8</v>
      </c>
      <c r="O667" s="22">
        <v>0</v>
      </c>
      <c r="P667" s="22">
        <f t="shared" si="83"/>
        <v>208</v>
      </c>
      <c r="Q667" s="22">
        <f>'Форма 2'!K2355</f>
        <v>208</v>
      </c>
      <c r="R667" s="38" t="s">
        <v>164</v>
      </c>
      <c r="S667" s="172">
        <v>1</v>
      </c>
    </row>
    <row r="668" spans="1:20" s="184" customFormat="1" x14ac:dyDescent="0.35">
      <c r="A668" s="124">
        <f t="shared" si="88"/>
        <v>231</v>
      </c>
      <c r="B668" s="195">
        <v>2422</v>
      </c>
      <c r="C668" s="175" t="s">
        <v>781</v>
      </c>
      <c r="D668" s="96">
        <v>1987</v>
      </c>
      <c r="E668" s="96" t="s">
        <v>239</v>
      </c>
      <c r="F668" s="96" t="s">
        <v>155</v>
      </c>
      <c r="G668" s="86">
        <v>7977.9</v>
      </c>
      <c r="H668" s="86">
        <v>6937.3</v>
      </c>
      <c r="I668" s="108">
        <v>297</v>
      </c>
      <c r="J668" s="86">
        <f>'Форма 2'!I2358</f>
        <v>638231.6</v>
      </c>
      <c r="K668" s="86">
        <v>0</v>
      </c>
      <c r="L668" s="86">
        <v>0</v>
      </c>
      <c r="M668" s="86">
        <v>0</v>
      </c>
      <c r="N668" s="86">
        <f>J668-K668-L668-M668-O668</f>
        <v>638231.6</v>
      </c>
      <c r="O668" s="86">
        <v>0</v>
      </c>
      <c r="P668" s="86">
        <f t="shared" si="83"/>
        <v>92</v>
      </c>
      <c r="Q668" s="86">
        <f>'Форма 2'!K2358</f>
        <v>92</v>
      </c>
      <c r="R668" s="182" t="s">
        <v>164</v>
      </c>
      <c r="S668" s="183">
        <v>1</v>
      </c>
      <c r="T668" s="33"/>
    </row>
    <row r="669" spans="1:20" s="33" customFormat="1" x14ac:dyDescent="0.35">
      <c r="A669" s="11">
        <f t="shared" si="88"/>
        <v>232</v>
      </c>
      <c r="B669" s="109">
        <v>2432</v>
      </c>
      <c r="C669" s="175" t="s">
        <v>147</v>
      </c>
      <c r="D669" s="97">
        <v>1960</v>
      </c>
      <c r="E669" s="96" t="s">
        <v>439</v>
      </c>
      <c r="F669" s="96" t="s">
        <v>155</v>
      </c>
      <c r="G669" s="22">
        <v>1402.7</v>
      </c>
      <c r="H669" s="22">
        <v>1229.0999999999999</v>
      </c>
      <c r="I669" s="84">
        <v>53</v>
      </c>
      <c r="J669" s="22">
        <f>'Форма 2'!I2360</f>
        <v>54080.4</v>
      </c>
      <c r="K669" s="22">
        <v>0</v>
      </c>
      <c r="L669" s="22">
        <v>0</v>
      </c>
      <c r="M669" s="22">
        <v>0</v>
      </c>
      <c r="N669" s="22">
        <f t="shared" si="87"/>
        <v>54080.4</v>
      </c>
      <c r="O669" s="22">
        <v>0</v>
      </c>
      <c r="P669" s="22">
        <f t="shared" si="83"/>
        <v>44</v>
      </c>
      <c r="Q669" s="22">
        <f>'Форма 2'!K2360</f>
        <v>44</v>
      </c>
      <c r="R669" s="38" t="s">
        <v>164</v>
      </c>
      <c r="S669" s="172">
        <v>1</v>
      </c>
    </row>
    <row r="670" spans="1:20" s="33" customFormat="1" x14ac:dyDescent="0.35">
      <c r="A670" s="11">
        <f t="shared" si="88"/>
        <v>233</v>
      </c>
      <c r="B670" s="11">
        <v>2733</v>
      </c>
      <c r="C670" s="37" t="s">
        <v>422</v>
      </c>
      <c r="D670" s="97">
        <v>1910</v>
      </c>
      <c r="E670" s="97" t="s">
        <v>75</v>
      </c>
      <c r="F670" s="97" t="s">
        <v>158</v>
      </c>
      <c r="G670" s="22">
        <v>906.2</v>
      </c>
      <c r="H670" s="22">
        <v>822.4</v>
      </c>
      <c r="I670" s="26">
        <v>55</v>
      </c>
      <c r="J670" s="22">
        <f>'Форма 2'!I2362</f>
        <v>3888307.2</v>
      </c>
      <c r="K670" s="22">
        <v>0</v>
      </c>
      <c r="L670" s="22">
        <v>0</v>
      </c>
      <c r="M670" s="22">
        <v>0</v>
      </c>
      <c r="N670" s="22">
        <f t="shared" si="87"/>
        <v>3888307.2</v>
      </c>
      <c r="O670" s="22">
        <v>0</v>
      </c>
      <c r="P670" s="22">
        <f t="shared" si="83"/>
        <v>4728</v>
      </c>
      <c r="Q670" s="22">
        <f>'Форма 2'!K2362</f>
        <v>4728</v>
      </c>
      <c r="R670" s="38" t="s">
        <v>164</v>
      </c>
      <c r="S670" s="172">
        <v>1</v>
      </c>
    </row>
    <row r="671" spans="1:20" s="33" customFormat="1" x14ac:dyDescent="0.35">
      <c r="A671" s="11">
        <f t="shared" si="88"/>
        <v>234</v>
      </c>
      <c r="B671" s="11">
        <v>2268</v>
      </c>
      <c r="C671" s="37" t="s">
        <v>423</v>
      </c>
      <c r="D671" s="97">
        <v>1967</v>
      </c>
      <c r="E671" s="97" t="s">
        <v>75</v>
      </c>
      <c r="F671" s="97" t="s">
        <v>486</v>
      </c>
      <c r="G671" s="22">
        <v>3783.2</v>
      </c>
      <c r="H671" s="22">
        <v>3547.2</v>
      </c>
      <c r="I671" s="26">
        <v>180</v>
      </c>
      <c r="J671" s="22">
        <f>'Форма 2'!I2365</f>
        <v>7520743.0199999996</v>
      </c>
      <c r="K671" s="22">
        <v>0</v>
      </c>
      <c r="L671" s="22">
        <v>0</v>
      </c>
      <c r="M671" s="22">
        <v>0</v>
      </c>
      <c r="N671" s="22">
        <f t="shared" si="87"/>
        <v>7520743.0199999996</v>
      </c>
      <c r="O671" s="22">
        <v>0</v>
      </c>
      <c r="P671" s="22">
        <f t="shared" si="83"/>
        <v>2120.19</v>
      </c>
      <c r="Q671" s="22">
        <f>'Форма 2'!K2365</f>
        <v>3449</v>
      </c>
      <c r="R671" s="38" t="s">
        <v>164</v>
      </c>
      <c r="S671" s="172">
        <v>1</v>
      </c>
    </row>
    <row r="672" spans="1:20" s="33" customFormat="1" x14ac:dyDescent="0.35">
      <c r="A672" s="11">
        <f t="shared" si="88"/>
        <v>235</v>
      </c>
      <c r="B672" s="11">
        <v>2269</v>
      </c>
      <c r="C672" s="37" t="s">
        <v>424</v>
      </c>
      <c r="D672" s="97">
        <v>1969</v>
      </c>
      <c r="E672" s="97" t="s">
        <v>75</v>
      </c>
      <c r="F672" s="97" t="s">
        <v>486</v>
      </c>
      <c r="G672" s="22">
        <v>3904.87</v>
      </c>
      <c r="H672" s="22">
        <v>3668.87</v>
      </c>
      <c r="I672" s="26">
        <v>164</v>
      </c>
      <c r="J672" s="22">
        <f>'Форма 2'!I2368</f>
        <v>5478430.7599999998</v>
      </c>
      <c r="K672" s="22">
        <v>0</v>
      </c>
      <c r="L672" s="22">
        <v>0</v>
      </c>
      <c r="M672" s="22">
        <v>0</v>
      </c>
      <c r="N672" s="22">
        <f t="shared" si="87"/>
        <v>5478430.7599999998</v>
      </c>
      <c r="O672" s="22">
        <v>0</v>
      </c>
      <c r="P672" s="22">
        <f t="shared" si="83"/>
        <v>1493.22</v>
      </c>
      <c r="Q672" s="22">
        <f>'Форма 2'!K2368</f>
        <v>2831</v>
      </c>
      <c r="R672" s="38" t="s">
        <v>164</v>
      </c>
      <c r="S672" s="172">
        <v>1</v>
      </c>
    </row>
    <row r="673" spans="1:20" s="33" customFormat="1" x14ac:dyDescent="0.35">
      <c r="A673" s="11">
        <f t="shared" si="88"/>
        <v>236</v>
      </c>
      <c r="B673" s="109">
        <v>2434</v>
      </c>
      <c r="C673" s="175" t="s">
        <v>148</v>
      </c>
      <c r="D673" s="97">
        <v>1967</v>
      </c>
      <c r="E673" s="97" t="s">
        <v>75</v>
      </c>
      <c r="F673" s="97" t="s">
        <v>155</v>
      </c>
      <c r="G673" s="22">
        <v>3578.55</v>
      </c>
      <c r="H673" s="22">
        <v>3278.05</v>
      </c>
      <c r="I673" s="84">
        <v>163</v>
      </c>
      <c r="J673" s="22">
        <f>'Форма 2'!I2371</f>
        <v>478595.3</v>
      </c>
      <c r="K673" s="22">
        <v>0</v>
      </c>
      <c r="L673" s="22">
        <v>0</v>
      </c>
      <c r="M673" s="22">
        <v>0</v>
      </c>
      <c r="N673" s="22">
        <f t="shared" si="87"/>
        <v>478595.3</v>
      </c>
      <c r="O673" s="22">
        <v>0</v>
      </c>
      <c r="P673" s="22">
        <f t="shared" si="83"/>
        <v>146</v>
      </c>
      <c r="Q673" s="22">
        <f>'Форма 2'!K2371</f>
        <v>146</v>
      </c>
      <c r="R673" s="38" t="s">
        <v>164</v>
      </c>
      <c r="S673" s="172">
        <v>1</v>
      </c>
    </row>
    <row r="674" spans="1:20" s="33" customFormat="1" x14ac:dyDescent="0.35">
      <c r="A674" s="11">
        <f t="shared" si="88"/>
        <v>237</v>
      </c>
      <c r="B674" s="11">
        <v>2967</v>
      </c>
      <c r="C674" s="37" t="s">
        <v>425</v>
      </c>
      <c r="D674" s="97">
        <v>1966</v>
      </c>
      <c r="E674" s="97" t="s">
        <v>293</v>
      </c>
      <c r="F674" s="97" t="s">
        <v>163</v>
      </c>
      <c r="G674" s="22">
        <v>4037.3</v>
      </c>
      <c r="H674" s="22">
        <v>3510.7</v>
      </c>
      <c r="I674" s="26">
        <v>182</v>
      </c>
      <c r="J674" s="22">
        <f>'Форма 2'!I2373</f>
        <v>200812.03</v>
      </c>
      <c r="K674" s="22">
        <v>0</v>
      </c>
      <c r="L674" s="22">
        <v>0</v>
      </c>
      <c r="M674" s="22">
        <v>0</v>
      </c>
      <c r="N674" s="22">
        <f t="shared" si="87"/>
        <v>200812.03</v>
      </c>
      <c r="O674" s="22">
        <v>0</v>
      </c>
      <c r="P674" s="22">
        <f t="shared" si="83"/>
        <v>57.2</v>
      </c>
      <c r="Q674" s="22">
        <f>'Форма 2'!K2373</f>
        <v>172</v>
      </c>
      <c r="R674" s="38" t="s">
        <v>164</v>
      </c>
      <c r="S674" s="172">
        <v>1</v>
      </c>
    </row>
    <row r="675" spans="1:20" s="33" customFormat="1" ht="31" x14ac:dyDescent="0.35">
      <c r="A675" s="11">
        <f t="shared" si="88"/>
        <v>238</v>
      </c>
      <c r="B675" s="109">
        <v>2286</v>
      </c>
      <c r="C675" s="175" t="s">
        <v>782</v>
      </c>
      <c r="D675" s="96" t="s">
        <v>791</v>
      </c>
      <c r="E675" s="97" t="s">
        <v>75</v>
      </c>
      <c r="F675" s="97" t="s">
        <v>155</v>
      </c>
      <c r="G675" s="22">
        <v>22311.8</v>
      </c>
      <c r="H675" s="22">
        <v>18477.8</v>
      </c>
      <c r="I675" s="108">
        <v>698</v>
      </c>
      <c r="J675" s="22">
        <f>'Форма 2'!I2376</f>
        <v>3030359.2</v>
      </c>
      <c r="K675" s="22">
        <v>0</v>
      </c>
      <c r="L675" s="22">
        <v>0</v>
      </c>
      <c r="M675" s="22">
        <v>0</v>
      </c>
      <c r="N675" s="22">
        <f t="shared" si="87"/>
        <v>3030359.2</v>
      </c>
      <c r="O675" s="22">
        <v>0</v>
      </c>
      <c r="P675" s="22">
        <f t="shared" si="83"/>
        <v>164</v>
      </c>
      <c r="Q675" s="22">
        <f>'Форма 2'!K2376</f>
        <v>164</v>
      </c>
      <c r="R675" s="38" t="s">
        <v>164</v>
      </c>
      <c r="S675" s="172">
        <v>1</v>
      </c>
    </row>
    <row r="676" spans="1:20" s="184" customFormat="1" ht="31" x14ac:dyDescent="0.35">
      <c r="A676" s="124">
        <f t="shared" si="88"/>
        <v>239</v>
      </c>
      <c r="B676" s="195">
        <v>2163</v>
      </c>
      <c r="C676" s="175" t="s">
        <v>783</v>
      </c>
      <c r="D676" s="96" t="s">
        <v>792</v>
      </c>
      <c r="E676" s="96" t="s">
        <v>239</v>
      </c>
      <c r="F676" s="96" t="s">
        <v>155</v>
      </c>
      <c r="G676" s="86">
        <v>19878.5</v>
      </c>
      <c r="H676" s="86">
        <v>18241.8</v>
      </c>
      <c r="I676" s="108">
        <v>689</v>
      </c>
      <c r="J676" s="86">
        <f>'Форма 2'!I2378</f>
        <v>985057.2</v>
      </c>
      <c r="K676" s="86">
        <v>0</v>
      </c>
      <c r="L676" s="86">
        <v>0</v>
      </c>
      <c r="M676" s="86">
        <v>0</v>
      </c>
      <c r="N676" s="86">
        <f t="shared" si="87"/>
        <v>985057.2</v>
      </c>
      <c r="O676" s="86">
        <v>0</v>
      </c>
      <c r="P676" s="86">
        <f t="shared" si="83"/>
        <v>54</v>
      </c>
      <c r="Q676" s="86">
        <f>'Форма 2'!K2378</f>
        <v>54</v>
      </c>
      <c r="R676" s="182" t="s">
        <v>164</v>
      </c>
      <c r="S676" s="183">
        <v>1</v>
      </c>
      <c r="T676" s="33"/>
    </row>
    <row r="677" spans="1:20" s="33" customFormat="1" x14ac:dyDescent="0.35">
      <c r="A677" s="11">
        <f t="shared" si="88"/>
        <v>240</v>
      </c>
      <c r="B677" s="109">
        <v>2438</v>
      </c>
      <c r="C677" s="175" t="s">
        <v>784</v>
      </c>
      <c r="D677" s="97">
        <v>1981</v>
      </c>
      <c r="E677" s="96" t="s">
        <v>75</v>
      </c>
      <c r="F677" s="96" t="s">
        <v>155</v>
      </c>
      <c r="G677" s="22">
        <v>2629.57</v>
      </c>
      <c r="H677" s="22">
        <v>2393.4699999999998</v>
      </c>
      <c r="I677" s="108">
        <v>90</v>
      </c>
      <c r="J677" s="22">
        <f>'Форма 2'!I2380</f>
        <v>349446.62</v>
      </c>
      <c r="K677" s="22">
        <v>0</v>
      </c>
      <c r="L677" s="22">
        <v>0</v>
      </c>
      <c r="M677" s="22">
        <v>0</v>
      </c>
      <c r="N677" s="22">
        <f t="shared" si="87"/>
        <v>349446.62</v>
      </c>
      <c r="O677" s="22">
        <v>0</v>
      </c>
      <c r="P677" s="22">
        <f t="shared" si="83"/>
        <v>146</v>
      </c>
      <c r="Q677" s="22">
        <f>'Форма 2'!K2380</f>
        <v>146</v>
      </c>
      <c r="R677" s="38" t="s">
        <v>164</v>
      </c>
      <c r="S677" s="172">
        <v>1</v>
      </c>
    </row>
    <row r="678" spans="1:20" s="33" customFormat="1" x14ac:dyDescent="0.35">
      <c r="A678" s="11">
        <f t="shared" si="88"/>
        <v>241</v>
      </c>
      <c r="B678" s="109">
        <v>2291</v>
      </c>
      <c r="C678" s="175" t="s">
        <v>149</v>
      </c>
      <c r="D678" s="97">
        <v>1962</v>
      </c>
      <c r="E678" s="96" t="s">
        <v>75</v>
      </c>
      <c r="F678" s="96" t="s">
        <v>155</v>
      </c>
      <c r="G678" s="22">
        <v>1376.1</v>
      </c>
      <c r="H678" s="22">
        <v>1274.0999999999999</v>
      </c>
      <c r="I678" s="84">
        <v>65</v>
      </c>
      <c r="J678" s="22">
        <f>'Форма 2'!I2382</f>
        <v>208952.4</v>
      </c>
      <c r="K678" s="22">
        <v>0</v>
      </c>
      <c r="L678" s="22">
        <v>0</v>
      </c>
      <c r="M678" s="22">
        <v>0</v>
      </c>
      <c r="N678" s="22">
        <f t="shared" si="87"/>
        <v>208952.4</v>
      </c>
      <c r="O678" s="22">
        <v>0</v>
      </c>
      <c r="P678" s="22">
        <f t="shared" si="83"/>
        <v>164</v>
      </c>
      <c r="Q678" s="22">
        <f>'Форма 2'!K2382</f>
        <v>164</v>
      </c>
      <c r="R678" s="38" t="s">
        <v>164</v>
      </c>
      <c r="S678" s="172">
        <v>1</v>
      </c>
    </row>
    <row r="679" spans="1:20" s="33" customFormat="1" x14ac:dyDescent="0.35">
      <c r="A679" s="11">
        <f>A678+1</f>
        <v>242</v>
      </c>
      <c r="B679" s="11">
        <v>2449</v>
      </c>
      <c r="C679" s="37" t="s">
        <v>427</v>
      </c>
      <c r="D679" s="97">
        <v>1972</v>
      </c>
      <c r="E679" s="97" t="s">
        <v>75</v>
      </c>
      <c r="F679" s="97" t="s">
        <v>486</v>
      </c>
      <c r="G679" s="22">
        <v>3264.3</v>
      </c>
      <c r="H679" s="22">
        <v>2723.4</v>
      </c>
      <c r="I679" s="26">
        <v>150</v>
      </c>
      <c r="J679" s="22">
        <f>'Форма 2'!I2384</f>
        <v>5445165.96</v>
      </c>
      <c r="K679" s="22">
        <v>0</v>
      </c>
      <c r="L679" s="22">
        <v>0</v>
      </c>
      <c r="M679" s="22">
        <v>0</v>
      </c>
      <c r="N679" s="22">
        <f t="shared" si="87"/>
        <v>5445165.96</v>
      </c>
      <c r="O679" s="22">
        <v>0</v>
      </c>
      <c r="P679" s="22">
        <f t="shared" si="83"/>
        <v>1999.4</v>
      </c>
      <c r="Q679" s="22">
        <f>'Форма 2'!K2384</f>
        <v>2831</v>
      </c>
      <c r="R679" s="38" t="s">
        <v>164</v>
      </c>
      <c r="S679" s="172">
        <v>1</v>
      </c>
    </row>
    <row r="680" spans="1:20" s="33" customFormat="1" x14ac:dyDescent="0.35">
      <c r="A680" s="11">
        <f t="shared" si="88"/>
        <v>243</v>
      </c>
      <c r="B680" s="109">
        <v>2451</v>
      </c>
      <c r="C680" s="175" t="s">
        <v>150</v>
      </c>
      <c r="D680" s="97">
        <v>1967</v>
      </c>
      <c r="E680" s="96" t="s">
        <v>75</v>
      </c>
      <c r="F680" s="96" t="s">
        <v>155</v>
      </c>
      <c r="G680" s="22">
        <v>4163.6000000000004</v>
      </c>
      <c r="H680" s="22">
        <v>3730.46</v>
      </c>
      <c r="I680" s="84">
        <v>167</v>
      </c>
      <c r="J680" s="22">
        <f>'Форма 2'!I2387</f>
        <v>611795.43999999994</v>
      </c>
      <c r="K680" s="22">
        <v>0</v>
      </c>
      <c r="L680" s="22">
        <v>0</v>
      </c>
      <c r="M680" s="22">
        <v>0</v>
      </c>
      <c r="N680" s="22">
        <f>J680-K680-L680-M680-O680</f>
        <v>611795.43999999994</v>
      </c>
      <c r="O680" s="22">
        <v>0</v>
      </c>
      <c r="P680" s="22">
        <f t="shared" si="83"/>
        <v>164</v>
      </c>
      <c r="Q680" s="22">
        <f>'Форма 2'!K2387</f>
        <v>164</v>
      </c>
      <c r="R680" s="38" t="s">
        <v>164</v>
      </c>
      <c r="S680" s="172">
        <v>1</v>
      </c>
    </row>
    <row r="681" spans="1:20" s="33" customFormat="1" x14ac:dyDescent="0.35">
      <c r="A681" s="11">
        <f t="shared" si="88"/>
        <v>244</v>
      </c>
      <c r="B681" s="109">
        <v>2452</v>
      </c>
      <c r="C681" s="175" t="s">
        <v>151</v>
      </c>
      <c r="D681" s="97">
        <v>1960</v>
      </c>
      <c r="E681" s="97" t="s">
        <v>75</v>
      </c>
      <c r="F681" s="97" t="s">
        <v>155</v>
      </c>
      <c r="G681" s="22">
        <v>1716.62</v>
      </c>
      <c r="H681" s="22">
        <v>1545.52</v>
      </c>
      <c r="I681" s="84">
        <v>121</v>
      </c>
      <c r="J681" s="22">
        <f>'Форма 2'!I2389</f>
        <v>253465.28</v>
      </c>
      <c r="K681" s="22">
        <v>0</v>
      </c>
      <c r="L681" s="22">
        <v>0</v>
      </c>
      <c r="M681" s="22">
        <v>0</v>
      </c>
      <c r="N681" s="22">
        <f t="shared" si="87"/>
        <v>253465.28</v>
      </c>
      <c r="O681" s="22">
        <v>0</v>
      </c>
      <c r="P681" s="22">
        <f t="shared" si="83"/>
        <v>164</v>
      </c>
      <c r="Q681" s="22">
        <f>'Форма 2'!K2389</f>
        <v>164</v>
      </c>
      <c r="R681" s="38" t="s">
        <v>164</v>
      </c>
      <c r="S681" s="172">
        <v>1</v>
      </c>
    </row>
    <row r="682" spans="1:20" s="33" customFormat="1" x14ac:dyDescent="0.35">
      <c r="A682" s="11">
        <f t="shared" si="88"/>
        <v>245</v>
      </c>
      <c r="B682" s="109">
        <v>2454</v>
      </c>
      <c r="C682" s="175" t="s">
        <v>615</v>
      </c>
      <c r="D682" s="97">
        <v>1980</v>
      </c>
      <c r="E682" s="96" t="s">
        <v>75</v>
      </c>
      <c r="F682" s="96" t="s">
        <v>155</v>
      </c>
      <c r="G682" s="22">
        <v>3981.78</v>
      </c>
      <c r="H682" s="22">
        <v>3640.78</v>
      </c>
      <c r="I682" s="84">
        <v>178</v>
      </c>
      <c r="J682" s="22">
        <f>'Форма 2'!I2391</f>
        <v>597087.92000000004</v>
      </c>
      <c r="K682" s="22">
        <v>0</v>
      </c>
      <c r="L682" s="22">
        <v>0</v>
      </c>
      <c r="M682" s="22">
        <v>0</v>
      </c>
      <c r="N682" s="22">
        <f t="shared" si="87"/>
        <v>597087.92000000004</v>
      </c>
      <c r="O682" s="22">
        <v>0</v>
      </c>
      <c r="P682" s="22">
        <f t="shared" si="83"/>
        <v>164</v>
      </c>
      <c r="Q682" s="22">
        <f>'Форма 2'!K2391</f>
        <v>164</v>
      </c>
      <c r="R682" s="38" t="s">
        <v>164</v>
      </c>
      <c r="S682" s="172">
        <v>1</v>
      </c>
    </row>
    <row r="683" spans="1:20" s="33" customFormat="1" x14ac:dyDescent="0.35">
      <c r="A683" s="11">
        <f t="shared" si="88"/>
        <v>246</v>
      </c>
      <c r="B683" s="109">
        <v>2455</v>
      </c>
      <c r="C683" s="175" t="s">
        <v>616</v>
      </c>
      <c r="D683" s="97">
        <v>1979</v>
      </c>
      <c r="E683" s="97" t="s">
        <v>75</v>
      </c>
      <c r="F683" s="97" t="s">
        <v>155</v>
      </c>
      <c r="G683" s="22">
        <v>2624.5</v>
      </c>
      <c r="H683" s="22">
        <v>2363.5</v>
      </c>
      <c r="I683" s="84">
        <v>131</v>
      </c>
      <c r="J683" s="22">
        <f>'Форма 2'!I2393</f>
        <v>387614</v>
      </c>
      <c r="K683" s="22">
        <v>0</v>
      </c>
      <c r="L683" s="22">
        <v>0</v>
      </c>
      <c r="M683" s="22">
        <v>0</v>
      </c>
      <c r="N683" s="22">
        <f t="shared" si="87"/>
        <v>387614</v>
      </c>
      <c r="O683" s="22">
        <v>0</v>
      </c>
      <c r="P683" s="22">
        <f t="shared" si="83"/>
        <v>164</v>
      </c>
      <c r="Q683" s="22">
        <f>'Форма 2'!K2393</f>
        <v>164</v>
      </c>
      <c r="R683" s="38" t="s">
        <v>164</v>
      </c>
      <c r="S683" s="172">
        <v>1</v>
      </c>
    </row>
    <row r="684" spans="1:20" s="33" customFormat="1" x14ac:dyDescent="0.35">
      <c r="A684" s="11">
        <f t="shared" si="88"/>
        <v>247</v>
      </c>
      <c r="B684" s="109">
        <v>2457</v>
      </c>
      <c r="C684" s="175" t="s">
        <v>617</v>
      </c>
      <c r="D684" s="97">
        <v>1979</v>
      </c>
      <c r="E684" s="96" t="s">
        <v>75</v>
      </c>
      <c r="F684" s="96" t="s">
        <v>155</v>
      </c>
      <c r="G684" s="22">
        <v>3932.4</v>
      </c>
      <c r="H684" s="22">
        <v>3026.9</v>
      </c>
      <c r="I684" s="84">
        <v>209</v>
      </c>
      <c r="J684" s="22">
        <f>'Форма 2'!I2395</f>
        <v>496411.6</v>
      </c>
      <c r="K684" s="22">
        <v>0</v>
      </c>
      <c r="L684" s="22">
        <v>0</v>
      </c>
      <c r="M684" s="22">
        <v>0</v>
      </c>
      <c r="N684" s="22">
        <f t="shared" si="87"/>
        <v>496411.6</v>
      </c>
      <c r="O684" s="22">
        <v>0</v>
      </c>
      <c r="P684" s="22">
        <f t="shared" si="83"/>
        <v>164</v>
      </c>
      <c r="Q684" s="22">
        <f>'Форма 2'!K2395</f>
        <v>164</v>
      </c>
      <c r="R684" s="38" t="s">
        <v>164</v>
      </c>
      <c r="S684" s="172">
        <v>1</v>
      </c>
    </row>
    <row r="685" spans="1:20" x14ac:dyDescent="0.35">
      <c r="A685" s="11">
        <f t="shared" si="88"/>
        <v>248</v>
      </c>
      <c r="B685" s="109">
        <v>2303</v>
      </c>
      <c r="C685" s="175" t="s">
        <v>618</v>
      </c>
      <c r="D685" s="97">
        <v>1976</v>
      </c>
      <c r="E685" s="96" t="s">
        <v>75</v>
      </c>
      <c r="F685" s="96" t="s">
        <v>155</v>
      </c>
      <c r="G685" s="22">
        <v>14384.1</v>
      </c>
      <c r="H685" s="22">
        <v>12308.1</v>
      </c>
      <c r="I685" s="84">
        <v>520</v>
      </c>
      <c r="J685" s="22">
        <f>'Форма 2'!I2397</f>
        <v>782897.74</v>
      </c>
      <c r="K685" s="22">
        <v>0</v>
      </c>
      <c r="L685" s="22">
        <v>0</v>
      </c>
      <c r="M685" s="22">
        <v>0</v>
      </c>
      <c r="N685" s="22">
        <f>J685-K685-L685-M685-O685</f>
        <v>782897.74</v>
      </c>
      <c r="O685" s="22">
        <v>0</v>
      </c>
      <c r="P685" s="22">
        <f t="shared" si="83"/>
        <v>63.61</v>
      </c>
      <c r="Q685" s="22">
        <f>'Форма 2'!K2397</f>
        <v>164</v>
      </c>
      <c r="R685" s="38" t="s">
        <v>164</v>
      </c>
      <c r="S685" s="172">
        <v>1</v>
      </c>
      <c r="T685" s="33"/>
    </row>
    <row r="686" spans="1:20" x14ac:dyDescent="0.35">
      <c r="A686" s="11">
        <f t="shared" si="88"/>
        <v>249</v>
      </c>
      <c r="B686" s="11">
        <v>2307</v>
      </c>
      <c r="C686" s="37" t="s">
        <v>428</v>
      </c>
      <c r="D686" s="97">
        <v>1973</v>
      </c>
      <c r="E686" s="97" t="s">
        <v>75</v>
      </c>
      <c r="F686" s="97" t="s">
        <v>486</v>
      </c>
      <c r="G686" s="22">
        <v>3135.2</v>
      </c>
      <c r="H686" s="22">
        <v>2904.2</v>
      </c>
      <c r="I686" s="26">
        <v>132</v>
      </c>
      <c r="J686" s="22">
        <f>'Форма 2'!I2399</f>
        <v>5806657.4800000004</v>
      </c>
      <c r="K686" s="22">
        <v>0</v>
      </c>
      <c r="L686" s="22">
        <v>0</v>
      </c>
      <c r="M686" s="22">
        <v>0</v>
      </c>
      <c r="N686" s="22">
        <f t="shared" si="87"/>
        <v>5806657.4800000004</v>
      </c>
      <c r="O686" s="22">
        <v>0</v>
      </c>
      <c r="P686" s="22">
        <f t="shared" si="83"/>
        <v>1999.4</v>
      </c>
      <c r="Q686" s="22">
        <f>'Форма 2'!K2399</f>
        <v>2831</v>
      </c>
      <c r="R686" s="38" t="s">
        <v>164</v>
      </c>
      <c r="S686" s="172">
        <v>1</v>
      </c>
      <c r="T686" s="33"/>
    </row>
    <row r="687" spans="1:20" x14ac:dyDescent="0.35">
      <c r="A687" s="11">
        <f t="shared" si="88"/>
        <v>250</v>
      </c>
      <c r="B687" s="109">
        <v>2315</v>
      </c>
      <c r="C687" s="175" t="s">
        <v>152</v>
      </c>
      <c r="D687" s="97">
        <v>1960</v>
      </c>
      <c r="E687" s="96" t="s">
        <v>75</v>
      </c>
      <c r="F687" s="96" t="s">
        <v>155</v>
      </c>
      <c r="G687" s="22">
        <v>723.5</v>
      </c>
      <c r="H687" s="22">
        <v>669.5</v>
      </c>
      <c r="I687" s="84">
        <v>31</v>
      </c>
      <c r="J687" s="22">
        <f>'Форма 2'!I2402</f>
        <v>119171</v>
      </c>
      <c r="K687" s="22">
        <v>0</v>
      </c>
      <c r="L687" s="22">
        <v>0</v>
      </c>
      <c r="M687" s="22">
        <v>0</v>
      </c>
      <c r="N687" s="22">
        <f t="shared" si="87"/>
        <v>119171</v>
      </c>
      <c r="O687" s="22">
        <v>0</v>
      </c>
      <c r="P687" s="22">
        <f>J687/H687</f>
        <v>178</v>
      </c>
      <c r="Q687" s="22">
        <f>'Форма 2'!K2402</f>
        <v>178</v>
      </c>
      <c r="R687" s="38" t="s">
        <v>164</v>
      </c>
      <c r="S687" s="172">
        <v>1</v>
      </c>
      <c r="T687" s="33"/>
    </row>
    <row r="688" spans="1:20" x14ac:dyDescent="0.35">
      <c r="A688" s="11">
        <f t="shared" si="88"/>
        <v>251</v>
      </c>
      <c r="B688" s="11">
        <v>2880</v>
      </c>
      <c r="C688" s="37" t="s">
        <v>430</v>
      </c>
      <c r="D688" s="97">
        <v>1917</v>
      </c>
      <c r="E688" s="97" t="s">
        <v>75</v>
      </c>
      <c r="F688" s="97" t="s">
        <v>486</v>
      </c>
      <c r="G688" s="22">
        <v>245.6</v>
      </c>
      <c r="H688" s="22">
        <v>222.1</v>
      </c>
      <c r="I688" s="26">
        <v>18</v>
      </c>
      <c r="J688" s="22">
        <f>'Форма 2'!I2404</f>
        <v>1108412.26</v>
      </c>
      <c r="K688" s="22">
        <v>0</v>
      </c>
      <c r="L688" s="22">
        <v>0</v>
      </c>
      <c r="M688" s="22">
        <v>0</v>
      </c>
      <c r="N688" s="22">
        <f t="shared" si="87"/>
        <v>1108412.26</v>
      </c>
      <c r="O688" s="22">
        <v>0</v>
      </c>
      <c r="P688" s="22">
        <f>J688/H688</f>
        <v>4990.6000000000004</v>
      </c>
      <c r="Q688" s="22">
        <f>'Форма 2'!K2404</f>
        <v>7066</v>
      </c>
      <c r="R688" s="38" t="s">
        <v>164</v>
      </c>
      <c r="S688" s="172">
        <v>1</v>
      </c>
      <c r="T688" s="33"/>
    </row>
    <row r="689" spans="1:20" x14ac:dyDescent="0.35">
      <c r="A689" s="11">
        <f t="shared" si="88"/>
        <v>252</v>
      </c>
      <c r="B689" s="11">
        <v>2911</v>
      </c>
      <c r="C689" s="37" t="s">
        <v>431</v>
      </c>
      <c r="D689" s="97">
        <v>1900</v>
      </c>
      <c r="E689" s="96" t="s">
        <v>75</v>
      </c>
      <c r="F689" s="96" t="s">
        <v>793</v>
      </c>
      <c r="G689" s="22">
        <v>208.24</v>
      </c>
      <c r="H689" s="22">
        <v>170.5</v>
      </c>
      <c r="I689" s="26">
        <v>9</v>
      </c>
      <c r="J689" s="22">
        <f>'Форма 2'!I2407</f>
        <v>353855.7</v>
      </c>
      <c r="K689" s="22">
        <v>0</v>
      </c>
      <c r="L689" s="22">
        <v>0</v>
      </c>
      <c r="M689" s="22">
        <v>0</v>
      </c>
      <c r="N689" s="22">
        <f t="shared" si="87"/>
        <v>353855.7</v>
      </c>
      <c r="O689" s="22">
        <v>0</v>
      </c>
      <c r="P689" s="22">
        <f>J689/H689</f>
        <v>2075.4</v>
      </c>
      <c r="Q689" s="22">
        <f>'Форма 2'!K2407</f>
        <v>6918</v>
      </c>
      <c r="R689" s="38" t="s">
        <v>498</v>
      </c>
      <c r="S689" s="172">
        <v>1</v>
      </c>
      <c r="T689" s="33"/>
    </row>
    <row r="690" spans="1:20" x14ac:dyDescent="0.35">
      <c r="A690" s="11">
        <f t="shared" si="88"/>
        <v>253</v>
      </c>
      <c r="B690" s="109">
        <v>2482</v>
      </c>
      <c r="C690" s="175" t="s">
        <v>153</v>
      </c>
      <c r="D690" s="97">
        <v>1953</v>
      </c>
      <c r="E690" s="96" t="s">
        <v>75</v>
      </c>
      <c r="F690" s="96" t="s">
        <v>155</v>
      </c>
      <c r="G690" s="22">
        <f>949.1+288</f>
        <v>1237.0999999999999</v>
      </c>
      <c r="H690" s="22">
        <v>949.1</v>
      </c>
      <c r="I690" s="84">
        <v>55</v>
      </c>
      <c r="J690" s="22">
        <f>'Форма 2'!I2409</f>
        <v>168939.8</v>
      </c>
      <c r="K690" s="22">
        <v>0</v>
      </c>
      <c r="L690" s="22">
        <v>0</v>
      </c>
      <c r="M690" s="22">
        <v>0</v>
      </c>
      <c r="N690" s="22">
        <f t="shared" si="87"/>
        <v>168939.8</v>
      </c>
      <c r="O690" s="22">
        <v>0</v>
      </c>
      <c r="P690" s="22">
        <f>J690/H690</f>
        <v>178</v>
      </c>
      <c r="Q690" s="22">
        <f>'Форма 2'!K2409</f>
        <v>178</v>
      </c>
      <c r="R690" s="38" t="s">
        <v>164</v>
      </c>
      <c r="S690" s="172">
        <v>1</v>
      </c>
      <c r="T690" s="33"/>
    </row>
    <row r="691" spans="1:20" x14ac:dyDescent="0.35">
      <c r="A691" s="228" t="s">
        <v>36</v>
      </c>
      <c r="B691" s="228"/>
      <c r="C691" s="228"/>
      <c r="D691" s="23" t="s">
        <v>13</v>
      </c>
      <c r="E691" s="22" t="s">
        <v>13</v>
      </c>
      <c r="F691" s="22" t="s">
        <v>13</v>
      </c>
      <c r="G691" s="19">
        <f>G692</f>
        <v>1983.8</v>
      </c>
      <c r="H691" s="19">
        <f t="shared" ref="H691:O691" si="89">H692</f>
        <v>1267</v>
      </c>
      <c r="I691" s="20">
        <f t="shared" si="89"/>
        <v>49</v>
      </c>
      <c r="J691" s="19">
        <f t="shared" si="89"/>
        <v>207788</v>
      </c>
      <c r="K691" s="19">
        <f t="shared" si="89"/>
        <v>0</v>
      </c>
      <c r="L691" s="19">
        <f t="shared" si="89"/>
        <v>0</v>
      </c>
      <c r="M691" s="19">
        <f t="shared" si="89"/>
        <v>0</v>
      </c>
      <c r="N691" s="19">
        <f t="shared" si="89"/>
        <v>207788</v>
      </c>
      <c r="O691" s="19">
        <f t="shared" si="89"/>
        <v>0</v>
      </c>
      <c r="P691" s="22" t="s">
        <v>13</v>
      </c>
      <c r="Q691" s="22" t="s">
        <v>13</v>
      </c>
      <c r="R691" s="22" t="s">
        <v>13</v>
      </c>
      <c r="S691" s="26" t="s">
        <v>13</v>
      </c>
      <c r="T691" s="33"/>
    </row>
    <row r="692" spans="1:20" x14ac:dyDescent="0.35">
      <c r="A692" s="39">
        <v>1</v>
      </c>
      <c r="B692" s="39">
        <v>4850</v>
      </c>
      <c r="C692" s="50" t="s">
        <v>619</v>
      </c>
      <c r="D692" s="41">
        <v>1988</v>
      </c>
      <c r="E692" s="41" t="s">
        <v>75</v>
      </c>
      <c r="F692" s="41" t="s">
        <v>155</v>
      </c>
      <c r="G692" s="25">
        <v>1983.8</v>
      </c>
      <c r="H692" s="22">
        <v>1267</v>
      </c>
      <c r="I692" s="103">
        <v>49</v>
      </c>
      <c r="J692" s="22">
        <f>'Форма 2'!I2412</f>
        <v>207788</v>
      </c>
      <c r="K692" s="22">
        <v>0</v>
      </c>
      <c r="L692" s="22">
        <v>0</v>
      </c>
      <c r="M692" s="22">
        <v>0</v>
      </c>
      <c r="N692" s="22">
        <f>J692-O692</f>
        <v>207788</v>
      </c>
      <c r="O692" s="22">
        <v>0</v>
      </c>
      <c r="P692" s="22">
        <f>J692/H692</f>
        <v>164</v>
      </c>
      <c r="Q692" s="22">
        <f>'Форма 2'!K2412</f>
        <v>164</v>
      </c>
      <c r="R692" s="34" t="s">
        <v>164</v>
      </c>
      <c r="S692" s="172">
        <v>1</v>
      </c>
      <c r="T692" s="33"/>
    </row>
    <row r="693" spans="1:20" x14ac:dyDescent="0.35">
      <c r="A693" s="246" t="s">
        <v>37</v>
      </c>
      <c r="B693" s="246"/>
      <c r="C693" s="246"/>
      <c r="D693" s="23" t="s">
        <v>13</v>
      </c>
      <c r="E693" s="22" t="s">
        <v>13</v>
      </c>
      <c r="F693" s="22" t="s">
        <v>13</v>
      </c>
      <c r="G693" s="25">
        <f>SUM(G694:G696)</f>
        <v>1290.46</v>
      </c>
      <c r="H693" s="25">
        <f t="shared" ref="H693:O693" si="90">SUM(H694:H696)</f>
        <v>1135.81</v>
      </c>
      <c r="I693" s="101">
        <f t="shared" si="90"/>
        <v>73</v>
      </c>
      <c r="J693" s="25">
        <f t="shared" si="90"/>
        <v>3360938.28</v>
      </c>
      <c r="K693" s="25">
        <f t="shared" si="90"/>
        <v>0</v>
      </c>
      <c r="L693" s="25">
        <f t="shared" si="90"/>
        <v>0</v>
      </c>
      <c r="M693" s="25">
        <f t="shared" si="90"/>
        <v>0</v>
      </c>
      <c r="N693" s="25">
        <f t="shared" si="90"/>
        <v>3360938.28</v>
      </c>
      <c r="O693" s="25">
        <f t="shared" si="90"/>
        <v>0</v>
      </c>
      <c r="P693" s="22" t="s">
        <v>13</v>
      </c>
      <c r="Q693" s="22" t="s">
        <v>13</v>
      </c>
      <c r="R693" s="22" t="s">
        <v>13</v>
      </c>
      <c r="S693" s="26" t="s">
        <v>13</v>
      </c>
      <c r="T693" s="33"/>
    </row>
    <row r="694" spans="1:20" x14ac:dyDescent="0.35">
      <c r="A694" s="146">
        <v>1</v>
      </c>
      <c r="B694" s="146">
        <v>7336</v>
      </c>
      <c r="C694" s="52" t="s">
        <v>620</v>
      </c>
      <c r="D694" s="141">
        <v>1941</v>
      </c>
      <c r="E694" s="97" t="s">
        <v>439</v>
      </c>
      <c r="F694" s="141" t="s">
        <v>155</v>
      </c>
      <c r="G694" s="53">
        <v>326.57</v>
      </c>
      <c r="H694" s="19">
        <v>288.99</v>
      </c>
      <c r="I694" s="150">
        <v>18</v>
      </c>
      <c r="J694" s="22">
        <f>'Форма 2'!I2415</f>
        <v>116751.96</v>
      </c>
      <c r="K694" s="22">
        <v>0</v>
      </c>
      <c r="L694" s="22">
        <v>0</v>
      </c>
      <c r="M694" s="22">
        <v>0</v>
      </c>
      <c r="N694" s="25">
        <f>J694-O694</f>
        <v>116751.96</v>
      </c>
      <c r="O694" s="22">
        <v>0</v>
      </c>
      <c r="P694" s="22">
        <f>J694/H694</f>
        <v>404</v>
      </c>
      <c r="Q694" s="22">
        <f>'Форма 2'!K2415</f>
        <v>404</v>
      </c>
      <c r="R694" s="38" t="s">
        <v>164</v>
      </c>
      <c r="S694" s="172">
        <v>1</v>
      </c>
      <c r="T694" s="33"/>
    </row>
    <row r="695" spans="1:20" x14ac:dyDescent="0.35">
      <c r="A695" s="146">
        <f>A694+1</f>
        <v>2</v>
      </c>
      <c r="B695" s="123">
        <v>7309</v>
      </c>
      <c r="C695" s="117" t="s">
        <v>621</v>
      </c>
      <c r="D695" s="97">
        <v>1975</v>
      </c>
      <c r="E695" s="97" t="s">
        <v>439</v>
      </c>
      <c r="F695" s="97" t="s">
        <v>155</v>
      </c>
      <c r="G695" s="25">
        <v>595.89</v>
      </c>
      <c r="H695" s="25">
        <v>527.49</v>
      </c>
      <c r="I695" s="101">
        <v>28</v>
      </c>
      <c r="J695" s="22">
        <f>'Форма 2'!I2418</f>
        <v>213105.96</v>
      </c>
      <c r="K695" s="25">
        <v>0</v>
      </c>
      <c r="L695" s="25">
        <v>0</v>
      </c>
      <c r="M695" s="25">
        <v>0</v>
      </c>
      <c r="N695" s="25">
        <f>J695</f>
        <v>213105.96</v>
      </c>
      <c r="O695" s="22">
        <v>0</v>
      </c>
      <c r="P695" s="22">
        <f>J695/H695</f>
        <v>404</v>
      </c>
      <c r="Q695" s="22">
        <f>'Форма 2'!K2418</f>
        <v>404</v>
      </c>
      <c r="R695" s="38" t="s">
        <v>164</v>
      </c>
      <c r="S695" s="26">
        <v>1</v>
      </c>
      <c r="T695" s="33"/>
    </row>
    <row r="696" spans="1:20" x14ac:dyDescent="0.35">
      <c r="A696" s="146">
        <f>A695+1</f>
        <v>3</v>
      </c>
      <c r="B696" s="146">
        <v>7310</v>
      </c>
      <c r="C696" s="117" t="s">
        <v>438</v>
      </c>
      <c r="D696" s="97">
        <v>1956</v>
      </c>
      <c r="E696" s="97" t="s">
        <v>439</v>
      </c>
      <c r="F696" s="97" t="s">
        <v>158</v>
      </c>
      <c r="G696" s="25">
        <v>368</v>
      </c>
      <c r="H696" s="25">
        <v>319.33</v>
      </c>
      <c r="I696" s="26">
        <v>27</v>
      </c>
      <c r="J696" s="22">
        <f>'Форма 2'!I2421</f>
        <v>3031080.36</v>
      </c>
      <c r="K696" s="25">
        <f>K699</f>
        <v>0</v>
      </c>
      <c r="L696" s="25">
        <f>L699</f>
        <v>0</v>
      </c>
      <c r="M696" s="25">
        <f>M699</f>
        <v>0</v>
      </c>
      <c r="N696" s="25">
        <f>J696-K696-L696-O696-M696</f>
        <v>3031080.36</v>
      </c>
      <c r="O696" s="25">
        <v>0</v>
      </c>
      <c r="P696" s="25">
        <f>J696/H696</f>
        <v>9492</v>
      </c>
      <c r="Q696" s="25">
        <f>'Форма 2'!K2421</f>
        <v>9492</v>
      </c>
      <c r="R696" s="177" t="s">
        <v>164</v>
      </c>
      <c r="S696" s="146">
        <v>1</v>
      </c>
      <c r="T696" s="33"/>
    </row>
    <row r="697" spans="1:20" x14ac:dyDescent="0.35">
      <c r="A697" s="246" t="s">
        <v>39</v>
      </c>
      <c r="B697" s="246"/>
      <c r="C697" s="246"/>
      <c r="D697" s="23" t="s">
        <v>13</v>
      </c>
      <c r="E697" s="22" t="s">
        <v>13</v>
      </c>
      <c r="F697" s="22" t="s">
        <v>13</v>
      </c>
      <c r="G697" s="22">
        <f>G698+G699</f>
        <v>948</v>
      </c>
      <c r="H697" s="22">
        <f t="shared" ref="H697:O697" si="91">H698+H699</f>
        <v>858</v>
      </c>
      <c r="I697" s="26">
        <f t="shared" si="91"/>
        <v>52</v>
      </c>
      <c r="J697" s="22">
        <f t="shared" si="91"/>
        <v>1606261.6</v>
      </c>
      <c r="K697" s="22">
        <f t="shared" si="91"/>
        <v>0</v>
      </c>
      <c r="L697" s="22">
        <f t="shared" si="91"/>
        <v>0</v>
      </c>
      <c r="M697" s="22">
        <f t="shared" si="91"/>
        <v>0</v>
      </c>
      <c r="N697" s="22">
        <f t="shared" si="91"/>
        <v>1606261.6</v>
      </c>
      <c r="O697" s="22">
        <f t="shared" si="91"/>
        <v>0</v>
      </c>
      <c r="P697" s="22" t="s">
        <v>13</v>
      </c>
      <c r="Q697" s="22" t="s">
        <v>13</v>
      </c>
      <c r="R697" s="22" t="s">
        <v>13</v>
      </c>
      <c r="S697" s="26" t="s">
        <v>13</v>
      </c>
      <c r="T697" s="33"/>
    </row>
    <row r="698" spans="1:20" x14ac:dyDescent="0.35">
      <c r="A698" s="39">
        <v>1</v>
      </c>
      <c r="B698" s="39">
        <v>6736</v>
      </c>
      <c r="C698" s="52" t="s">
        <v>622</v>
      </c>
      <c r="D698" s="141">
        <v>1963</v>
      </c>
      <c r="E698" s="110" t="s">
        <v>75</v>
      </c>
      <c r="F698" s="110" t="s">
        <v>155</v>
      </c>
      <c r="G698" s="53">
        <v>426.2</v>
      </c>
      <c r="H698" s="86">
        <v>401.2</v>
      </c>
      <c r="I698" s="150">
        <v>15</v>
      </c>
      <c r="J698" s="22">
        <f>'Форма 2'!I2427</f>
        <v>71413.600000000006</v>
      </c>
      <c r="K698" s="22">
        <v>0</v>
      </c>
      <c r="L698" s="22">
        <v>0</v>
      </c>
      <c r="M698" s="22">
        <v>0</v>
      </c>
      <c r="N698" s="22">
        <f>J698-O698</f>
        <v>71413.600000000006</v>
      </c>
      <c r="O698" s="22">
        <v>0</v>
      </c>
      <c r="P698" s="22">
        <f>N698/H698</f>
        <v>178</v>
      </c>
      <c r="Q698" s="19">
        <f>'Форма 2'!K2427</f>
        <v>178</v>
      </c>
      <c r="R698" s="34" t="s">
        <v>164</v>
      </c>
      <c r="S698" s="172">
        <v>1</v>
      </c>
      <c r="T698" s="33"/>
    </row>
    <row r="699" spans="1:20" s="190" customFormat="1" x14ac:dyDescent="0.35">
      <c r="A699" s="146">
        <f>A698+1</f>
        <v>2</v>
      </c>
      <c r="B699" s="146">
        <v>6742</v>
      </c>
      <c r="C699" s="52" t="s">
        <v>442</v>
      </c>
      <c r="D699" s="141">
        <v>1952</v>
      </c>
      <c r="E699" s="141" t="s">
        <v>623</v>
      </c>
      <c r="F699" s="141" t="s">
        <v>186</v>
      </c>
      <c r="G699" s="53">
        <v>521.79999999999995</v>
      </c>
      <c r="H699" s="86">
        <v>456.8</v>
      </c>
      <c r="I699" s="150">
        <v>37</v>
      </c>
      <c r="J699" s="86">
        <f>'Форма 2'!I2429</f>
        <v>1534848</v>
      </c>
      <c r="K699" s="86">
        <v>0</v>
      </c>
      <c r="L699" s="86">
        <v>0</v>
      </c>
      <c r="M699" s="86">
        <v>0</v>
      </c>
      <c r="N699" s="86">
        <f>J699-O699</f>
        <v>1534848</v>
      </c>
      <c r="O699" s="86">
        <v>0</v>
      </c>
      <c r="P699" s="86">
        <f>J699/H699</f>
        <v>3360</v>
      </c>
      <c r="Q699" s="118">
        <f>'Форма 2'!K2429</f>
        <v>3360</v>
      </c>
      <c r="R699" s="189" t="s">
        <v>164</v>
      </c>
      <c r="S699" s="183">
        <v>1</v>
      </c>
      <c r="T699" s="33"/>
    </row>
    <row r="700" spans="1:20" x14ac:dyDescent="0.35">
      <c r="A700" s="246" t="s">
        <v>40</v>
      </c>
      <c r="B700" s="246"/>
      <c r="C700" s="246"/>
      <c r="D700" s="23" t="s">
        <v>13</v>
      </c>
      <c r="E700" s="22" t="s">
        <v>13</v>
      </c>
      <c r="F700" s="22" t="s">
        <v>13</v>
      </c>
      <c r="G700" s="22">
        <f>SUM(G701:G723)</f>
        <v>18175.87</v>
      </c>
      <c r="H700" s="22">
        <f t="shared" ref="H700:O700" si="92">SUM(H701:H723)</f>
        <v>14730.8</v>
      </c>
      <c r="I700" s="26">
        <f t="shared" si="92"/>
        <v>531</v>
      </c>
      <c r="J700" s="22">
        <f t="shared" si="92"/>
        <v>31113078</v>
      </c>
      <c r="K700" s="22">
        <f t="shared" si="92"/>
        <v>0</v>
      </c>
      <c r="L700" s="22">
        <f t="shared" si="92"/>
        <v>0</v>
      </c>
      <c r="M700" s="22">
        <f t="shared" si="92"/>
        <v>0</v>
      </c>
      <c r="N700" s="22">
        <f t="shared" si="92"/>
        <v>31113078</v>
      </c>
      <c r="O700" s="22">
        <f t="shared" si="92"/>
        <v>0</v>
      </c>
      <c r="P700" s="22" t="s">
        <v>13</v>
      </c>
      <c r="Q700" s="22" t="s">
        <v>13</v>
      </c>
      <c r="R700" s="22" t="s">
        <v>13</v>
      </c>
      <c r="S700" s="26" t="s">
        <v>13</v>
      </c>
      <c r="T700" s="33"/>
    </row>
    <row r="701" spans="1:20" x14ac:dyDescent="0.35">
      <c r="A701" s="39">
        <v>1</v>
      </c>
      <c r="B701" s="39">
        <v>5598</v>
      </c>
      <c r="C701" s="40" t="s">
        <v>624</v>
      </c>
      <c r="D701" s="41">
        <v>1958</v>
      </c>
      <c r="E701" s="41" t="s">
        <v>75</v>
      </c>
      <c r="F701" s="41" t="s">
        <v>163</v>
      </c>
      <c r="G701" s="25">
        <v>454.4</v>
      </c>
      <c r="H701" s="22">
        <v>430.4</v>
      </c>
      <c r="I701" s="103">
        <v>14</v>
      </c>
      <c r="J701" s="22">
        <f>'Форма 2'!I2437</f>
        <v>1029215.52</v>
      </c>
      <c r="K701" s="22">
        <v>0</v>
      </c>
      <c r="L701" s="22">
        <v>0</v>
      </c>
      <c r="M701" s="22">
        <v>0</v>
      </c>
      <c r="N701" s="22">
        <f>J701-K701-L701-M701-O701</f>
        <v>1029215.52</v>
      </c>
      <c r="O701" s="22">
        <v>0</v>
      </c>
      <c r="P701" s="22">
        <f t="shared" ref="P701:P723" si="93">J701/H701</f>
        <v>2391.3000000000002</v>
      </c>
      <c r="Q701" s="22">
        <f>'Форма 2'!K2437</f>
        <v>7558</v>
      </c>
      <c r="R701" s="34" t="s">
        <v>498</v>
      </c>
      <c r="S701" s="172">
        <v>1</v>
      </c>
      <c r="T701" s="33"/>
    </row>
    <row r="702" spans="1:20" x14ac:dyDescent="0.35">
      <c r="A702" s="39">
        <f>A701+1</f>
        <v>2</v>
      </c>
      <c r="B702" s="39">
        <v>5398</v>
      </c>
      <c r="C702" s="40" t="s">
        <v>625</v>
      </c>
      <c r="D702" s="41">
        <v>1958</v>
      </c>
      <c r="E702" s="41" t="s">
        <v>75</v>
      </c>
      <c r="F702" s="41" t="s">
        <v>155</v>
      </c>
      <c r="G702" s="25">
        <v>482.6</v>
      </c>
      <c r="H702" s="22">
        <v>474.6</v>
      </c>
      <c r="I702" s="103">
        <v>15</v>
      </c>
      <c r="J702" s="22">
        <f>'Форма 2'!I2440</f>
        <v>84004.2</v>
      </c>
      <c r="K702" s="22">
        <v>0</v>
      </c>
      <c r="L702" s="22">
        <v>0</v>
      </c>
      <c r="M702" s="22">
        <v>0</v>
      </c>
      <c r="N702" s="22">
        <f>J702-K702-L702-M702-O702</f>
        <v>84004.2</v>
      </c>
      <c r="O702" s="22">
        <v>0</v>
      </c>
      <c r="P702" s="22">
        <f t="shared" si="93"/>
        <v>177</v>
      </c>
      <c r="Q702" s="22">
        <f>'Форма 2'!K2440</f>
        <v>177</v>
      </c>
      <c r="R702" s="34" t="s">
        <v>164</v>
      </c>
      <c r="S702" s="172">
        <v>1</v>
      </c>
      <c r="T702" s="33"/>
    </row>
    <row r="703" spans="1:20" x14ac:dyDescent="0.35">
      <c r="A703" s="39">
        <f>A702+1</f>
        <v>3</v>
      </c>
      <c r="B703" s="39">
        <v>5399</v>
      </c>
      <c r="C703" s="40" t="s">
        <v>626</v>
      </c>
      <c r="D703" s="42">
        <v>1958</v>
      </c>
      <c r="E703" s="42" t="s">
        <v>75</v>
      </c>
      <c r="F703" s="42" t="s">
        <v>163</v>
      </c>
      <c r="G703" s="25">
        <v>447.2</v>
      </c>
      <c r="H703" s="22">
        <v>413</v>
      </c>
      <c r="I703" s="105">
        <v>13</v>
      </c>
      <c r="J703" s="22">
        <f>'Форма 2'!I2442</f>
        <v>987606.9</v>
      </c>
      <c r="K703" s="22">
        <v>0</v>
      </c>
      <c r="L703" s="22">
        <v>0</v>
      </c>
      <c r="M703" s="22">
        <v>0</v>
      </c>
      <c r="N703" s="22">
        <f>J703-K703-L703-M703-O703</f>
        <v>987606.9</v>
      </c>
      <c r="O703" s="22">
        <v>0</v>
      </c>
      <c r="P703" s="22">
        <f t="shared" si="93"/>
        <v>2391.3000000000002</v>
      </c>
      <c r="Q703" s="22">
        <f>'Форма 2'!K2442</f>
        <v>7558</v>
      </c>
      <c r="R703" s="34" t="s">
        <v>498</v>
      </c>
      <c r="S703" s="172">
        <v>1</v>
      </c>
      <c r="T703" s="33"/>
    </row>
    <row r="704" spans="1:20" x14ac:dyDescent="0.35">
      <c r="A704" s="39">
        <f t="shared" ref="A704:A723" si="94">A703+1</f>
        <v>4</v>
      </c>
      <c r="B704" s="62">
        <v>5400</v>
      </c>
      <c r="C704" s="59" t="s">
        <v>443</v>
      </c>
      <c r="D704" s="60">
        <v>1957</v>
      </c>
      <c r="E704" s="42" t="s">
        <v>233</v>
      </c>
      <c r="F704" s="42" t="s">
        <v>486</v>
      </c>
      <c r="G704" s="25">
        <v>464.7</v>
      </c>
      <c r="H704" s="22">
        <v>427.3</v>
      </c>
      <c r="I704" s="103">
        <v>14</v>
      </c>
      <c r="J704" s="22">
        <f>'Форма 2'!I2445</f>
        <v>1754365.61</v>
      </c>
      <c r="K704" s="22">
        <v>0</v>
      </c>
      <c r="L704" s="22">
        <v>0</v>
      </c>
      <c r="M704" s="22">
        <v>0</v>
      </c>
      <c r="N704" s="22">
        <f>J704-K704-L704-M704-O704</f>
        <v>1754365.61</v>
      </c>
      <c r="O704" s="22">
        <v>0</v>
      </c>
      <c r="P704" s="22">
        <f t="shared" si="93"/>
        <v>4105.7</v>
      </c>
      <c r="Q704" s="58">
        <f>'Форма 2'!K2445</f>
        <v>5813</v>
      </c>
      <c r="R704" s="34" t="s">
        <v>164</v>
      </c>
      <c r="S704" s="172">
        <v>1</v>
      </c>
      <c r="T704" s="33"/>
    </row>
    <row r="705" spans="1:20" x14ac:dyDescent="0.35">
      <c r="A705" s="39">
        <f t="shared" si="94"/>
        <v>5</v>
      </c>
      <c r="B705" s="39">
        <v>5412</v>
      </c>
      <c r="C705" s="40" t="s">
        <v>627</v>
      </c>
      <c r="D705" s="63">
        <v>1958</v>
      </c>
      <c r="E705" s="41" t="s">
        <v>75</v>
      </c>
      <c r="F705" s="41" t="s">
        <v>155</v>
      </c>
      <c r="G705" s="25">
        <v>462.5</v>
      </c>
      <c r="H705" s="22">
        <v>442</v>
      </c>
      <c r="I705" s="105">
        <v>30</v>
      </c>
      <c r="J705" s="22">
        <f>'Форма 2'!I2448</f>
        <v>78234</v>
      </c>
      <c r="K705" s="22">
        <v>0</v>
      </c>
      <c r="L705" s="22">
        <v>0</v>
      </c>
      <c r="M705" s="22">
        <v>0</v>
      </c>
      <c r="N705" s="22">
        <f>J705-K705-L705-M705-O705</f>
        <v>78234</v>
      </c>
      <c r="O705" s="22">
        <v>0</v>
      </c>
      <c r="P705" s="22">
        <f t="shared" si="93"/>
        <v>177</v>
      </c>
      <c r="Q705" s="22">
        <f>'Форма 2'!K2448</f>
        <v>177</v>
      </c>
      <c r="R705" s="34" t="s">
        <v>164</v>
      </c>
      <c r="S705" s="172">
        <v>1</v>
      </c>
      <c r="T705" s="33"/>
    </row>
    <row r="706" spans="1:20" x14ac:dyDescent="0.35">
      <c r="A706" s="39">
        <f t="shared" si="94"/>
        <v>6</v>
      </c>
      <c r="B706" s="62">
        <v>5404</v>
      </c>
      <c r="C706" s="59" t="s">
        <v>444</v>
      </c>
      <c r="D706" s="41">
        <v>1957</v>
      </c>
      <c r="E706" s="42" t="s">
        <v>439</v>
      </c>
      <c r="F706" s="42" t="s">
        <v>158</v>
      </c>
      <c r="G706" s="25">
        <v>450.1</v>
      </c>
      <c r="H706" s="22">
        <v>418</v>
      </c>
      <c r="I706" s="105">
        <v>13</v>
      </c>
      <c r="J706" s="22">
        <f>'Форма 2'!I2450</f>
        <v>3967656</v>
      </c>
      <c r="K706" s="22">
        <v>0</v>
      </c>
      <c r="L706" s="22">
        <v>0</v>
      </c>
      <c r="M706" s="22">
        <v>0</v>
      </c>
      <c r="N706" s="22">
        <f t="shared" ref="N706:N723" si="95">J706-K706-L706-M706-O706</f>
        <v>3967656</v>
      </c>
      <c r="O706" s="22">
        <v>0</v>
      </c>
      <c r="P706" s="22">
        <f t="shared" si="93"/>
        <v>9492</v>
      </c>
      <c r="Q706" s="58">
        <f>'Форма 2'!K2450</f>
        <v>9492</v>
      </c>
      <c r="R706" s="34" t="s">
        <v>164</v>
      </c>
      <c r="S706" s="172">
        <v>1</v>
      </c>
      <c r="T706" s="33"/>
    </row>
    <row r="707" spans="1:20" x14ac:dyDescent="0.35">
      <c r="A707" s="39">
        <f t="shared" si="94"/>
        <v>7</v>
      </c>
      <c r="B707" s="62">
        <v>5408</v>
      </c>
      <c r="C707" s="59" t="s">
        <v>445</v>
      </c>
      <c r="D707" s="60">
        <v>1957</v>
      </c>
      <c r="E707" s="41" t="s">
        <v>75</v>
      </c>
      <c r="F707" s="41" t="s">
        <v>486</v>
      </c>
      <c r="G707" s="25">
        <v>336.8</v>
      </c>
      <c r="H707" s="22">
        <v>280.60000000000002</v>
      </c>
      <c r="I707" s="106">
        <v>9</v>
      </c>
      <c r="J707" s="22">
        <f>'Форма 2'!I2455</f>
        <v>1494110.82</v>
      </c>
      <c r="K707" s="22">
        <v>0</v>
      </c>
      <c r="L707" s="22">
        <v>0</v>
      </c>
      <c r="M707" s="22">
        <v>0</v>
      </c>
      <c r="N707" s="22">
        <f t="shared" si="95"/>
        <v>1494110.82</v>
      </c>
      <c r="O707" s="22">
        <v>0</v>
      </c>
      <c r="P707" s="22">
        <f t="shared" si="93"/>
        <v>5324.7</v>
      </c>
      <c r="Q707" s="22">
        <f>'Форма 2'!K2455</f>
        <v>7539</v>
      </c>
      <c r="R707" s="34" t="s">
        <v>164</v>
      </c>
      <c r="S707" s="172">
        <v>1</v>
      </c>
      <c r="T707" s="33"/>
    </row>
    <row r="708" spans="1:20" x14ac:dyDescent="0.35">
      <c r="A708" s="39">
        <f t="shared" si="94"/>
        <v>8</v>
      </c>
      <c r="B708" s="39">
        <v>5423</v>
      </c>
      <c r="C708" s="40" t="s">
        <v>628</v>
      </c>
      <c r="D708" s="42">
        <v>1974</v>
      </c>
      <c r="E708" s="42" t="s">
        <v>75</v>
      </c>
      <c r="F708" s="42" t="s">
        <v>155</v>
      </c>
      <c r="G708" s="25">
        <v>4287.87</v>
      </c>
      <c r="H708" s="22">
        <v>2954.3</v>
      </c>
      <c r="I708" s="106">
        <v>95</v>
      </c>
      <c r="J708" s="22">
        <f>'Форма 2'!I2458</f>
        <v>493368.1</v>
      </c>
      <c r="K708" s="22">
        <v>0</v>
      </c>
      <c r="L708" s="22">
        <v>0</v>
      </c>
      <c r="M708" s="22">
        <v>0</v>
      </c>
      <c r="N708" s="22">
        <f>J708-K708-L708-M708-O708</f>
        <v>493368.1</v>
      </c>
      <c r="O708" s="22">
        <v>0</v>
      </c>
      <c r="P708" s="22">
        <f>J708/H708</f>
        <v>167</v>
      </c>
      <c r="Q708" s="22">
        <f>'Форма 2'!K2458</f>
        <v>167</v>
      </c>
      <c r="R708" s="34" t="s">
        <v>164</v>
      </c>
      <c r="S708" s="172">
        <v>1</v>
      </c>
      <c r="T708" s="33"/>
    </row>
    <row r="709" spans="1:20" x14ac:dyDescent="0.35">
      <c r="A709" s="39">
        <f t="shared" si="94"/>
        <v>9</v>
      </c>
      <c r="B709" s="39">
        <v>5603</v>
      </c>
      <c r="C709" s="40" t="s">
        <v>629</v>
      </c>
      <c r="D709" s="42">
        <v>1954</v>
      </c>
      <c r="E709" s="42" t="s">
        <v>233</v>
      </c>
      <c r="F709" s="42" t="s">
        <v>158</v>
      </c>
      <c r="G709" s="25">
        <v>228.5</v>
      </c>
      <c r="H709" s="22">
        <v>219.1</v>
      </c>
      <c r="I709" s="103">
        <v>15</v>
      </c>
      <c r="J709" s="22">
        <f>'Форма 2'!I2460</f>
        <v>859572.55</v>
      </c>
      <c r="K709" s="22">
        <v>0</v>
      </c>
      <c r="L709" s="22">
        <v>0</v>
      </c>
      <c r="M709" s="22">
        <v>0</v>
      </c>
      <c r="N709" s="22">
        <f t="shared" si="95"/>
        <v>859572.55</v>
      </c>
      <c r="O709" s="22">
        <v>0</v>
      </c>
      <c r="P709" s="22">
        <f t="shared" si="93"/>
        <v>3923.2</v>
      </c>
      <c r="Q709" s="22">
        <f>'Форма 2'!K2460</f>
        <v>5813</v>
      </c>
      <c r="R709" s="34" t="s">
        <v>164</v>
      </c>
      <c r="S709" s="172">
        <v>1</v>
      </c>
      <c r="T709" s="33"/>
    </row>
    <row r="710" spans="1:20" x14ac:dyDescent="0.35">
      <c r="A710" s="39">
        <f t="shared" si="94"/>
        <v>10</v>
      </c>
      <c r="B710" s="39">
        <v>5611</v>
      </c>
      <c r="C710" s="40" t="s">
        <v>630</v>
      </c>
      <c r="D710" s="42">
        <v>1936</v>
      </c>
      <c r="E710" s="41" t="s">
        <v>233</v>
      </c>
      <c r="F710" s="41" t="s">
        <v>158</v>
      </c>
      <c r="G710" s="25">
        <v>497.2</v>
      </c>
      <c r="H710" s="22">
        <v>458.4</v>
      </c>
      <c r="I710" s="103">
        <v>27</v>
      </c>
      <c r="J710" s="22">
        <f>'Форма 2'!I2463</f>
        <v>1712632.04</v>
      </c>
      <c r="K710" s="22">
        <v>0</v>
      </c>
      <c r="L710" s="22">
        <v>0</v>
      </c>
      <c r="M710" s="22">
        <v>0</v>
      </c>
      <c r="N710" s="22">
        <f>J710-K710-L710-M710-O710</f>
        <v>1712632.04</v>
      </c>
      <c r="O710" s="22">
        <v>0</v>
      </c>
      <c r="P710" s="22">
        <f>J710/H710</f>
        <v>3736.11</v>
      </c>
      <c r="Q710" s="22">
        <f>'Форма 2'!K2463</f>
        <v>5813</v>
      </c>
      <c r="R710" s="34" t="s">
        <v>164</v>
      </c>
      <c r="S710" s="172">
        <v>1</v>
      </c>
      <c r="T710" s="33"/>
    </row>
    <row r="711" spans="1:20" x14ac:dyDescent="0.35">
      <c r="A711" s="39">
        <f t="shared" si="94"/>
        <v>11</v>
      </c>
      <c r="B711" s="39">
        <v>5440</v>
      </c>
      <c r="C711" s="40" t="s">
        <v>449</v>
      </c>
      <c r="D711" s="42">
        <v>1961</v>
      </c>
      <c r="E711" s="41" t="s">
        <v>75</v>
      </c>
      <c r="F711" s="41" t="s">
        <v>486</v>
      </c>
      <c r="G711" s="25">
        <v>342.3</v>
      </c>
      <c r="H711" s="22">
        <v>331.9</v>
      </c>
      <c r="I711" s="105">
        <v>24</v>
      </c>
      <c r="J711" s="22">
        <f>'Форма 2'!I2466</f>
        <v>1767267.93</v>
      </c>
      <c r="K711" s="22">
        <v>0</v>
      </c>
      <c r="L711" s="22">
        <v>0</v>
      </c>
      <c r="M711" s="22">
        <v>0</v>
      </c>
      <c r="N711" s="22">
        <f t="shared" si="95"/>
        <v>1767267.93</v>
      </c>
      <c r="O711" s="22">
        <v>0</v>
      </c>
      <c r="P711" s="22">
        <f t="shared" si="93"/>
        <v>5324.7</v>
      </c>
      <c r="Q711" s="22">
        <f>'Форма 2'!K2466</f>
        <v>7539</v>
      </c>
      <c r="R711" s="34" t="s">
        <v>164</v>
      </c>
      <c r="S711" s="172">
        <v>1</v>
      </c>
      <c r="T711" s="33"/>
    </row>
    <row r="712" spans="1:20" x14ac:dyDescent="0.35">
      <c r="A712" s="39">
        <f t="shared" si="94"/>
        <v>12</v>
      </c>
      <c r="B712" s="39">
        <v>5436</v>
      </c>
      <c r="C712" s="40" t="s">
        <v>450</v>
      </c>
      <c r="D712" s="42">
        <v>1962</v>
      </c>
      <c r="E712" s="42" t="s">
        <v>439</v>
      </c>
      <c r="F712" s="42" t="s">
        <v>486</v>
      </c>
      <c r="G712" s="25">
        <v>338.7</v>
      </c>
      <c r="H712" s="22">
        <v>320.5</v>
      </c>
      <c r="I712" s="105">
        <v>10</v>
      </c>
      <c r="J712" s="22">
        <f>'Форма 2'!I2469</f>
        <v>2148664.0499999998</v>
      </c>
      <c r="K712" s="22">
        <v>0</v>
      </c>
      <c r="L712" s="22">
        <v>0</v>
      </c>
      <c r="M712" s="22">
        <v>0</v>
      </c>
      <c r="N712" s="22">
        <f t="shared" si="95"/>
        <v>2148664.0499999998</v>
      </c>
      <c r="O712" s="22">
        <v>0</v>
      </c>
      <c r="P712" s="22">
        <f t="shared" si="93"/>
        <v>6704.1</v>
      </c>
      <c r="Q712" s="22">
        <f>'Форма 2'!K2469</f>
        <v>9492</v>
      </c>
      <c r="R712" s="34" t="s">
        <v>164</v>
      </c>
      <c r="S712" s="172">
        <v>1</v>
      </c>
      <c r="T712" s="33"/>
    </row>
    <row r="713" spans="1:20" x14ac:dyDescent="0.35">
      <c r="A713" s="39">
        <f t="shared" si="94"/>
        <v>13</v>
      </c>
      <c r="B713" s="62">
        <v>5452</v>
      </c>
      <c r="C713" s="59" t="s">
        <v>451</v>
      </c>
      <c r="D713" s="41">
        <v>1958</v>
      </c>
      <c r="E713" s="41" t="s">
        <v>439</v>
      </c>
      <c r="F713" s="41" t="s">
        <v>486</v>
      </c>
      <c r="G713" s="25">
        <v>380.8</v>
      </c>
      <c r="H713" s="22">
        <v>362</v>
      </c>
      <c r="I713" s="105">
        <v>12</v>
      </c>
      <c r="J713" s="22">
        <f>'Форма 2'!I2474</f>
        <v>2426884.2000000002</v>
      </c>
      <c r="K713" s="22">
        <v>0</v>
      </c>
      <c r="L713" s="22">
        <v>0</v>
      </c>
      <c r="M713" s="22">
        <v>0</v>
      </c>
      <c r="N713" s="22">
        <f t="shared" si="95"/>
        <v>2426884.2000000002</v>
      </c>
      <c r="O713" s="22">
        <v>0</v>
      </c>
      <c r="P713" s="22">
        <f t="shared" si="93"/>
        <v>6704.1</v>
      </c>
      <c r="Q713" s="22">
        <f>'Форма 2'!K2474</f>
        <v>9492</v>
      </c>
      <c r="R713" s="34" t="s">
        <v>164</v>
      </c>
      <c r="S713" s="172">
        <v>1</v>
      </c>
      <c r="T713" s="33"/>
    </row>
    <row r="714" spans="1:20" x14ac:dyDescent="0.35">
      <c r="A714" s="39">
        <f t="shared" si="94"/>
        <v>14</v>
      </c>
      <c r="B714" s="39">
        <v>5464</v>
      </c>
      <c r="C714" s="40" t="s">
        <v>631</v>
      </c>
      <c r="D714" s="42">
        <v>1958</v>
      </c>
      <c r="E714" s="41" t="s">
        <v>509</v>
      </c>
      <c r="F714" s="42" t="s">
        <v>155</v>
      </c>
      <c r="G714" s="25">
        <v>441.6</v>
      </c>
      <c r="H714" s="22">
        <v>381.8</v>
      </c>
      <c r="I714" s="105">
        <v>13</v>
      </c>
      <c r="J714" s="22">
        <f>'Форма 2'!I2479</f>
        <v>117594.4</v>
      </c>
      <c r="K714" s="22">
        <v>0</v>
      </c>
      <c r="L714" s="22">
        <v>0</v>
      </c>
      <c r="M714" s="22">
        <v>0</v>
      </c>
      <c r="N714" s="22">
        <f t="shared" si="95"/>
        <v>117594.4</v>
      </c>
      <c r="O714" s="22">
        <v>0</v>
      </c>
      <c r="P714" s="22">
        <f t="shared" si="93"/>
        <v>308</v>
      </c>
      <c r="Q714" s="22">
        <f>'Форма 2'!K2479</f>
        <v>308</v>
      </c>
      <c r="R714" s="34" t="s">
        <v>164</v>
      </c>
      <c r="S714" s="172">
        <v>1</v>
      </c>
      <c r="T714" s="33"/>
    </row>
    <row r="715" spans="1:20" x14ac:dyDescent="0.35">
      <c r="A715" s="39">
        <f t="shared" si="94"/>
        <v>15</v>
      </c>
      <c r="B715" s="62">
        <v>5475</v>
      </c>
      <c r="C715" s="59" t="s">
        <v>632</v>
      </c>
      <c r="D715" s="42">
        <v>1974</v>
      </c>
      <c r="E715" s="41" t="s">
        <v>75</v>
      </c>
      <c r="F715" s="41" t="s">
        <v>486</v>
      </c>
      <c r="G715" s="25">
        <v>2363.5</v>
      </c>
      <c r="H715" s="22">
        <v>1750.1</v>
      </c>
      <c r="I715" s="105">
        <v>56</v>
      </c>
      <c r="J715" s="22">
        <f>'Форма 2'!I2482</f>
        <v>4133386.18</v>
      </c>
      <c r="K715" s="22">
        <v>0</v>
      </c>
      <c r="L715" s="22">
        <v>0</v>
      </c>
      <c r="M715" s="22">
        <v>0</v>
      </c>
      <c r="N715" s="22">
        <f t="shared" si="95"/>
        <v>4133386.18</v>
      </c>
      <c r="O715" s="22">
        <v>0</v>
      </c>
      <c r="P715" s="22">
        <f t="shared" si="93"/>
        <v>2361.8000000000002</v>
      </c>
      <c r="Q715" s="22">
        <f>'Форма 2'!K2482</f>
        <v>3344</v>
      </c>
      <c r="R715" s="34" t="s">
        <v>164</v>
      </c>
      <c r="S715" s="172">
        <v>1</v>
      </c>
      <c r="T715" s="33"/>
    </row>
    <row r="716" spans="1:20" x14ac:dyDescent="0.35">
      <c r="A716" s="39">
        <f t="shared" si="94"/>
        <v>16</v>
      </c>
      <c r="B716" s="39">
        <v>5488</v>
      </c>
      <c r="C716" s="40" t="s">
        <v>633</v>
      </c>
      <c r="D716" s="42">
        <v>1993</v>
      </c>
      <c r="E716" s="41" t="s">
        <v>233</v>
      </c>
      <c r="F716" s="41" t="s">
        <v>155</v>
      </c>
      <c r="G716" s="25">
        <v>2250.1999999999998</v>
      </c>
      <c r="H716" s="22">
        <v>1543.3</v>
      </c>
      <c r="I716" s="105">
        <v>50</v>
      </c>
      <c r="J716" s="22">
        <f>'Форма 2'!I2485</f>
        <v>55558.8</v>
      </c>
      <c r="K716" s="22">
        <v>0</v>
      </c>
      <c r="L716" s="22">
        <v>0</v>
      </c>
      <c r="M716" s="22">
        <v>0</v>
      </c>
      <c r="N716" s="22">
        <f t="shared" si="95"/>
        <v>55558.8</v>
      </c>
      <c r="O716" s="22">
        <v>0</v>
      </c>
      <c r="P716" s="22">
        <f t="shared" si="93"/>
        <v>36</v>
      </c>
      <c r="Q716" s="22">
        <f>'Форма 2'!K2485</f>
        <v>36</v>
      </c>
      <c r="R716" s="34" t="s">
        <v>164</v>
      </c>
      <c r="S716" s="172">
        <v>1</v>
      </c>
      <c r="T716" s="33"/>
    </row>
    <row r="717" spans="1:20" x14ac:dyDescent="0.35">
      <c r="A717" s="39">
        <f t="shared" si="94"/>
        <v>17</v>
      </c>
      <c r="B717" s="39">
        <v>5547</v>
      </c>
      <c r="C717" s="40" t="s">
        <v>454</v>
      </c>
      <c r="D717" s="42">
        <v>1957</v>
      </c>
      <c r="E717" s="41" t="s">
        <v>75</v>
      </c>
      <c r="F717" s="41" t="s">
        <v>486</v>
      </c>
      <c r="G717" s="25">
        <v>437.4</v>
      </c>
      <c r="H717" s="22">
        <v>394.4</v>
      </c>
      <c r="I717" s="105">
        <v>11</v>
      </c>
      <c r="J717" s="22">
        <f>'Форма 2'!I2487</f>
        <v>2100061.6800000002</v>
      </c>
      <c r="K717" s="22">
        <v>0</v>
      </c>
      <c r="L717" s="22">
        <v>0</v>
      </c>
      <c r="M717" s="22">
        <v>0</v>
      </c>
      <c r="N717" s="22">
        <f>J717-K717-L717-M717-O717</f>
        <v>2100061.6800000002</v>
      </c>
      <c r="O717" s="22">
        <v>0</v>
      </c>
      <c r="P717" s="22">
        <f t="shared" si="93"/>
        <v>5324.7</v>
      </c>
      <c r="Q717" s="58">
        <f>'Форма 2'!K2487</f>
        <v>7539</v>
      </c>
      <c r="R717" s="34" t="s">
        <v>164</v>
      </c>
      <c r="S717" s="172">
        <v>1</v>
      </c>
      <c r="T717" s="33"/>
    </row>
    <row r="718" spans="1:20" x14ac:dyDescent="0.35">
      <c r="A718" s="39">
        <f t="shared" si="94"/>
        <v>18</v>
      </c>
      <c r="B718" s="39">
        <v>5696</v>
      </c>
      <c r="C718" s="40" t="s">
        <v>455</v>
      </c>
      <c r="D718" s="42">
        <v>1962</v>
      </c>
      <c r="E718" s="41" t="s">
        <v>75</v>
      </c>
      <c r="F718" s="41" t="s">
        <v>486</v>
      </c>
      <c r="G718" s="25">
        <v>390.8</v>
      </c>
      <c r="H718" s="22">
        <v>339.5</v>
      </c>
      <c r="I718" s="105">
        <v>12</v>
      </c>
      <c r="J718" s="22">
        <f>'Форма 2'!I2490</f>
        <v>1807735.65</v>
      </c>
      <c r="K718" s="22">
        <v>0</v>
      </c>
      <c r="L718" s="22">
        <v>0</v>
      </c>
      <c r="M718" s="22">
        <v>0</v>
      </c>
      <c r="N718" s="22">
        <f t="shared" si="95"/>
        <v>1807735.65</v>
      </c>
      <c r="O718" s="22">
        <v>0</v>
      </c>
      <c r="P718" s="22">
        <f t="shared" si="93"/>
        <v>5324.7</v>
      </c>
      <c r="Q718" s="58">
        <f>'Форма 2'!K2490</f>
        <v>7539</v>
      </c>
      <c r="R718" s="34" t="s">
        <v>164</v>
      </c>
      <c r="S718" s="172">
        <v>1</v>
      </c>
      <c r="T718" s="33"/>
    </row>
    <row r="719" spans="1:20" x14ac:dyDescent="0.35">
      <c r="A719" s="39">
        <f t="shared" si="94"/>
        <v>19</v>
      </c>
      <c r="B719" s="39">
        <v>5819</v>
      </c>
      <c r="C719" s="40" t="s">
        <v>634</v>
      </c>
      <c r="D719" s="42">
        <v>1958</v>
      </c>
      <c r="E719" s="41" t="s">
        <v>75</v>
      </c>
      <c r="F719" s="41" t="s">
        <v>155</v>
      </c>
      <c r="G719" s="25">
        <v>437.7</v>
      </c>
      <c r="H719" s="22">
        <v>398.3</v>
      </c>
      <c r="I719" s="101">
        <v>7</v>
      </c>
      <c r="J719" s="22">
        <f>'Форма 2'!I2493</f>
        <v>70499.100000000006</v>
      </c>
      <c r="K719" s="22">
        <v>0</v>
      </c>
      <c r="L719" s="22">
        <v>0</v>
      </c>
      <c r="M719" s="22">
        <v>0</v>
      </c>
      <c r="N719" s="22">
        <f t="shared" si="95"/>
        <v>70499.100000000006</v>
      </c>
      <c r="O719" s="22">
        <v>0</v>
      </c>
      <c r="P719" s="22">
        <f t="shared" si="93"/>
        <v>177</v>
      </c>
      <c r="Q719" s="22">
        <f>'Форма 2'!K2493</f>
        <v>177</v>
      </c>
      <c r="R719" s="34" t="s">
        <v>164</v>
      </c>
      <c r="S719" s="172">
        <v>1</v>
      </c>
      <c r="T719" s="33"/>
    </row>
    <row r="720" spans="1:20" x14ac:dyDescent="0.35">
      <c r="A720" s="39">
        <f t="shared" si="94"/>
        <v>20</v>
      </c>
      <c r="B720" s="39">
        <v>5820</v>
      </c>
      <c r="C720" s="40" t="s">
        <v>635</v>
      </c>
      <c r="D720" s="42">
        <v>1958</v>
      </c>
      <c r="E720" s="41" t="s">
        <v>75</v>
      </c>
      <c r="F720" s="41" t="s">
        <v>155</v>
      </c>
      <c r="G720" s="25">
        <v>440.5</v>
      </c>
      <c r="H720" s="22">
        <v>409.2</v>
      </c>
      <c r="I720" s="101">
        <v>19</v>
      </c>
      <c r="J720" s="22">
        <f>'Форма 2'!I2495</f>
        <v>72428.399999999994</v>
      </c>
      <c r="K720" s="22">
        <v>0</v>
      </c>
      <c r="L720" s="22">
        <v>0</v>
      </c>
      <c r="M720" s="22">
        <v>0</v>
      </c>
      <c r="N720" s="22">
        <f t="shared" si="95"/>
        <v>72428.399999999994</v>
      </c>
      <c r="O720" s="22">
        <v>0</v>
      </c>
      <c r="P720" s="22">
        <f t="shared" si="93"/>
        <v>177</v>
      </c>
      <c r="Q720" s="22">
        <f>'Форма 2'!K2495</f>
        <v>177</v>
      </c>
      <c r="R720" s="34" t="s">
        <v>164</v>
      </c>
      <c r="S720" s="172">
        <v>1</v>
      </c>
      <c r="T720" s="33"/>
    </row>
    <row r="721" spans="1:20" x14ac:dyDescent="0.35">
      <c r="A721" s="39">
        <f t="shared" si="94"/>
        <v>21</v>
      </c>
      <c r="B721" s="39">
        <v>5778</v>
      </c>
      <c r="C721" s="40" t="s">
        <v>636</v>
      </c>
      <c r="D721" s="42">
        <v>1982</v>
      </c>
      <c r="E721" s="41" t="s">
        <v>75</v>
      </c>
      <c r="F721" s="41" t="s">
        <v>155</v>
      </c>
      <c r="G721" s="25">
        <v>1446.5</v>
      </c>
      <c r="H721" s="22">
        <v>1280</v>
      </c>
      <c r="I721" s="105">
        <v>50</v>
      </c>
      <c r="J721" s="22">
        <f>'Форма 2'!I2497</f>
        <v>213760</v>
      </c>
      <c r="K721" s="22">
        <v>0</v>
      </c>
      <c r="L721" s="22">
        <v>0</v>
      </c>
      <c r="M721" s="22">
        <v>0</v>
      </c>
      <c r="N721" s="22">
        <f t="shared" si="95"/>
        <v>213760</v>
      </c>
      <c r="O721" s="22">
        <v>0</v>
      </c>
      <c r="P721" s="22">
        <f t="shared" si="93"/>
        <v>167</v>
      </c>
      <c r="Q721" s="22">
        <f>'Форма 2'!K2497</f>
        <v>167</v>
      </c>
      <c r="R721" s="34" t="s">
        <v>164</v>
      </c>
      <c r="S721" s="172">
        <v>1</v>
      </c>
      <c r="T721" s="33"/>
    </row>
    <row r="722" spans="1:20" x14ac:dyDescent="0.35">
      <c r="A722" s="39">
        <f t="shared" si="94"/>
        <v>22</v>
      </c>
      <c r="B722" s="39">
        <v>5796</v>
      </c>
      <c r="C722" s="40" t="s">
        <v>458</v>
      </c>
      <c r="D722" s="42">
        <v>1963</v>
      </c>
      <c r="E722" s="41" t="s">
        <v>75</v>
      </c>
      <c r="F722" s="41" t="s">
        <v>486</v>
      </c>
      <c r="G722" s="25">
        <v>397</v>
      </c>
      <c r="H722" s="22">
        <v>354.2</v>
      </c>
      <c r="I722" s="101">
        <v>11</v>
      </c>
      <c r="J722" s="22">
        <f>'Форма 2'!I2499</f>
        <v>1886008.74</v>
      </c>
      <c r="K722" s="22">
        <v>0</v>
      </c>
      <c r="L722" s="22">
        <v>0</v>
      </c>
      <c r="M722" s="22">
        <v>0</v>
      </c>
      <c r="N722" s="22">
        <f t="shared" si="95"/>
        <v>1886008.74</v>
      </c>
      <c r="O722" s="22">
        <v>0</v>
      </c>
      <c r="P722" s="22">
        <f t="shared" si="93"/>
        <v>5324.7</v>
      </c>
      <c r="Q722" s="58">
        <f>'Форма 2'!K2499</f>
        <v>7539</v>
      </c>
      <c r="R722" s="34" t="s">
        <v>164</v>
      </c>
      <c r="S722" s="172">
        <v>1</v>
      </c>
      <c r="T722" s="33"/>
    </row>
    <row r="723" spans="1:20" x14ac:dyDescent="0.35">
      <c r="A723" s="39">
        <f t="shared" si="94"/>
        <v>23</v>
      </c>
      <c r="B723" s="39">
        <v>5800</v>
      </c>
      <c r="C723" s="40" t="s">
        <v>460</v>
      </c>
      <c r="D723" s="42">
        <v>1963</v>
      </c>
      <c r="E723" s="41" t="s">
        <v>75</v>
      </c>
      <c r="F723" s="41" t="s">
        <v>486</v>
      </c>
      <c r="G723" s="25">
        <v>397</v>
      </c>
      <c r="H723" s="22">
        <v>347.9</v>
      </c>
      <c r="I723" s="101">
        <v>11</v>
      </c>
      <c r="J723" s="22">
        <f>'Форма 2'!I2502</f>
        <v>1852463.13</v>
      </c>
      <c r="K723" s="22">
        <v>0</v>
      </c>
      <c r="L723" s="22">
        <v>0</v>
      </c>
      <c r="M723" s="22">
        <v>0</v>
      </c>
      <c r="N723" s="22">
        <f t="shared" si="95"/>
        <v>1852463.13</v>
      </c>
      <c r="O723" s="22">
        <v>0</v>
      </c>
      <c r="P723" s="22">
        <f t="shared" si="93"/>
        <v>5324.7</v>
      </c>
      <c r="Q723" s="58">
        <f>'Форма 2'!K2502</f>
        <v>7539</v>
      </c>
      <c r="R723" s="34" t="s">
        <v>164</v>
      </c>
      <c r="S723" s="172">
        <v>1</v>
      </c>
      <c r="T723" s="33"/>
    </row>
    <row r="724" spans="1:20" x14ac:dyDescent="0.35">
      <c r="A724" s="246" t="s">
        <v>41</v>
      </c>
      <c r="B724" s="246"/>
      <c r="C724" s="246"/>
      <c r="D724" s="23" t="s">
        <v>13</v>
      </c>
      <c r="E724" s="22" t="s">
        <v>13</v>
      </c>
      <c r="F724" s="22" t="s">
        <v>13</v>
      </c>
      <c r="G724" s="22">
        <f>G725</f>
        <v>531.4</v>
      </c>
      <c r="H724" s="22">
        <f t="shared" ref="H724:O724" si="96">H725</f>
        <v>482.1</v>
      </c>
      <c r="I724" s="26">
        <f t="shared" si="96"/>
        <v>20</v>
      </c>
      <c r="J724" s="22">
        <f t="shared" si="96"/>
        <v>3634551.9</v>
      </c>
      <c r="K724" s="22">
        <f t="shared" si="96"/>
        <v>0</v>
      </c>
      <c r="L724" s="22">
        <f t="shared" si="96"/>
        <v>0</v>
      </c>
      <c r="M724" s="22">
        <f t="shared" si="96"/>
        <v>0</v>
      </c>
      <c r="N724" s="22">
        <f t="shared" si="96"/>
        <v>3634551.9</v>
      </c>
      <c r="O724" s="22">
        <f t="shared" si="96"/>
        <v>0</v>
      </c>
      <c r="P724" s="22" t="s">
        <v>13</v>
      </c>
      <c r="Q724" s="22" t="s">
        <v>13</v>
      </c>
      <c r="R724" s="22" t="s">
        <v>13</v>
      </c>
      <c r="S724" s="26" t="s">
        <v>13</v>
      </c>
      <c r="T724" s="33"/>
    </row>
    <row r="725" spans="1:20" x14ac:dyDescent="0.35">
      <c r="A725" s="141">
        <v>1</v>
      </c>
      <c r="B725" s="141">
        <v>4886</v>
      </c>
      <c r="C725" s="52" t="s">
        <v>461</v>
      </c>
      <c r="D725" s="141">
        <v>1980</v>
      </c>
      <c r="E725" s="141" t="s">
        <v>75</v>
      </c>
      <c r="F725" s="141" t="s">
        <v>158</v>
      </c>
      <c r="G725" s="25">
        <v>531.4</v>
      </c>
      <c r="H725" s="25">
        <v>482.1</v>
      </c>
      <c r="I725" s="101">
        <v>20</v>
      </c>
      <c r="J725" s="25">
        <f>'Форма 2'!I2506</f>
        <v>3634551.9</v>
      </c>
      <c r="K725" s="25">
        <f>K726</f>
        <v>0</v>
      </c>
      <c r="L725" s="25">
        <f>L726</f>
        <v>0</v>
      </c>
      <c r="M725" s="25">
        <f>M726</f>
        <v>0</v>
      </c>
      <c r="N725" s="25">
        <f>J725-O725</f>
        <v>3634551.9</v>
      </c>
      <c r="O725" s="25">
        <v>0</v>
      </c>
      <c r="P725" s="25">
        <f>J725/H725</f>
        <v>7539</v>
      </c>
      <c r="Q725" s="25">
        <f>'Форма 2'!K2506</f>
        <v>7539</v>
      </c>
      <c r="R725" s="65" t="s">
        <v>164</v>
      </c>
      <c r="S725" s="172">
        <v>1</v>
      </c>
      <c r="T725" s="33"/>
    </row>
    <row r="726" spans="1:20" x14ac:dyDescent="0.35">
      <c r="A726" s="246" t="s">
        <v>53</v>
      </c>
      <c r="B726" s="246"/>
      <c r="C726" s="246"/>
      <c r="D726" s="23" t="s">
        <v>13</v>
      </c>
      <c r="E726" s="22" t="s">
        <v>13</v>
      </c>
      <c r="F726" s="22" t="s">
        <v>13</v>
      </c>
      <c r="G726" s="22">
        <f>SUM(G727:G729)</f>
        <v>1323</v>
      </c>
      <c r="H726" s="22">
        <f t="shared" ref="H726:O726" si="97">SUM(H727:H729)</f>
        <v>1199.4000000000001</v>
      </c>
      <c r="I726" s="26">
        <f t="shared" si="97"/>
        <v>44</v>
      </c>
      <c r="J726" s="22">
        <f t="shared" si="97"/>
        <v>3157093.8</v>
      </c>
      <c r="K726" s="22">
        <f t="shared" si="97"/>
        <v>0</v>
      </c>
      <c r="L726" s="22">
        <f t="shared" si="97"/>
        <v>0</v>
      </c>
      <c r="M726" s="22">
        <f t="shared" si="97"/>
        <v>0</v>
      </c>
      <c r="N726" s="22">
        <f t="shared" si="97"/>
        <v>3157093.8</v>
      </c>
      <c r="O726" s="22">
        <f t="shared" si="97"/>
        <v>0</v>
      </c>
      <c r="P726" s="22" t="s">
        <v>13</v>
      </c>
      <c r="Q726" s="22" t="s">
        <v>13</v>
      </c>
      <c r="R726" s="22" t="s">
        <v>13</v>
      </c>
      <c r="S726" s="26" t="s">
        <v>13</v>
      </c>
      <c r="T726" s="33"/>
    </row>
    <row r="727" spans="1:20" x14ac:dyDescent="0.35">
      <c r="A727" s="141">
        <v>1</v>
      </c>
      <c r="B727" s="66">
        <v>6812</v>
      </c>
      <c r="C727" s="148" t="s">
        <v>637</v>
      </c>
      <c r="D727" s="141">
        <v>1955</v>
      </c>
      <c r="E727" s="141" t="s">
        <v>75</v>
      </c>
      <c r="F727" s="141" t="s">
        <v>155</v>
      </c>
      <c r="G727" s="53">
        <v>441</v>
      </c>
      <c r="H727" s="22">
        <v>400</v>
      </c>
      <c r="I727" s="150">
        <v>15</v>
      </c>
      <c r="J727" s="27">
        <f>'Форма 2'!I2510</f>
        <v>70800</v>
      </c>
      <c r="K727" s="19">
        <f>K728</f>
        <v>0</v>
      </c>
      <c r="L727" s="19">
        <f>L728</f>
        <v>0</v>
      </c>
      <c r="M727" s="19">
        <f>M728</f>
        <v>0</v>
      </c>
      <c r="N727" s="19">
        <f>J727-L727-M727-O727</f>
        <v>70800</v>
      </c>
      <c r="O727" s="19">
        <v>0</v>
      </c>
      <c r="P727" s="27">
        <f>J727/H727</f>
        <v>177</v>
      </c>
      <c r="Q727" s="27">
        <f>'Форма 2'!K2510</f>
        <v>177</v>
      </c>
      <c r="R727" s="34" t="s">
        <v>164</v>
      </c>
      <c r="S727" s="172">
        <v>1</v>
      </c>
      <c r="T727" s="33"/>
    </row>
    <row r="728" spans="1:20" x14ac:dyDescent="0.35">
      <c r="A728" s="141">
        <f>A727+1</f>
        <v>2</v>
      </c>
      <c r="B728" s="66">
        <v>6813</v>
      </c>
      <c r="C728" s="148" t="s">
        <v>463</v>
      </c>
      <c r="D728" s="141">
        <v>1955</v>
      </c>
      <c r="E728" s="141" t="s">
        <v>75</v>
      </c>
      <c r="F728" s="141" t="s">
        <v>158</v>
      </c>
      <c r="G728" s="53">
        <v>441</v>
      </c>
      <c r="H728" s="22">
        <v>400</v>
      </c>
      <c r="I728" s="150">
        <v>14</v>
      </c>
      <c r="J728" s="27">
        <f>'Форма 2'!I2512</f>
        <v>3015600</v>
      </c>
      <c r="K728" s="19">
        <f>K732</f>
        <v>0</v>
      </c>
      <c r="L728" s="19">
        <f>L732</f>
        <v>0</v>
      </c>
      <c r="M728" s="19">
        <f>M732</f>
        <v>0</v>
      </c>
      <c r="N728" s="19">
        <f>J728-L728-M728-O728</f>
        <v>3015600</v>
      </c>
      <c r="O728" s="19">
        <f>O732</f>
        <v>0</v>
      </c>
      <c r="P728" s="27">
        <f>J728/H728</f>
        <v>7539</v>
      </c>
      <c r="Q728" s="27">
        <f>'Форма 2'!K2512</f>
        <v>7539</v>
      </c>
      <c r="R728" s="34" t="s">
        <v>164</v>
      </c>
      <c r="S728" s="172">
        <v>1</v>
      </c>
      <c r="T728" s="33"/>
    </row>
    <row r="729" spans="1:20" x14ac:dyDescent="0.35">
      <c r="A729" s="141">
        <f>A728+1</f>
        <v>3</v>
      </c>
      <c r="B729" s="66">
        <v>6815</v>
      </c>
      <c r="C729" s="148" t="s">
        <v>638</v>
      </c>
      <c r="D729" s="141">
        <v>1955</v>
      </c>
      <c r="E729" s="141" t="s">
        <v>75</v>
      </c>
      <c r="F729" s="141" t="s">
        <v>155</v>
      </c>
      <c r="G729" s="53">
        <v>441</v>
      </c>
      <c r="H729" s="22">
        <v>399.4</v>
      </c>
      <c r="I729" s="150">
        <v>15</v>
      </c>
      <c r="J729" s="27">
        <f>'Форма 2'!I2515</f>
        <v>70693.8</v>
      </c>
      <c r="K729" s="19">
        <f>K736</f>
        <v>0</v>
      </c>
      <c r="L729" s="19">
        <f>L736</f>
        <v>0</v>
      </c>
      <c r="M729" s="19">
        <f>M736</f>
        <v>0</v>
      </c>
      <c r="N729" s="19">
        <f>J729-L729-M729-O729</f>
        <v>70693.8</v>
      </c>
      <c r="O729" s="19">
        <f>O736</f>
        <v>0</v>
      </c>
      <c r="P729" s="27">
        <f>J729/H729</f>
        <v>177</v>
      </c>
      <c r="Q729" s="27">
        <f>'Форма 2'!K2515</f>
        <v>177</v>
      </c>
      <c r="R729" s="34" t="s">
        <v>164</v>
      </c>
      <c r="S729" s="172">
        <v>1</v>
      </c>
      <c r="T729" s="33"/>
    </row>
    <row r="730" spans="1:20" x14ac:dyDescent="0.35">
      <c r="A730" s="246" t="s">
        <v>43</v>
      </c>
      <c r="B730" s="246"/>
      <c r="C730" s="246"/>
      <c r="D730" s="23" t="s">
        <v>13</v>
      </c>
      <c r="E730" s="22" t="s">
        <v>13</v>
      </c>
      <c r="F730" s="22" t="s">
        <v>13</v>
      </c>
      <c r="G730" s="25">
        <f>G731+G732</f>
        <v>1069.0999999999999</v>
      </c>
      <c r="H730" s="25">
        <f t="shared" ref="H730:O730" si="98">H731+H732</f>
        <v>788.4</v>
      </c>
      <c r="I730" s="101">
        <f t="shared" si="98"/>
        <v>36</v>
      </c>
      <c r="J730" s="25">
        <f t="shared" si="98"/>
        <v>2778834.2</v>
      </c>
      <c r="K730" s="25">
        <f t="shared" si="98"/>
        <v>0</v>
      </c>
      <c r="L730" s="25">
        <f t="shared" si="98"/>
        <v>0</v>
      </c>
      <c r="M730" s="25">
        <f t="shared" si="98"/>
        <v>0</v>
      </c>
      <c r="N730" s="25">
        <f t="shared" si="98"/>
        <v>2778834.2</v>
      </c>
      <c r="O730" s="25">
        <f t="shared" si="98"/>
        <v>0</v>
      </c>
      <c r="P730" s="22" t="s">
        <v>13</v>
      </c>
      <c r="Q730" s="22" t="s">
        <v>13</v>
      </c>
      <c r="R730" s="22" t="s">
        <v>13</v>
      </c>
      <c r="S730" s="26" t="s">
        <v>13</v>
      </c>
      <c r="T730" s="33"/>
    </row>
    <row r="731" spans="1:20" x14ac:dyDescent="0.35">
      <c r="A731" s="39">
        <v>1</v>
      </c>
      <c r="B731" s="79">
        <v>4967</v>
      </c>
      <c r="C731" s="40" t="s">
        <v>465</v>
      </c>
      <c r="D731" s="42">
        <v>1968</v>
      </c>
      <c r="E731" s="42" t="s">
        <v>75</v>
      </c>
      <c r="F731" s="42" t="s">
        <v>158</v>
      </c>
      <c r="G731" s="25">
        <v>383.6</v>
      </c>
      <c r="H731" s="25">
        <v>351.8</v>
      </c>
      <c r="I731" s="101">
        <v>26</v>
      </c>
      <c r="J731" s="22">
        <f>'Форма 2'!I2518</f>
        <v>2652220.2000000002</v>
      </c>
      <c r="K731" s="22">
        <v>0</v>
      </c>
      <c r="L731" s="22">
        <v>0</v>
      </c>
      <c r="M731" s="22">
        <v>0</v>
      </c>
      <c r="N731" s="25">
        <f>J731-K731-L731-M731-O731</f>
        <v>2652220.2000000002</v>
      </c>
      <c r="O731" s="22">
        <v>0</v>
      </c>
      <c r="P731" s="22">
        <f>J731/H731</f>
        <v>7539</v>
      </c>
      <c r="Q731" s="22">
        <f>'Форма 2'!K2518</f>
        <v>7539</v>
      </c>
      <c r="R731" s="34" t="s">
        <v>164</v>
      </c>
      <c r="S731" s="172">
        <v>1</v>
      </c>
      <c r="T731" s="33"/>
    </row>
    <row r="732" spans="1:20" x14ac:dyDescent="0.35">
      <c r="A732" s="146">
        <f>A731+1</f>
        <v>2</v>
      </c>
      <c r="B732" s="79">
        <v>4971</v>
      </c>
      <c r="C732" s="140" t="s">
        <v>639</v>
      </c>
      <c r="D732" s="42">
        <v>1967</v>
      </c>
      <c r="E732" s="42" t="s">
        <v>439</v>
      </c>
      <c r="F732" s="42" t="s">
        <v>155</v>
      </c>
      <c r="G732" s="25">
        <v>685.5</v>
      </c>
      <c r="H732" s="25">
        <v>436.6</v>
      </c>
      <c r="I732" s="101">
        <v>10</v>
      </c>
      <c r="J732" s="22">
        <f>'Форма 2'!I2521</f>
        <v>126614</v>
      </c>
      <c r="K732" s="25">
        <v>0</v>
      </c>
      <c r="L732" s="25">
        <v>0</v>
      </c>
      <c r="M732" s="25">
        <v>0</v>
      </c>
      <c r="N732" s="25">
        <f>J732-K732-L732-M732-O732</f>
        <v>126614</v>
      </c>
      <c r="O732" s="25">
        <v>0</v>
      </c>
      <c r="P732" s="22">
        <f>J732/H732</f>
        <v>290</v>
      </c>
      <c r="Q732" s="22">
        <f>'Форма 2'!K2521</f>
        <v>290</v>
      </c>
      <c r="R732" s="177" t="s">
        <v>164</v>
      </c>
      <c r="S732" s="172">
        <v>1</v>
      </c>
      <c r="T732" s="33"/>
    </row>
    <row r="733" spans="1:20" x14ac:dyDescent="0.35">
      <c r="A733" s="246" t="s">
        <v>54</v>
      </c>
      <c r="B733" s="246"/>
      <c r="C733" s="246"/>
      <c r="D733" s="23" t="s">
        <v>13</v>
      </c>
      <c r="E733" s="22" t="s">
        <v>13</v>
      </c>
      <c r="F733" s="22" t="s">
        <v>13</v>
      </c>
      <c r="G733" s="22">
        <f>SUM(G734:G748)</f>
        <v>37343.589999999997</v>
      </c>
      <c r="H733" s="22">
        <f t="shared" ref="H733:O733" si="99">SUM(H734:H748)</f>
        <v>29656.06</v>
      </c>
      <c r="I733" s="26">
        <f t="shared" si="99"/>
        <v>1471</v>
      </c>
      <c r="J733" s="22">
        <f t="shared" si="99"/>
        <v>41522541.119999997</v>
      </c>
      <c r="K733" s="22">
        <f t="shared" si="99"/>
        <v>0</v>
      </c>
      <c r="L733" s="22">
        <f t="shared" si="99"/>
        <v>0</v>
      </c>
      <c r="M733" s="22">
        <f t="shared" si="99"/>
        <v>0</v>
      </c>
      <c r="N733" s="22">
        <f t="shared" si="99"/>
        <v>41522541.119999997</v>
      </c>
      <c r="O733" s="22">
        <f t="shared" si="99"/>
        <v>0</v>
      </c>
      <c r="P733" s="22" t="s">
        <v>13</v>
      </c>
      <c r="Q733" s="22" t="s">
        <v>13</v>
      </c>
      <c r="R733" s="22" t="s">
        <v>13</v>
      </c>
      <c r="S733" s="26" t="s">
        <v>13</v>
      </c>
      <c r="T733" s="33"/>
    </row>
    <row r="734" spans="1:20" x14ac:dyDescent="0.35">
      <c r="A734" s="39">
        <v>1</v>
      </c>
      <c r="B734" s="137">
        <v>6890</v>
      </c>
      <c r="C734" s="10" t="s">
        <v>800</v>
      </c>
      <c r="D734" s="42">
        <v>1985</v>
      </c>
      <c r="E734" s="42" t="s">
        <v>439</v>
      </c>
      <c r="F734" s="42" t="s">
        <v>155</v>
      </c>
      <c r="G734" s="25">
        <v>2952.38</v>
      </c>
      <c r="H734" s="22">
        <v>2688.38</v>
      </c>
      <c r="I734" s="101">
        <v>96</v>
      </c>
      <c r="J734" s="22">
        <f>'Форма 2'!I2525</f>
        <v>572624.93999999994</v>
      </c>
      <c r="K734" s="48">
        <v>0</v>
      </c>
      <c r="L734" s="22">
        <v>0</v>
      </c>
      <c r="M734" s="22">
        <v>0</v>
      </c>
      <c r="N734" s="22">
        <f>J734-K734-L734-M734-O734</f>
        <v>572624.93999999994</v>
      </c>
      <c r="O734" s="22">
        <f>0</f>
        <v>0</v>
      </c>
      <c r="P734" s="22">
        <f t="shared" ref="P734:P748" si="100">J734/H734</f>
        <v>213</v>
      </c>
      <c r="Q734" s="22">
        <f>'Форма 2'!K2525</f>
        <v>213</v>
      </c>
      <c r="R734" s="177" t="s">
        <v>164</v>
      </c>
      <c r="S734" s="172">
        <v>1</v>
      </c>
      <c r="T734" s="33"/>
    </row>
    <row r="735" spans="1:20" x14ac:dyDescent="0.35">
      <c r="A735" s="39">
        <f t="shared" ref="A735:A744" si="101">A734+1</f>
        <v>2</v>
      </c>
      <c r="B735" s="138">
        <v>6870</v>
      </c>
      <c r="C735" s="117" t="s">
        <v>640</v>
      </c>
      <c r="D735" s="42">
        <v>1983</v>
      </c>
      <c r="E735" s="132" t="s">
        <v>75</v>
      </c>
      <c r="F735" s="42" t="s">
        <v>155</v>
      </c>
      <c r="G735" s="25">
        <v>2678.9</v>
      </c>
      <c r="H735" s="22">
        <v>2436</v>
      </c>
      <c r="I735" s="101">
        <v>139</v>
      </c>
      <c r="J735" s="22">
        <f>'Форма 2'!I2528</f>
        <v>399504</v>
      </c>
      <c r="K735" s="48">
        <v>0</v>
      </c>
      <c r="L735" s="48">
        <v>0</v>
      </c>
      <c r="M735" s="48">
        <v>0</v>
      </c>
      <c r="N735" s="48">
        <f>J735-K735-L735-M735-O735</f>
        <v>399504</v>
      </c>
      <c r="O735" s="22">
        <f>0</f>
        <v>0</v>
      </c>
      <c r="P735" s="22">
        <f t="shared" si="100"/>
        <v>164</v>
      </c>
      <c r="Q735" s="22">
        <f>'Форма 2'!K2528</f>
        <v>164</v>
      </c>
      <c r="R735" s="177" t="s">
        <v>164</v>
      </c>
      <c r="S735" s="172">
        <v>1</v>
      </c>
      <c r="T735" s="33"/>
    </row>
    <row r="736" spans="1:20" x14ac:dyDescent="0.35">
      <c r="A736" s="39">
        <f t="shared" si="101"/>
        <v>3</v>
      </c>
      <c r="B736" s="39">
        <v>7002</v>
      </c>
      <c r="C736" s="117" t="s">
        <v>471</v>
      </c>
      <c r="D736" s="42">
        <v>1974</v>
      </c>
      <c r="E736" s="132" t="s">
        <v>75</v>
      </c>
      <c r="F736" s="42" t="s">
        <v>486</v>
      </c>
      <c r="G736" s="25">
        <v>3571.3</v>
      </c>
      <c r="H736" s="22">
        <v>2657.4</v>
      </c>
      <c r="I736" s="101">
        <v>151</v>
      </c>
      <c r="J736" s="22">
        <f>'Форма 2'!I2530</f>
        <v>5313205.5599999996</v>
      </c>
      <c r="K736" s="48">
        <v>0</v>
      </c>
      <c r="L736" s="48">
        <v>0</v>
      </c>
      <c r="M736" s="48">
        <v>0</v>
      </c>
      <c r="N736" s="48">
        <f t="shared" ref="N736:N748" si="102">J736-K736-L736-M736-O736</f>
        <v>5313205.5599999996</v>
      </c>
      <c r="O736" s="22">
        <f>0</f>
        <v>0</v>
      </c>
      <c r="P736" s="22">
        <f t="shared" si="100"/>
        <v>1999.4</v>
      </c>
      <c r="Q736" s="22">
        <f>'Форма 2'!K2530</f>
        <v>2831</v>
      </c>
      <c r="R736" s="22" t="s">
        <v>164</v>
      </c>
      <c r="S736" s="172">
        <v>1</v>
      </c>
      <c r="T736" s="33"/>
    </row>
    <row r="737" spans="1:20" x14ac:dyDescent="0.35">
      <c r="A737" s="39">
        <f t="shared" si="101"/>
        <v>4</v>
      </c>
      <c r="B737" s="39">
        <v>7003</v>
      </c>
      <c r="C737" s="40" t="s">
        <v>472</v>
      </c>
      <c r="D737" s="42">
        <v>1976</v>
      </c>
      <c r="E737" s="132" t="s">
        <v>75</v>
      </c>
      <c r="F737" s="42" t="s">
        <v>486</v>
      </c>
      <c r="G737" s="25">
        <v>3571.3</v>
      </c>
      <c r="H737" s="22">
        <v>2665.8</v>
      </c>
      <c r="I737" s="101">
        <v>115</v>
      </c>
      <c r="J737" s="22">
        <f>'Форма 2'!I2533</f>
        <v>5330000.5199999996</v>
      </c>
      <c r="K737" s="22">
        <v>0</v>
      </c>
      <c r="L737" s="22">
        <v>0</v>
      </c>
      <c r="M737" s="22">
        <v>0</v>
      </c>
      <c r="N737" s="22">
        <f t="shared" si="102"/>
        <v>5330000.5199999996</v>
      </c>
      <c r="O737" s="22">
        <f>0</f>
        <v>0</v>
      </c>
      <c r="P737" s="22">
        <f t="shared" si="100"/>
        <v>1999.4</v>
      </c>
      <c r="Q737" s="22">
        <f>'Форма 2'!K2533</f>
        <v>2831</v>
      </c>
      <c r="R737" s="22" t="s">
        <v>164</v>
      </c>
      <c r="S737" s="172">
        <v>1</v>
      </c>
      <c r="T737" s="33"/>
    </row>
    <row r="738" spans="1:20" x14ac:dyDescent="0.35">
      <c r="A738" s="39">
        <f t="shared" si="101"/>
        <v>5</v>
      </c>
      <c r="B738" s="39">
        <v>6933</v>
      </c>
      <c r="C738" s="10" t="s">
        <v>641</v>
      </c>
      <c r="D738" s="42">
        <v>1970</v>
      </c>
      <c r="E738" s="132" t="s">
        <v>75</v>
      </c>
      <c r="F738" s="42" t="s">
        <v>155</v>
      </c>
      <c r="G738" s="25">
        <v>4579.8999999999996</v>
      </c>
      <c r="H738" s="22">
        <v>3583.3</v>
      </c>
      <c r="I738" s="101">
        <v>203</v>
      </c>
      <c r="J738" s="22">
        <f>'Форма 2'!I2536</f>
        <v>587661.19999999995</v>
      </c>
      <c r="K738" s="22">
        <v>0</v>
      </c>
      <c r="L738" s="22">
        <v>0</v>
      </c>
      <c r="M738" s="22">
        <v>0</v>
      </c>
      <c r="N738" s="22">
        <f>J738-K738-L738-M738-O738</f>
        <v>587661.19999999995</v>
      </c>
      <c r="O738" s="22">
        <f>0</f>
        <v>0</v>
      </c>
      <c r="P738" s="22">
        <f t="shared" si="100"/>
        <v>164</v>
      </c>
      <c r="Q738" s="22">
        <f>'Форма 2'!K2536</f>
        <v>164</v>
      </c>
      <c r="R738" s="22" t="s">
        <v>164</v>
      </c>
      <c r="S738" s="172">
        <v>1</v>
      </c>
      <c r="T738" s="33"/>
    </row>
    <row r="739" spans="1:20" x14ac:dyDescent="0.35">
      <c r="A739" s="39">
        <f t="shared" si="101"/>
        <v>6</v>
      </c>
      <c r="B739" s="39">
        <v>6933</v>
      </c>
      <c r="C739" s="10" t="s">
        <v>473</v>
      </c>
      <c r="D739" s="42">
        <v>1974</v>
      </c>
      <c r="E739" s="111" t="s">
        <v>75</v>
      </c>
      <c r="F739" s="42" t="s">
        <v>486</v>
      </c>
      <c r="G739" s="25">
        <v>4629</v>
      </c>
      <c r="H739" s="22">
        <v>3603</v>
      </c>
      <c r="I739" s="101">
        <v>203</v>
      </c>
      <c r="J739" s="22">
        <f>'Форма 2'!I2538</f>
        <v>7203838.2000000002</v>
      </c>
      <c r="K739" s="22">
        <v>0</v>
      </c>
      <c r="L739" s="22">
        <v>0</v>
      </c>
      <c r="M739" s="22">
        <v>0</v>
      </c>
      <c r="N739" s="22">
        <f t="shared" si="102"/>
        <v>7203838.2000000002</v>
      </c>
      <c r="O739" s="22">
        <f>0</f>
        <v>0</v>
      </c>
      <c r="P739" s="22">
        <f t="shared" si="100"/>
        <v>1999.4</v>
      </c>
      <c r="Q739" s="22">
        <f>'Форма 2'!K2538</f>
        <v>2831</v>
      </c>
      <c r="R739" s="22" t="s">
        <v>164</v>
      </c>
      <c r="S739" s="172">
        <v>1</v>
      </c>
      <c r="T739" s="33"/>
    </row>
    <row r="740" spans="1:20" x14ac:dyDescent="0.35">
      <c r="A740" s="39">
        <f t="shared" si="101"/>
        <v>7</v>
      </c>
      <c r="B740" s="114">
        <v>6934</v>
      </c>
      <c r="C740" s="10" t="s">
        <v>642</v>
      </c>
      <c r="D740" s="42">
        <v>1979</v>
      </c>
      <c r="E740" s="132" t="s">
        <v>75</v>
      </c>
      <c r="F740" s="42" t="s">
        <v>155</v>
      </c>
      <c r="G740" s="25">
        <v>994.47</v>
      </c>
      <c r="H740" s="22">
        <v>909.83</v>
      </c>
      <c r="I740" s="101">
        <v>36</v>
      </c>
      <c r="J740" s="22">
        <f>'Форма 2'!I2541</f>
        <v>149212.12</v>
      </c>
      <c r="K740" s="48">
        <v>0</v>
      </c>
      <c r="L740" s="22">
        <v>0</v>
      </c>
      <c r="M740" s="22">
        <v>0</v>
      </c>
      <c r="N740" s="22">
        <f t="shared" si="102"/>
        <v>149212.12</v>
      </c>
      <c r="O740" s="22">
        <f>0</f>
        <v>0</v>
      </c>
      <c r="P740" s="22">
        <f t="shared" si="100"/>
        <v>164</v>
      </c>
      <c r="Q740" s="22">
        <f>'Форма 2'!K2541</f>
        <v>164</v>
      </c>
      <c r="R740" s="177" t="s">
        <v>164</v>
      </c>
      <c r="S740" s="172">
        <v>1</v>
      </c>
      <c r="T740" s="33"/>
    </row>
    <row r="741" spans="1:20" x14ac:dyDescent="0.35">
      <c r="A741" s="39">
        <f t="shared" si="101"/>
        <v>8</v>
      </c>
      <c r="B741" s="114">
        <v>6939</v>
      </c>
      <c r="C741" s="10" t="s">
        <v>643</v>
      </c>
      <c r="D741" s="42">
        <v>1969</v>
      </c>
      <c r="E741" s="132" t="s">
        <v>75</v>
      </c>
      <c r="F741" s="42" t="s">
        <v>155</v>
      </c>
      <c r="G741" s="25">
        <v>790.8</v>
      </c>
      <c r="H741" s="22">
        <v>721</v>
      </c>
      <c r="I741" s="101">
        <v>29</v>
      </c>
      <c r="J741" s="22">
        <f>'Форма 2'!I2543</f>
        <v>118244</v>
      </c>
      <c r="K741" s="48">
        <v>0</v>
      </c>
      <c r="L741" s="22">
        <v>0</v>
      </c>
      <c r="M741" s="22">
        <v>0</v>
      </c>
      <c r="N741" s="22">
        <f t="shared" si="102"/>
        <v>118244</v>
      </c>
      <c r="O741" s="22">
        <f>0</f>
        <v>0</v>
      </c>
      <c r="P741" s="22">
        <f t="shared" si="100"/>
        <v>164</v>
      </c>
      <c r="Q741" s="22">
        <f>'Форма 2'!K2543</f>
        <v>164</v>
      </c>
      <c r="R741" s="177" t="s">
        <v>164</v>
      </c>
      <c r="S741" s="172">
        <v>1</v>
      </c>
      <c r="T741" s="33"/>
    </row>
    <row r="742" spans="1:20" x14ac:dyDescent="0.35">
      <c r="A742" s="39">
        <f t="shared" si="101"/>
        <v>9</v>
      </c>
      <c r="B742" s="39">
        <v>6942</v>
      </c>
      <c r="C742" s="10" t="s">
        <v>474</v>
      </c>
      <c r="D742" s="42">
        <v>1974</v>
      </c>
      <c r="E742" s="132" t="s">
        <v>75</v>
      </c>
      <c r="F742" s="42" t="s">
        <v>486</v>
      </c>
      <c r="G742" s="25">
        <v>1027</v>
      </c>
      <c r="H742" s="22">
        <v>751.3</v>
      </c>
      <c r="I742" s="101">
        <v>27</v>
      </c>
      <c r="J742" s="22">
        <f>'Форма 2'!I2545</f>
        <v>2508816.09</v>
      </c>
      <c r="K742" s="22">
        <v>0</v>
      </c>
      <c r="L742" s="22">
        <v>0</v>
      </c>
      <c r="M742" s="22">
        <v>0</v>
      </c>
      <c r="N742" s="22">
        <f t="shared" si="102"/>
        <v>2508816.09</v>
      </c>
      <c r="O742" s="22">
        <f>0</f>
        <v>0</v>
      </c>
      <c r="P742" s="22">
        <f t="shared" si="100"/>
        <v>3339.3</v>
      </c>
      <c r="Q742" s="22">
        <f>'Форма 2'!K2545</f>
        <v>4728</v>
      </c>
      <c r="R742" s="22" t="s">
        <v>164</v>
      </c>
      <c r="S742" s="172">
        <v>1</v>
      </c>
      <c r="T742" s="33"/>
    </row>
    <row r="743" spans="1:20" x14ac:dyDescent="0.35">
      <c r="A743" s="39">
        <f t="shared" si="101"/>
        <v>10</v>
      </c>
      <c r="B743" s="137">
        <v>6834</v>
      </c>
      <c r="C743" s="10" t="s">
        <v>644</v>
      </c>
      <c r="D743" s="42">
        <v>1985</v>
      </c>
      <c r="E743" s="132" t="s">
        <v>75</v>
      </c>
      <c r="F743" s="42" t="s">
        <v>155</v>
      </c>
      <c r="G743" s="25">
        <v>382.7</v>
      </c>
      <c r="H743" s="22">
        <v>341.7</v>
      </c>
      <c r="I743" s="101">
        <v>28</v>
      </c>
      <c r="J743" s="22">
        <f>'Форма 2'!I2548</f>
        <v>56038.8</v>
      </c>
      <c r="K743" s="48">
        <v>0</v>
      </c>
      <c r="L743" s="22">
        <v>0</v>
      </c>
      <c r="M743" s="22">
        <v>0</v>
      </c>
      <c r="N743" s="22">
        <f t="shared" si="102"/>
        <v>56038.8</v>
      </c>
      <c r="O743" s="22">
        <f>0</f>
        <v>0</v>
      </c>
      <c r="P743" s="22">
        <f t="shared" si="100"/>
        <v>164</v>
      </c>
      <c r="Q743" s="22">
        <f>'Форма 2'!K2548</f>
        <v>164</v>
      </c>
      <c r="R743" s="177" t="s">
        <v>164</v>
      </c>
      <c r="S743" s="172">
        <v>1</v>
      </c>
      <c r="T743" s="33"/>
    </row>
    <row r="744" spans="1:20" x14ac:dyDescent="0.35">
      <c r="A744" s="39">
        <f t="shared" si="101"/>
        <v>11</v>
      </c>
      <c r="B744" s="137">
        <v>6835</v>
      </c>
      <c r="C744" s="10" t="s">
        <v>645</v>
      </c>
      <c r="D744" s="42">
        <v>1992</v>
      </c>
      <c r="E744" s="132" t="s">
        <v>75</v>
      </c>
      <c r="F744" s="42" t="s">
        <v>155</v>
      </c>
      <c r="G744" s="25">
        <v>396.8</v>
      </c>
      <c r="H744" s="22">
        <v>356.8</v>
      </c>
      <c r="I744" s="101">
        <v>26</v>
      </c>
      <c r="J744" s="22">
        <f>'Форма 2'!I2550</f>
        <v>58515.199999999997</v>
      </c>
      <c r="K744" s="48">
        <v>0</v>
      </c>
      <c r="L744" s="22">
        <v>0</v>
      </c>
      <c r="M744" s="22">
        <v>0</v>
      </c>
      <c r="N744" s="22">
        <f t="shared" si="102"/>
        <v>58515.199999999997</v>
      </c>
      <c r="O744" s="22">
        <f>0</f>
        <v>0</v>
      </c>
      <c r="P744" s="22">
        <f t="shared" si="100"/>
        <v>164</v>
      </c>
      <c r="Q744" s="22">
        <f>'Форма 2'!K2550</f>
        <v>164</v>
      </c>
      <c r="R744" s="177" t="s">
        <v>164</v>
      </c>
      <c r="S744" s="172">
        <v>1</v>
      </c>
      <c r="T744" s="33"/>
    </row>
    <row r="745" spans="1:20" x14ac:dyDescent="0.35">
      <c r="A745" s="39">
        <f>A744+1</f>
        <v>12</v>
      </c>
      <c r="B745" s="39">
        <v>6831</v>
      </c>
      <c r="C745" s="10" t="s">
        <v>475</v>
      </c>
      <c r="D745" s="42">
        <v>1979</v>
      </c>
      <c r="E745" s="111" t="s">
        <v>75</v>
      </c>
      <c r="F745" s="42" t="s">
        <v>486</v>
      </c>
      <c r="G745" s="25">
        <v>5440.7</v>
      </c>
      <c r="H745" s="22">
        <v>3997.52</v>
      </c>
      <c r="I745" s="101">
        <v>201</v>
      </c>
      <c r="J745" s="22">
        <f>'Форма 2'!I2552</f>
        <v>7992641.4900000002</v>
      </c>
      <c r="K745" s="22">
        <v>0</v>
      </c>
      <c r="L745" s="22">
        <v>0</v>
      </c>
      <c r="M745" s="22">
        <v>0</v>
      </c>
      <c r="N745" s="22">
        <f t="shared" si="102"/>
        <v>7992641.4900000002</v>
      </c>
      <c r="O745" s="22">
        <f>0</f>
        <v>0</v>
      </c>
      <c r="P745" s="22">
        <f t="shared" si="100"/>
        <v>1999.4</v>
      </c>
      <c r="Q745" s="22">
        <f>'Форма 2'!K2552</f>
        <v>2831</v>
      </c>
      <c r="R745" s="34" t="s">
        <v>164</v>
      </c>
      <c r="S745" s="172">
        <v>1</v>
      </c>
      <c r="T745" s="33"/>
    </row>
    <row r="746" spans="1:20" x14ac:dyDescent="0.35">
      <c r="A746" s="39">
        <f>A745+1</f>
        <v>13</v>
      </c>
      <c r="B746" s="39">
        <v>6832</v>
      </c>
      <c r="C746" s="10" t="s">
        <v>476</v>
      </c>
      <c r="D746" s="42">
        <v>1989</v>
      </c>
      <c r="E746" s="132" t="s">
        <v>75</v>
      </c>
      <c r="F746" s="42" t="s">
        <v>486</v>
      </c>
      <c r="G746" s="25">
        <v>3993.11</v>
      </c>
      <c r="H746" s="22">
        <v>2867.33</v>
      </c>
      <c r="I746" s="101">
        <v>109</v>
      </c>
      <c r="J746" s="22">
        <f>'Форма 2'!I2555</f>
        <v>5732939.5999999996</v>
      </c>
      <c r="K746" s="22">
        <v>0</v>
      </c>
      <c r="L746" s="22">
        <v>0</v>
      </c>
      <c r="M746" s="22">
        <v>0</v>
      </c>
      <c r="N746" s="48">
        <f t="shared" si="102"/>
        <v>5732939.5999999996</v>
      </c>
      <c r="O746" s="22">
        <f>0</f>
        <v>0</v>
      </c>
      <c r="P746" s="22">
        <f t="shared" si="100"/>
        <v>1999.4</v>
      </c>
      <c r="Q746" s="22">
        <f>'Форма 2'!K2555</f>
        <v>2831</v>
      </c>
      <c r="R746" s="34" t="s">
        <v>164</v>
      </c>
      <c r="S746" s="172">
        <v>1</v>
      </c>
      <c r="T746" s="33"/>
    </row>
    <row r="747" spans="1:20" s="190" customFormat="1" ht="31" x14ac:dyDescent="0.35">
      <c r="A747" s="146">
        <f>A746+1</f>
        <v>14</v>
      </c>
      <c r="B747" s="146">
        <v>7021</v>
      </c>
      <c r="C747" s="185" t="s">
        <v>477</v>
      </c>
      <c r="D747" s="41">
        <v>1972</v>
      </c>
      <c r="E747" s="41" t="s">
        <v>805</v>
      </c>
      <c r="F747" s="41" t="s">
        <v>158</v>
      </c>
      <c r="G747" s="186">
        <v>953.7</v>
      </c>
      <c r="H747" s="86">
        <v>871.7</v>
      </c>
      <c r="I747" s="103">
        <v>40</v>
      </c>
      <c r="J747" s="86">
        <f>'Форма 2'!I2558</f>
        <v>5301679.4000000004</v>
      </c>
      <c r="K747" s="86">
        <v>0</v>
      </c>
      <c r="L747" s="86">
        <v>0</v>
      </c>
      <c r="M747" s="86">
        <v>0</v>
      </c>
      <c r="N747" s="187">
        <f t="shared" si="102"/>
        <v>5301679.4000000004</v>
      </c>
      <c r="O747" s="86">
        <f>0</f>
        <v>0</v>
      </c>
      <c r="P747" s="86">
        <f t="shared" si="100"/>
        <v>6082</v>
      </c>
      <c r="Q747" s="86">
        <f>'Форма 2'!K2558</f>
        <v>6082</v>
      </c>
      <c r="R747" s="86" t="s">
        <v>164</v>
      </c>
      <c r="S747" s="183">
        <v>1</v>
      </c>
      <c r="T747" s="33"/>
    </row>
    <row r="748" spans="1:20" x14ac:dyDescent="0.35">
      <c r="A748" s="39">
        <f>A747+1</f>
        <v>15</v>
      </c>
      <c r="B748" s="137">
        <v>7095</v>
      </c>
      <c r="C748" s="10" t="s">
        <v>646</v>
      </c>
      <c r="D748" s="42">
        <v>1989</v>
      </c>
      <c r="E748" s="132" t="s">
        <v>75</v>
      </c>
      <c r="F748" s="42" t="s">
        <v>155</v>
      </c>
      <c r="G748" s="25">
        <v>1381.53</v>
      </c>
      <c r="H748" s="22">
        <v>1205</v>
      </c>
      <c r="I748" s="101">
        <v>68</v>
      </c>
      <c r="J748" s="22">
        <f>'Форма 2'!I2567</f>
        <v>197620</v>
      </c>
      <c r="K748" s="48">
        <v>0</v>
      </c>
      <c r="L748" s="22">
        <v>0</v>
      </c>
      <c r="M748" s="22">
        <v>0</v>
      </c>
      <c r="N748" s="22">
        <f t="shared" si="102"/>
        <v>197620</v>
      </c>
      <c r="O748" s="22">
        <f>0</f>
        <v>0</v>
      </c>
      <c r="P748" s="22">
        <f t="shared" si="100"/>
        <v>164</v>
      </c>
      <c r="Q748" s="22">
        <f>'Форма 2'!K2567</f>
        <v>164</v>
      </c>
      <c r="R748" s="177" t="s">
        <v>164</v>
      </c>
      <c r="S748" s="172">
        <v>1</v>
      </c>
      <c r="T748" s="33"/>
    </row>
    <row r="749" spans="1:20" x14ac:dyDescent="0.35">
      <c r="A749" s="247" t="s">
        <v>49</v>
      </c>
      <c r="B749" s="247"/>
      <c r="C749" s="247"/>
      <c r="D749" s="23" t="s">
        <v>13</v>
      </c>
      <c r="E749" s="22" t="s">
        <v>13</v>
      </c>
      <c r="F749" s="22" t="s">
        <v>13</v>
      </c>
      <c r="G749" s="22">
        <f>G750</f>
        <v>1039.6300000000001</v>
      </c>
      <c r="H749" s="22">
        <f t="shared" ref="H749:O749" si="103">H750</f>
        <v>909.3</v>
      </c>
      <c r="I749" s="26">
        <f t="shared" si="103"/>
        <v>42</v>
      </c>
      <c r="J749" s="22">
        <f t="shared" si="103"/>
        <v>151853.1</v>
      </c>
      <c r="K749" s="22">
        <f t="shared" si="103"/>
        <v>0</v>
      </c>
      <c r="L749" s="22">
        <f t="shared" si="103"/>
        <v>0</v>
      </c>
      <c r="M749" s="22">
        <f t="shared" si="103"/>
        <v>0</v>
      </c>
      <c r="N749" s="22">
        <f t="shared" si="103"/>
        <v>151853.1</v>
      </c>
      <c r="O749" s="22">
        <f t="shared" si="103"/>
        <v>0</v>
      </c>
      <c r="P749" s="22" t="s">
        <v>13</v>
      </c>
      <c r="Q749" s="22" t="s">
        <v>13</v>
      </c>
      <c r="R749" s="22" t="s">
        <v>13</v>
      </c>
      <c r="S749" s="26" t="s">
        <v>13</v>
      </c>
      <c r="T749" s="33"/>
    </row>
    <row r="750" spans="1:20" x14ac:dyDescent="0.35">
      <c r="A750" s="39">
        <v>1</v>
      </c>
      <c r="B750" s="110">
        <v>4999</v>
      </c>
      <c r="C750" s="40" t="s">
        <v>647</v>
      </c>
      <c r="D750" s="141">
        <v>1978</v>
      </c>
      <c r="E750" s="141" t="s">
        <v>75</v>
      </c>
      <c r="F750" s="141" t="s">
        <v>155</v>
      </c>
      <c r="G750" s="53">
        <v>1039.6300000000001</v>
      </c>
      <c r="H750" s="86">
        <v>909.3</v>
      </c>
      <c r="I750" s="150">
        <v>42</v>
      </c>
      <c r="J750" s="19">
        <f>'Форма 2'!I2570</f>
        <v>151853.1</v>
      </c>
      <c r="K750" s="22">
        <v>0</v>
      </c>
      <c r="L750" s="22">
        <v>0</v>
      </c>
      <c r="M750" s="22">
        <v>0</v>
      </c>
      <c r="N750" s="22">
        <f>J750-K750-L750-M750-O750</f>
        <v>151853.1</v>
      </c>
      <c r="O750" s="22">
        <v>0</v>
      </c>
      <c r="P750" s="22">
        <f>J750/H750</f>
        <v>167</v>
      </c>
      <c r="Q750" s="19">
        <f>'Форма 2'!K2570</f>
        <v>167</v>
      </c>
      <c r="R750" s="34" t="s">
        <v>164</v>
      </c>
      <c r="S750" s="172">
        <v>1</v>
      </c>
      <c r="T750" s="33"/>
    </row>
    <row r="751" spans="1:20" x14ac:dyDescent="0.35">
      <c r="A751" s="245" t="s">
        <v>55</v>
      </c>
      <c r="B751" s="245"/>
      <c r="C751" s="245"/>
      <c r="D751" s="23" t="s">
        <v>13</v>
      </c>
      <c r="E751" s="22" t="s">
        <v>13</v>
      </c>
      <c r="F751" s="22" t="s">
        <v>13</v>
      </c>
      <c r="G751" s="25">
        <f>G752+G753+G754</f>
        <v>1307.5</v>
      </c>
      <c r="H751" s="25">
        <f t="shared" ref="H751:O751" si="104">H752+H753+H754</f>
        <v>1183.2</v>
      </c>
      <c r="I751" s="101">
        <f t="shared" si="104"/>
        <v>54</v>
      </c>
      <c r="J751" s="25">
        <f t="shared" si="104"/>
        <v>4709885.7</v>
      </c>
      <c r="K751" s="25">
        <f t="shared" si="104"/>
        <v>0</v>
      </c>
      <c r="L751" s="25">
        <f t="shared" si="104"/>
        <v>0</v>
      </c>
      <c r="M751" s="25">
        <f t="shared" si="104"/>
        <v>0</v>
      </c>
      <c r="N751" s="25">
        <f t="shared" si="104"/>
        <v>4709885.7</v>
      </c>
      <c r="O751" s="25">
        <f t="shared" si="104"/>
        <v>0</v>
      </c>
      <c r="P751" s="22" t="s">
        <v>13</v>
      </c>
      <c r="Q751" s="22" t="s">
        <v>13</v>
      </c>
      <c r="R751" s="22" t="s">
        <v>13</v>
      </c>
      <c r="S751" s="26" t="s">
        <v>13</v>
      </c>
      <c r="T751" s="33"/>
    </row>
    <row r="752" spans="1:20" x14ac:dyDescent="0.35">
      <c r="A752" s="39">
        <v>1</v>
      </c>
      <c r="B752" s="39">
        <v>7161</v>
      </c>
      <c r="C752" s="40" t="s">
        <v>648</v>
      </c>
      <c r="D752" s="42">
        <v>1956</v>
      </c>
      <c r="E752" s="41" t="s">
        <v>75</v>
      </c>
      <c r="F752" s="41" t="s">
        <v>158</v>
      </c>
      <c r="G752" s="25">
        <v>181.5</v>
      </c>
      <c r="H752" s="22">
        <v>173.3</v>
      </c>
      <c r="I752" s="101">
        <v>10</v>
      </c>
      <c r="J752" s="22">
        <f>'Форма 2'!I2573</f>
        <v>1794174.9</v>
      </c>
      <c r="K752" s="22">
        <v>0</v>
      </c>
      <c r="L752" s="22">
        <v>0</v>
      </c>
      <c r="M752" s="22">
        <v>0</v>
      </c>
      <c r="N752" s="22">
        <f>J752-O752</f>
        <v>1794174.9</v>
      </c>
      <c r="O752" s="22">
        <v>0</v>
      </c>
      <c r="P752" s="22">
        <f>J752/H752</f>
        <v>10353</v>
      </c>
      <c r="Q752" s="22">
        <f>'Форма 2'!K2573</f>
        <v>10353</v>
      </c>
      <c r="R752" s="34" t="s">
        <v>164</v>
      </c>
      <c r="S752" s="172">
        <v>1</v>
      </c>
      <c r="T752" s="33"/>
    </row>
    <row r="753" spans="1:20" x14ac:dyDescent="0.35">
      <c r="A753" s="39">
        <v>2</v>
      </c>
      <c r="B753" s="39">
        <v>7187</v>
      </c>
      <c r="C753" s="40" t="s">
        <v>649</v>
      </c>
      <c r="D753" s="42">
        <v>1963</v>
      </c>
      <c r="E753" s="41" t="s">
        <v>75</v>
      </c>
      <c r="F753" s="41" t="s">
        <v>186</v>
      </c>
      <c r="G753" s="25">
        <v>431.6</v>
      </c>
      <c r="H753" s="22">
        <v>389.2</v>
      </c>
      <c r="I753" s="101">
        <v>17</v>
      </c>
      <c r="J753" s="22">
        <f>'Форма 2'!I2576</f>
        <v>2813916</v>
      </c>
      <c r="K753" s="22">
        <v>0</v>
      </c>
      <c r="L753" s="22">
        <v>0</v>
      </c>
      <c r="M753" s="22">
        <v>0</v>
      </c>
      <c r="N753" s="22">
        <f>J753-K753-L753-M753-O753</f>
        <v>2813916</v>
      </c>
      <c r="O753" s="22">
        <v>0</v>
      </c>
      <c r="P753" s="22">
        <f>J753/H753</f>
        <v>7230</v>
      </c>
      <c r="Q753" s="22">
        <f>'Форма 2'!K2576</f>
        <v>7230</v>
      </c>
      <c r="R753" s="34" t="s">
        <v>164</v>
      </c>
      <c r="S753" s="172">
        <v>1</v>
      </c>
      <c r="T753" s="33"/>
    </row>
    <row r="754" spans="1:20" x14ac:dyDescent="0.35">
      <c r="A754" s="39">
        <f>A753+1</f>
        <v>3</v>
      </c>
      <c r="B754" s="110">
        <v>7203</v>
      </c>
      <c r="C754" s="67" t="s">
        <v>650</v>
      </c>
      <c r="D754" s="42">
        <v>1965</v>
      </c>
      <c r="E754" s="41" t="s">
        <v>75</v>
      </c>
      <c r="F754" s="41" t="s">
        <v>155</v>
      </c>
      <c r="G754" s="25">
        <v>694.4</v>
      </c>
      <c r="H754" s="22">
        <v>620.70000000000005</v>
      </c>
      <c r="I754" s="101">
        <v>27</v>
      </c>
      <c r="J754" s="22">
        <f>'Форма 2'!I2580</f>
        <v>101794.8</v>
      </c>
      <c r="K754" s="22">
        <v>0</v>
      </c>
      <c r="L754" s="22">
        <v>0</v>
      </c>
      <c r="M754" s="22">
        <v>0</v>
      </c>
      <c r="N754" s="25">
        <f>J754-O754</f>
        <v>101794.8</v>
      </c>
      <c r="O754" s="25">
        <v>0</v>
      </c>
      <c r="P754" s="22">
        <f>J754/H754</f>
        <v>164</v>
      </c>
      <c r="Q754" s="22">
        <f>'Форма 2'!K2580</f>
        <v>164</v>
      </c>
      <c r="R754" s="34" t="s">
        <v>164</v>
      </c>
      <c r="S754" s="172">
        <v>1</v>
      </c>
      <c r="T754" s="33"/>
    </row>
    <row r="755" spans="1:20" x14ac:dyDescent="0.35">
      <c r="A755" s="18" t="s">
        <v>30</v>
      </c>
      <c r="B755" s="18"/>
      <c r="C755" s="19"/>
      <c r="D755" s="18"/>
      <c r="E755" s="19"/>
      <c r="F755" s="19"/>
      <c r="G755" s="19"/>
      <c r="H755" s="19"/>
      <c r="I755" s="20"/>
      <c r="J755" s="19"/>
      <c r="K755" s="19"/>
      <c r="L755" s="19"/>
      <c r="M755" s="19"/>
      <c r="N755" s="19"/>
      <c r="O755" s="19"/>
      <c r="P755" s="19"/>
      <c r="Q755" s="19"/>
      <c r="R755" s="19"/>
      <c r="S755" s="20"/>
    </row>
    <row r="756" spans="1:20" x14ac:dyDescent="0.35">
      <c r="A756" s="231" t="s">
        <v>51</v>
      </c>
      <c r="B756" s="231"/>
      <c r="C756" s="231"/>
      <c r="D756" s="23" t="s">
        <v>13</v>
      </c>
      <c r="E756" s="22" t="s">
        <v>13</v>
      </c>
      <c r="F756" s="22" t="s">
        <v>13</v>
      </c>
      <c r="G756" s="22">
        <f t="shared" ref="G756:O756" si="105">G757+G760+G765+G767+G769+G796+G809+G886+G888+G890+G892+G900+G902+G904+G906+G912</f>
        <v>367551.93</v>
      </c>
      <c r="H756" s="22">
        <f t="shared" si="105"/>
        <v>297860.28000000003</v>
      </c>
      <c r="I756" s="26">
        <f t="shared" si="105"/>
        <v>12880</v>
      </c>
      <c r="J756" s="22">
        <f t="shared" si="105"/>
        <v>798998754.20000005</v>
      </c>
      <c r="K756" s="22">
        <f t="shared" si="105"/>
        <v>0</v>
      </c>
      <c r="L756" s="22">
        <f t="shared" si="105"/>
        <v>0</v>
      </c>
      <c r="M756" s="22">
        <f t="shared" si="105"/>
        <v>0</v>
      </c>
      <c r="N756" s="22">
        <f t="shared" si="105"/>
        <v>798998754.20000005</v>
      </c>
      <c r="O756" s="22">
        <f t="shared" si="105"/>
        <v>0</v>
      </c>
      <c r="P756" s="22" t="s">
        <v>13</v>
      </c>
      <c r="Q756" s="22" t="s">
        <v>13</v>
      </c>
      <c r="R756" s="22" t="s">
        <v>13</v>
      </c>
      <c r="S756" s="26" t="s">
        <v>13</v>
      </c>
    </row>
    <row r="757" spans="1:20" x14ac:dyDescent="0.35">
      <c r="A757" s="231" t="s">
        <v>16</v>
      </c>
      <c r="B757" s="231"/>
      <c r="C757" s="231"/>
      <c r="D757" s="23" t="s">
        <v>13</v>
      </c>
      <c r="E757" s="22" t="s">
        <v>13</v>
      </c>
      <c r="F757" s="22" t="s">
        <v>13</v>
      </c>
      <c r="G757" s="22">
        <f>SUM(G758:G759)</f>
        <v>802</v>
      </c>
      <c r="H757" s="22">
        <f t="shared" ref="H757:O757" si="106">SUM(H758:H759)</f>
        <v>735.2</v>
      </c>
      <c r="I757" s="26">
        <f t="shared" si="106"/>
        <v>42</v>
      </c>
      <c r="J757" s="22">
        <f t="shared" si="106"/>
        <v>5133265.5999999996</v>
      </c>
      <c r="K757" s="22">
        <f t="shared" si="106"/>
        <v>0</v>
      </c>
      <c r="L757" s="22">
        <f t="shared" si="106"/>
        <v>0</v>
      </c>
      <c r="M757" s="22">
        <f t="shared" si="106"/>
        <v>0</v>
      </c>
      <c r="N757" s="22">
        <f t="shared" si="106"/>
        <v>5133265.5999999996</v>
      </c>
      <c r="O757" s="22">
        <f t="shared" si="106"/>
        <v>0</v>
      </c>
      <c r="P757" s="22" t="s">
        <v>13</v>
      </c>
      <c r="Q757" s="22" t="s">
        <v>13</v>
      </c>
      <c r="R757" s="22" t="s">
        <v>13</v>
      </c>
      <c r="S757" s="26" t="s">
        <v>13</v>
      </c>
    </row>
    <row r="758" spans="1:20" x14ac:dyDescent="0.35">
      <c r="A758" s="11">
        <v>1</v>
      </c>
      <c r="B758" s="110">
        <v>4692</v>
      </c>
      <c r="C758" s="76" t="s">
        <v>481</v>
      </c>
      <c r="D758" s="145">
        <v>1968</v>
      </c>
      <c r="E758" s="145" t="s">
        <v>233</v>
      </c>
      <c r="F758" s="97" t="s">
        <v>158</v>
      </c>
      <c r="G758" s="22">
        <v>261.60000000000002</v>
      </c>
      <c r="H758" s="22">
        <v>237.2</v>
      </c>
      <c r="I758" s="26">
        <v>12</v>
      </c>
      <c r="J758" s="22">
        <f>'Форма 2'!I2584</f>
        <v>1378843.6</v>
      </c>
      <c r="K758" s="22">
        <v>0</v>
      </c>
      <c r="L758" s="22">
        <v>0</v>
      </c>
      <c r="M758" s="22">
        <v>0</v>
      </c>
      <c r="N758" s="22">
        <f>J758-K758-L758-M758-O758</f>
        <v>1378843.6</v>
      </c>
      <c r="O758" s="22">
        <v>0</v>
      </c>
      <c r="P758" s="22">
        <f>J758/H758</f>
        <v>5813</v>
      </c>
      <c r="Q758" s="22">
        <f>'Форма 2'!K2584</f>
        <v>5813</v>
      </c>
      <c r="R758" s="34" t="s">
        <v>498</v>
      </c>
      <c r="S758" s="172">
        <v>1</v>
      </c>
    </row>
    <row r="759" spans="1:20" x14ac:dyDescent="0.35">
      <c r="A759" s="11">
        <f>A758+1</f>
        <v>2</v>
      </c>
      <c r="B759" s="110">
        <v>4743</v>
      </c>
      <c r="C759" s="76" t="s">
        <v>154</v>
      </c>
      <c r="D759" s="145">
        <v>1973</v>
      </c>
      <c r="E759" s="44" t="s">
        <v>75</v>
      </c>
      <c r="F759" s="96" t="s">
        <v>158</v>
      </c>
      <c r="G759" s="22">
        <v>540.4</v>
      </c>
      <c r="H759" s="22">
        <v>498</v>
      </c>
      <c r="I759" s="26">
        <v>30</v>
      </c>
      <c r="J759" s="22">
        <f>'Форма 2'!I2587</f>
        <v>3754422</v>
      </c>
      <c r="K759" s="22">
        <v>0</v>
      </c>
      <c r="L759" s="22">
        <v>0</v>
      </c>
      <c r="M759" s="22">
        <v>0</v>
      </c>
      <c r="N759" s="22">
        <f>J759-K759-L759-M759-O759</f>
        <v>3754422</v>
      </c>
      <c r="O759" s="22">
        <v>0</v>
      </c>
      <c r="P759" s="22">
        <f>J759/H759</f>
        <v>7539</v>
      </c>
      <c r="Q759" s="22">
        <f>'Форма 2'!K2587</f>
        <v>7539</v>
      </c>
      <c r="R759" s="34" t="s">
        <v>498</v>
      </c>
      <c r="S759" s="172">
        <v>1</v>
      </c>
    </row>
    <row r="760" spans="1:20" x14ac:dyDescent="0.35">
      <c r="A760" s="224" t="s">
        <v>33</v>
      </c>
      <c r="B760" s="224"/>
      <c r="C760" s="224"/>
      <c r="D760" s="23" t="s">
        <v>13</v>
      </c>
      <c r="E760" s="22" t="s">
        <v>13</v>
      </c>
      <c r="F760" s="22" t="s">
        <v>13</v>
      </c>
      <c r="G760" s="22">
        <f>SUM(G761:G764)</f>
        <v>3834.35</v>
      </c>
      <c r="H760" s="22">
        <f t="shared" ref="H760:O760" si="107">SUM(H761:H764)</f>
        <v>3126.95</v>
      </c>
      <c r="I760" s="26">
        <f t="shared" si="107"/>
        <v>111</v>
      </c>
      <c r="J760" s="22">
        <f t="shared" si="107"/>
        <v>22095028.699999999</v>
      </c>
      <c r="K760" s="22">
        <f t="shared" si="107"/>
        <v>0</v>
      </c>
      <c r="L760" s="22">
        <f t="shared" si="107"/>
        <v>0</v>
      </c>
      <c r="M760" s="22">
        <f t="shared" si="107"/>
        <v>0</v>
      </c>
      <c r="N760" s="22">
        <f t="shared" si="107"/>
        <v>22095028.699999999</v>
      </c>
      <c r="O760" s="22">
        <f t="shared" si="107"/>
        <v>0</v>
      </c>
      <c r="P760" s="22" t="s">
        <v>13</v>
      </c>
      <c r="Q760" s="22" t="s">
        <v>13</v>
      </c>
      <c r="R760" s="22" t="s">
        <v>13</v>
      </c>
      <c r="S760" s="26" t="s">
        <v>13</v>
      </c>
    </row>
    <row r="761" spans="1:20" x14ac:dyDescent="0.35">
      <c r="A761" s="124">
        <v>1</v>
      </c>
      <c r="B761" s="120">
        <v>4395</v>
      </c>
      <c r="C761" s="82" t="s">
        <v>159</v>
      </c>
      <c r="D761" s="77">
        <v>1984</v>
      </c>
      <c r="E761" s="145" t="s">
        <v>75</v>
      </c>
      <c r="F761" s="145" t="s">
        <v>158</v>
      </c>
      <c r="G761" s="78">
        <v>1353.3</v>
      </c>
      <c r="H761" s="78">
        <v>846</v>
      </c>
      <c r="I761" s="98">
        <v>19</v>
      </c>
      <c r="J761" s="58">
        <f>'Форма 2'!I2591</f>
        <v>5977836</v>
      </c>
      <c r="K761" s="22">
        <v>0</v>
      </c>
      <c r="L761" s="22">
        <v>0</v>
      </c>
      <c r="M761" s="22">
        <v>0</v>
      </c>
      <c r="N761" s="22">
        <f>J761-K761-L761-M761-O761</f>
        <v>5977836</v>
      </c>
      <c r="O761" s="22">
        <v>0</v>
      </c>
      <c r="P761" s="58">
        <f>J761/H761</f>
        <v>7066</v>
      </c>
      <c r="Q761" s="22">
        <f>'Форма 2'!K2591</f>
        <v>7066</v>
      </c>
      <c r="R761" s="34" t="s">
        <v>498</v>
      </c>
      <c r="S761" s="172">
        <v>1</v>
      </c>
    </row>
    <row r="762" spans="1:20" x14ac:dyDescent="0.35">
      <c r="A762" s="124">
        <f>A761+1</f>
        <v>2</v>
      </c>
      <c r="B762" s="120">
        <v>4444</v>
      </c>
      <c r="C762" s="46" t="s">
        <v>490</v>
      </c>
      <c r="D762" s="124">
        <v>1970</v>
      </c>
      <c r="E762" s="44" t="s">
        <v>75</v>
      </c>
      <c r="F762" s="44" t="s">
        <v>158</v>
      </c>
      <c r="G762" s="86">
        <v>783.9</v>
      </c>
      <c r="H762" s="86">
        <v>725.1</v>
      </c>
      <c r="I762" s="99">
        <v>27</v>
      </c>
      <c r="J762" s="22">
        <f>'Форма 2'!I2594</f>
        <v>5123556.5999999996</v>
      </c>
      <c r="K762" s="22">
        <v>0</v>
      </c>
      <c r="L762" s="22">
        <v>0</v>
      </c>
      <c r="M762" s="22">
        <v>0</v>
      </c>
      <c r="N762" s="22">
        <f>J762-K762-L762-M762-O762</f>
        <v>5123556.5999999996</v>
      </c>
      <c r="O762" s="22">
        <v>0</v>
      </c>
      <c r="P762" s="22">
        <f>J762/H762</f>
        <v>7066</v>
      </c>
      <c r="Q762" s="22">
        <f>'Форма 2'!K2594</f>
        <v>7066</v>
      </c>
      <c r="R762" s="34" t="s">
        <v>498</v>
      </c>
      <c r="S762" s="172">
        <v>1</v>
      </c>
    </row>
    <row r="763" spans="1:20" x14ac:dyDescent="0.35">
      <c r="A763" s="124">
        <f>A762+1</f>
        <v>3</v>
      </c>
      <c r="B763" s="120">
        <v>4516</v>
      </c>
      <c r="C763" s="82" t="s">
        <v>484</v>
      </c>
      <c r="D763" s="77">
        <v>1971</v>
      </c>
      <c r="E763" s="44" t="s">
        <v>75</v>
      </c>
      <c r="F763" s="44" t="s">
        <v>158</v>
      </c>
      <c r="G763" s="78">
        <v>762.9</v>
      </c>
      <c r="H763" s="78">
        <v>704.7</v>
      </c>
      <c r="I763" s="98">
        <v>31</v>
      </c>
      <c r="J763" s="22">
        <f>'Форма 2'!I2597</f>
        <v>4979410.2</v>
      </c>
      <c r="K763" s="22">
        <v>0</v>
      </c>
      <c r="L763" s="22">
        <v>0</v>
      </c>
      <c r="M763" s="22">
        <v>0</v>
      </c>
      <c r="N763" s="22">
        <f>J763-K763-L763-M763-O763</f>
        <v>4979410.2</v>
      </c>
      <c r="O763" s="22">
        <v>0</v>
      </c>
      <c r="P763" s="22">
        <f>J763/H763</f>
        <v>7066</v>
      </c>
      <c r="Q763" s="22">
        <f>'Форма 2'!K2597</f>
        <v>7066</v>
      </c>
      <c r="R763" s="34" t="s">
        <v>498</v>
      </c>
      <c r="S763" s="172">
        <v>1</v>
      </c>
    </row>
    <row r="764" spans="1:20" x14ac:dyDescent="0.35">
      <c r="A764" s="124">
        <f>A763+1</f>
        <v>4</v>
      </c>
      <c r="B764" s="123">
        <v>4536</v>
      </c>
      <c r="C764" s="46" t="s">
        <v>491</v>
      </c>
      <c r="D764" s="124">
        <v>1971</v>
      </c>
      <c r="E764" s="44" t="s">
        <v>75</v>
      </c>
      <c r="F764" s="44" t="s">
        <v>158</v>
      </c>
      <c r="G764" s="86">
        <v>934.25</v>
      </c>
      <c r="H764" s="86">
        <v>851.15</v>
      </c>
      <c r="I764" s="99">
        <v>34</v>
      </c>
      <c r="J764" s="22">
        <f>'Форма 2'!I2600</f>
        <v>6014225.9000000004</v>
      </c>
      <c r="K764" s="22">
        <v>0</v>
      </c>
      <c r="L764" s="22">
        <v>0</v>
      </c>
      <c r="M764" s="22">
        <v>0</v>
      </c>
      <c r="N764" s="22">
        <f>J764-K764-L764-M764-O764</f>
        <v>6014225.9000000004</v>
      </c>
      <c r="O764" s="22">
        <v>0</v>
      </c>
      <c r="P764" s="22">
        <f>J764/H764</f>
        <v>7066</v>
      </c>
      <c r="Q764" s="22">
        <f>'Форма 2'!K2600</f>
        <v>7066</v>
      </c>
      <c r="R764" s="34" t="s">
        <v>498</v>
      </c>
      <c r="S764" s="172">
        <v>1</v>
      </c>
    </row>
    <row r="765" spans="1:20" x14ac:dyDescent="0.35">
      <c r="A765" s="229" t="s">
        <v>34</v>
      </c>
      <c r="B765" s="229"/>
      <c r="C765" s="229"/>
      <c r="D765" s="23" t="s">
        <v>13</v>
      </c>
      <c r="E765" s="22" t="s">
        <v>13</v>
      </c>
      <c r="F765" s="22" t="s">
        <v>13</v>
      </c>
      <c r="G765" s="27">
        <f>G766</f>
        <v>780.7</v>
      </c>
      <c r="H765" s="27">
        <f t="shared" ref="H765:O765" si="108">H766</f>
        <v>724.3</v>
      </c>
      <c r="I765" s="104">
        <f t="shared" si="108"/>
        <v>37</v>
      </c>
      <c r="J765" s="27">
        <f t="shared" si="108"/>
        <v>4481987.4000000004</v>
      </c>
      <c r="K765" s="27">
        <f t="shared" si="108"/>
        <v>0</v>
      </c>
      <c r="L765" s="27">
        <f t="shared" si="108"/>
        <v>0</v>
      </c>
      <c r="M765" s="27">
        <f t="shared" si="108"/>
        <v>0</v>
      </c>
      <c r="N765" s="27">
        <f t="shared" si="108"/>
        <v>4481987.4000000004</v>
      </c>
      <c r="O765" s="27">
        <f t="shared" si="108"/>
        <v>0</v>
      </c>
      <c r="P765" s="22" t="s">
        <v>13</v>
      </c>
      <c r="Q765" s="22" t="s">
        <v>13</v>
      </c>
      <c r="R765" s="22" t="s">
        <v>13</v>
      </c>
      <c r="S765" s="26" t="s">
        <v>13</v>
      </c>
    </row>
    <row r="766" spans="1:20" x14ac:dyDescent="0.35">
      <c r="A766" s="124">
        <v>1</v>
      </c>
      <c r="B766" s="124">
        <v>4804</v>
      </c>
      <c r="C766" s="46" t="s">
        <v>651</v>
      </c>
      <c r="D766" s="124">
        <v>1972</v>
      </c>
      <c r="E766" s="145" t="s">
        <v>75</v>
      </c>
      <c r="F766" s="145" t="s">
        <v>158</v>
      </c>
      <c r="G766" s="86">
        <v>780.7</v>
      </c>
      <c r="H766" s="86">
        <v>724.3</v>
      </c>
      <c r="I766" s="26">
        <v>37</v>
      </c>
      <c r="J766" s="22">
        <f>'Форма 2'!I2604</f>
        <v>4481987.4000000004</v>
      </c>
      <c r="K766" s="22">
        <v>0</v>
      </c>
      <c r="L766" s="22">
        <v>0</v>
      </c>
      <c r="M766" s="22">
        <v>0</v>
      </c>
      <c r="N766" s="22">
        <f>J766-O766</f>
        <v>4481987.4000000004</v>
      </c>
      <c r="O766" s="22">
        <v>0</v>
      </c>
      <c r="P766" s="22">
        <f>J766/H766</f>
        <v>6188.03</v>
      </c>
      <c r="Q766" s="22">
        <f>'Форма 2'!K2604</f>
        <v>7539</v>
      </c>
      <c r="R766" s="34" t="s">
        <v>498</v>
      </c>
      <c r="S766" s="172">
        <v>1</v>
      </c>
    </row>
    <row r="767" spans="1:20" x14ac:dyDescent="0.35">
      <c r="A767" s="224" t="s">
        <v>35</v>
      </c>
      <c r="B767" s="224"/>
      <c r="C767" s="224"/>
      <c r="D767" s="23" t="s">
        <v>13</v>
      </c>
      <c r="E767" s="22" t="s">
        <v>13</v>
      </c>
      <c r="F767" s="22" t="s">
        <v>13</v>
      </c>
      <c r="G767" s="22">
        <f>G768</f>
        <v>356.6</v>
      </c>
      <c r="H767" s="22">
        <f t="shared" ref="H767:O767" si="109">H768</f>
        <v>329.6</v>
      </c>
      <c r="I767" s="26">
        <f t="shared" si="109"/>
        <v>44</v>
      </c>
      <c r="J767" s="22">
        <f t="shared" si="109"/>
        <v>2484854.4</v>
      </c>
      <c r="K767" s="22">
        <f t="shared" si="109"/>
        <v>0</v>
      </c>
      <c r="L767" s="22">
        <f t="shared" si="109"/>
        <v>0</v>
      </c>
      <c r="M767" s="22">
        <f t="shared" si="109"/>
        <v>0</v>
      </c>
      <c r="N767" s="22">
        <f t="shared" si="109"/>
        <v>2484854.4</v>
      </c>
      <c r="O767" s="22">
        <f t="shared" si="109"/>
        <v>0</v>
      </c>
      <c r="P767" s="22" t="s">
        <v>13</v>
      </c>
      <c r="Q767" s="22" t="s">
        <v>13</v>
      </c>
      <c r="R767" s="22" t="s">
        <v>13</v>
      </c>
      <c r="S767" s="26" t="s">
        <v>13</v>
      </c>
    </row>
    <row r="768" spans="1:20" x14ac:dyDescent="0.35">
      <c r="A768" s="11">
        <v>1</v>
      </c>
      <c r="B768" s="11">
        <v>6692</v>
      </c>
      <c r="C768" s="76" t="s">
        <v>175</v>
      </c>
      <c r="D768" s="145">
        <v>1967</v>
      </c>
      <c r="E768" s="44" t="s">
        <v>75</v>
      </c>
      <c r="F768" s="96" t="s">
        <v>158</v>
      </c>
      <c r="G768" s="22">
        <v>356.6</v>
      </c>
      <c r="H768" s="22">
        <v>329.6</v>
      </c>
      <c r="I768" s="26">
        <v>44</v>
      </c>
      <c r="J768" s="22">
        <f>'Форма 2'!I2608</f>
        <v>2484854.4</v>
      </c>
      <c r="K768" s="22">
        <v>0</v>
      </c>
      <c r="L768" s="22">
        <v>0</v>
      </c>
      <c r="M768" s="22">
        <v>0</v>
      </c>
      <c r="N768" s="22">
        <f>J768-K768-L768-M768-O768</f>
        <v>2484854.4</v>
      </c>
      <c r="O768" s="22">
        <v>0</v>
      </c>
      <c r="P768" s="22">
        <f>J768/H768</f>
        <v>7539</v>
      </c>
      <c r="Q768" s="22">
        <f>'Форма 2'!K2608</f>
        <v>7539</v>
      </c>
      <c r="R768" s="34" t="s">
        <v>498</v>
      </c>
      <c r="S768" s="172">
        <v>1</v>
      </c>
    </row>
    <row r="769" spans="1:20" x14ac:dyDescent="0.35">
      <c r="A769" s="228" t="s">
        <v>52</v>
      </c>
      <c r="B769" s="228"/>
      <c r="C769" s="228"/>
      <c r="D769" s="23" t="s">
        <v>13</v>
      </c>
      <c r="E769" s="22" t="s">
        <v>13</v>
      </c>
      <c r="F769" s="22" t="s">
        <v>13</v>
      </c>
      <c r="G769" s="19">
        <f t="shared" ref="G769:O769" si="110">SUM(G770:G795)</f>
        <v>93572.22</v>
      </c>
      <c r="H769" s="19">
        <f t="shared" si="110"/>
        <v>59418.559999999998</v>
      </c>
      <c r="I769" s="20">
        <f t="shared" si="110"/>
        <v>2811</v>
      </c>
      <c r="J769" s="19">
        <f t="shared" si="110"/>
        <v>138825082.31</v>
      </c>
      <c r="K769" s="19">
        <f t="shared" si="110"/>
        <v>0</v>
      </c>
      <c r="L769" s="19">
        <f t="shared" si="110"/>
        <v>0</v>
      </c>
      <c r="M769" s="19">
        <f t="shared" si="110"/>
        <v>0</v>
      </c>
      <c r="N769" s="19">
        <f t="shared" si="110"/>
        <v>138825082.31</v>
      </c>
      <c r="O769" s="19">
        <f t="shared" si="110"/>
        <v>0</v>
      </c>
      <c r="P769" s="22" t="s">
        <v>13</v>
      </c>
      <c r="Q769" s="22" t="s">
        <v>13</v>
      </c>
      <c r="R769" s="22" t="s">
        <v>13</v>
      </c>
      <c r="S769" s="26" t="s">
        <v>13</v>
      </c>
    </row>
    <row r="770" spans="1:20" x14ac:dyDescent="0.35">
      <c r="A770" s="11">
        <v>1</v>
      </c>
      <c r="B770" s="110">
        <v>5861</v>
      </c>
      <c r="C770" s="46" t="s">
        <v>497</v>
      </c>
      <c r="D770" s="124">
        <v>1958</v>
      </c>
      <c r="E770" s="19" t="s">
        <v>75</v>
      </c>
      <c r="F770" s="11" t="s">
        <v>486</v>
      </c>
      <c r="G770" s="22">
        <v>4187</v>
      </c>
      <c r="H770" s="22">
        <v>2357.8000000000002</v>
      </c>
      <c r="I770" s="26">
        <v>89</v>
      </c>
      <c r="J770" s="19">
        <f>'Форма 2'!I2612</f>
        <v>7639979.3399999999</v>
      </c>
      <c r="K770" s="22">
        <v>0</v>
      </c>
      <c r="L770" s="22">
        <v>0</v>
      </c>
      <c r="M770" s="22">
        <v>0</v>
      </c>
      <c r="N770" s="22">
        <f>J770-K770-L770-M770-O770</f>
        <v>7639979.3399999999</v>
      </c>
      <c r="O770" s="22">
        <v>0</v>
      </c>
      <c r="P770" s="22">
        <f t="shared" ref="P770:P792" si="111">J770/H770</f>
        <v>3240.3</v>
      </c>
      <c r="Q770" s="19">
        <f>'Форма 2'!K2612</f>
        <v>4728</v>
      </c>
      <c r="R770" s="34" t="s">
        <v>498</v>
      </c>
      <c r="S770" s="172">
        <v>1</v>
      </c>
    </row>
    <row r="771" spans="1:20" x14ac:dyDescent="0.35">
      <c r="A771" s="11">
        <f>A770+1</f>
        <v>2</v>
      </c>
      <c r="B771" s="110">
        <v>5865</v>
      </c>
      <c r="C771" s="46" t="s">
        <v>499</v>
      </c>
      <c r="D771" s="124">
        <v>1958</v>
      </c>
      <c r="E771" s="118" t="s">
        <v>75</v>
      </c>
      <c r="F771" s="124" t="s">
        <v>486</v>
      </c>
      <c r="G771" s="22">
        <v>3776</v>
      </c>
      <c r="H771" s="22">
        <v>2034.2</v>
      </c>
      <c r="I771" s="26">
        <v>78</v>
      </c>
      <c r="J771" s="19">
        <f>'Форма 2'!I2615</f>
        <v>6591418.2599999998</v>
      </c>
      <c r="K771" s="22">
        <v>0</v>
      </c>
      <c r="L771" s="22">
        <v>0</v>
      </c>
      <c r="M771" s="22">
        <v>0</v>
      </c>
      <c r="N771" s="22">
        <f t="shared" ref="N771:N792" si="112">J771-K771-L771-M771-O771</f>
        <v>6591418.2599999998</v>
      </c>
      <c r="O771" s="22">
        <v>0</v>
      </c>
      <c r="P771" s="22">
        <f t="shared" si="111"/>
        <v>3240.3</v>
      </c>
      <c r="Q771" s="19">
        <f>'Форма 2'!K2615</f>
        <v>4728</v>
      </c>
      <c r="R771" s="34" t="s">
        <v>498</v>
      </c>
      <c r="S771" s="172">
        <v>1</v>
      </c>
    </row>
    <row r="772" spans="1:20" x14ac:dyDescent="0.35">
      <c r="A772" s="11">
        <f t="shared" ref="A772:A795" si="113">A771+1</f>
        <v>3</v>
      </c>
      <c r="B772" s="110">
        <v>5866</v>
      </c>
      <c r="C772" s="46" t="s">
        <v>500</v>
      </c>
      <c r="D772" s="124">
        <v>1958</v>
      </c>
      <c r="E772" s="19" t="s">
        <v>75</v>
      </c>
      <c r="F772" s="11" t="s">
        <v>158</v>
      </c>
      <c r="G772" s="22">
        <v>3795</v>
      </c>
      <c r="H772" s="22">
        <v>2046.3</v>
      </c>
      <c r="I772" s="26">
        <v>89</v>
      </c>
      <c r="J772" s="19">
        <f>'Форма 2'!I2618</f>
        <v>9472322.6999999993</v>
      </c>
      <c r="K772" s="22">
        <v>0</v>
      </c>
      <c r="L772" s="22">
        <v>0</v>
      </c>
      <c r="M772" s="22">
        <v>0</v>
      </c>
      <c r="N772" s="22">
        <f t="shared" si="112"/>
        <v>9472322.6999999993</v>
      </c>
      <c r="O772" s="22">
        <v>0</v>
      </c>
      <c r="P772" s="22">
        <f t="shared" si="111"/>
        <v>4629</v>
      </c>
      <c r="Q772" s="19">
        <f>'Форма 2'!K2618</f>
        <v>4728</v>
      </c>
      <c r="R772" s="34" t="s">
        <v>498</v>
      </c>
      <c r="S772" s="172">
        <v>1</v>
      </c>
    </row>
    <row r="773" spans="1:20" x14ac:dyDescent="0.35">
      <c r="A773" s="11">
        <f t="shared" si="113"/>
        <v>4</v>
      </c>
      <c r="B773" s="110">
        <v>5873</v>
      </c>
      <c r="C773" s="46" t="s">
        <v>502</v>
      </c>
      <c r="D773" s="124">
        <v>1958</v>
      </c>
      <c r="E773" s="118" t="s">
        <v>75</v>
      </c>
      <c r="F773" s="124" t="s">
        <v>486</v>
      </c>
      <c r="G773" s="22">
        <v>5158</v>
      </c>
      <c r="H773" s="22">
        <v>2929.4</v>
      </c>
      <c r="I773" s="26">
        <v>114</v>
      </c>
      <c r="J773" s="19">
        <f>'Форма 2'!I2621</f>
        <v>9492134.8200000003</v>
      </c>
      <c r="K773" s="22">
        <v>0</v>
      </c>
      <c r="L773" s="22">
        <v>0</v>
      </c>
      <c r="M773" s="22">
        <v>0</v>
      </c>
      <c r="N773" s="22">
        <f t="shared" si="112"/>
        <v>9492134.8200000003</v>
      </c>
      <c r="O773" s="22">
        <v>0</v>
      </c>
      <c r="P773" s="22">
        <f t="shared" si="111"/>
        <v>3240.3</v>
      </c>
      <c r="Q773" s="19">
        <f>'Форма 2'!K2621</f>
        <v>4728</v>
      </c>
      <c r="R773" s="34" t="s">
        <v>498</v>
      </c>
      <c r="S773" s="172">
        <v>1</v>
      </c>
    </row>
    <row r="774" spans="1:20" ht="31" x14ac:dyDescent="0.35">
      <c r="A774" s="11">
        <f t="shared" si="113"/>
        <v>5</v>
      </c>
      <c r="B774" s="110">
        <v>5923</v>
      </c>
      <c r="C774" s="46" t="s">
        <v>652</v>
      </c>
      <c r="D774" s="124" t="s">
        <v>653</v>
      </c>
      <c r="E774" s="19" t="s">
        <v>185</v>
      </c>
      <c r="F774" s="11" t="s">
        <v>186</v>
      </c>
      <c r="G774" s="22">
        <v>16559.099999999999</v>
      </c>
      <c r="H774" s="22">
        <v>10217.4</v>
      </c>
      <c r="I774" s="26">
        <v>753</v>
      </c>
      <c r="J774" s="19">
        <f>'Форма 2'!I2624</f>
        <v>5200209</v>
      </c>
      <c r="K774" s="22">
        <v>0</v>
      </c>
      <c r="L774" s="22">
        <v>0</v>
      </c>
      <c r="M774" s="22">
        <v>0</v>
      </c>
      <c r="N774" s="22">
        <f t="shared" si="112"/>
        <v>5200209</v>
      </c>
      <c r="O774" s="22">
        <v>0</v>
      </c>
      <c r="P774" s="22">
        <f t="shared" si="111"/>
        <v>508.96</v>
      </c>
      <c r="Q774" s="19">
        <f>'Форма 2'!K2624</f>
        <v>519.69000000000005</v>
      </c>
      <c r="R774" s="34" t="s">
        <v>498</v>
      </c>
      <c r="S774" s="172">
        <v>1</v>
      </c>
    </row>
    <row r="775" spans="1:20" x14ac:dyDescent="0.35">
      <c r="A775" s="11">
        <f t="shared" si="113"/>
        <v>6</v>
      </c>
      <c r="B775" s="11">
        <v>5941</v>
      </c>
      <c r="C775" s="46" t="s">
        <v>197</v>
      </c>
      <c r="D775" s="11">
        <v>1957</v>
      </c>
      <c r="E775" s="124" t="s">
        <v>75</v>
      </c>
      <c r="F775" s="124" t="s">
        <v>158</v>
      </c>
      <c r="G775" s="22">
        <v>904.8</v>
      </c>
      <c r="H775" s="22">
        <v>527.29999999999995</v>
      </c>
      <c r="I775" s="26">
        <v>22</v>
      </c>
      <c r="J775" s="19">
        <f>'Форма 2'!I2634</f>
        <v>3647861.4</v>
      </c>
      <c r="K775" s="22">
        <v>0</v>
      </c>
      <c r="L775" s="22">
        <v>0</v>
      </c>
      <c r="M775" s="22">
        <v>0</v>
      </c>
      <c r="N775" s="22">
        <f t="shared" si="112"/>
        <v>3647861.4</v>
      </c>
      <c r="O775" s="22">
        <v>0</v>
      </c>
      <c r="P775" s="22">
        <f t="shared" si="111"/>
        <v>6918</v>
      </c>
      <c r="Q775" s="19">
        <f>'Форма 2'!K2634</f>
        <v>7066</v>
      </c>
      <c r="R775" s="34" t="s">
        <v>498</v>
      </c>
      <c r="S775" s="172">
        <v>1</v>
      </c>
    </row>
    <row r="776" spans="1:20" x14ac:dyDescent="0.35">
      <c r="A776" s="11">
        <f t="shared" si="113"/>
        <v>7</v>
      </c>
      <c r="B776" s="110">
        <v>6143</v>
      </c>
      <c r="C776" s="46" t="s">
        <v>654</v>
      </c>
      <c r="D776" s="124">
        <v>1954</v>
      </c>
      <c r="E776" s="118" t="s">
        <v>509</v>
      </c>
      <c r="F776" s="124" t="s">
        <v>155</v>
      </c>
      <c r="G776" s="22">
        <v>2169.6999999999998</v>
      </c>
      <c r="H776" s="22">
        <v>1897.7</v>
      </c>
      <c r="I776" s="26">
        <v>76</v>
      </c>
      <c r="J776" s="19">
        <f>'Форма 2'!I2637</f>
        <v>540844.5</v>
      </c>
      <c r="K776" s="22">
        <v>0</v>
      </c>
      <c r="L776" s="22">
        <v>0</v>
      </c>
      <c r="M776" s="22">
        <v>0</v>
      </c>
      <c r="N776" s="22">
        <f t="shared" si="112"/>
        <v>540844.5</v>
      </c>
      <c r="O776" s="22">
        <v>0</v>
      </c>
      <c r="P776" s="22">
        <f t="shared" si="111"/>
        <v>285</v>
      </c>
      <c r="Q776" s="19">
        <f>'Форма 2'!K2637</f>
        <v>285</v>
      </c>
      <c r="R776" s="34" t="s">
        <v>498</v>
      </c>
      <c r="S776" s="172">
        <v>1</v>
      </c>
    </row>
    <row r="777" spans="1:20" x14ac:dyDescent="0.35">
      <c r="A777" s="11">
        <f t="shared" si="113"/>
        <v>8</v>
      </c>
      <c r="B777" s="110">
        <v>6248</v>
      </c>
      <c r="C777" s="46" t="s">
        <v>510</v>
      </c>
      <c r="D777" s="124">
        <v>1951</v>
      </c>
      <c r="E777" s="118" t="s">
        <v>75</v>
      </c>
      <c r="F777" s="124" t="s">
        <v>158</v>
      </c>
      <c r="G777" s="22">
        <v>955.7</v>
      </c>
      <c r="H777" s="22">
        <v>526.4</v>
      </c>
      <c r="I777" s="26">
        <v>23</v>
      </c>
      <c r="J777" s="19">
        <f>'Форма 2'!I2640</f>
        <v>3641635.2</v>
      </c>
      <c r="K777" s="22">
        <v>0</v>
      </c>
      <c r="L777" s="22">
        <v>0</v>
      </c>
      <c r="M777" s="22">
        <v>0</v>
      </c>
      <c r="N777" s="22">
        <f t="shared" si="112"/>
        <v>3641635.2</v>
      </c>
      <c r="O777" s="22">
        <v>0</v>
      </c>
      <c r="P777" s="22">
        <f t="shared" si="111"/>
        <v>6918</v>
      </c>
      <c r="Q777" s="19">
        <f>'Форма 2'!K2640</f>
        <v>7066</v>
      </c>
      <c r="R777" s="34" t="s">
        <v>498</v>
      </c>
      <c r="S777" s="172">
        <v>1</v>
      </c>
    </row>
    <row r="778" spans="1:20" x14ac:dyDescent="0.35">
      <c r="A778" s="11">
        <f t="shared" si="113"/>
        <v>9</v>
      </c>
      <c r="B778" s="110">
        <v>6250</v>
      </c>
      <c r="C778" s="46" t="s">
        <v>511</v>
      </c>
      <c r="D778" s="124">
        <v>1951</v>
      </c>
      <c r="E778" s="118" t="s">
        <v>75</v>
      </c>
      <c r="F778" s="124" t="s">
        <v>158</v>
      </c>
      <c r="G778" s="22">
        <v>950.8</v>
      </c>
      <c r="H778" s="22">
        <v>520.9</v>
      </c>
      <c r="I778" s="26">
        <v>21</v>
      </c>
      <c r="J778" s="19">
        <f>'Форма 2'!I2643</f>
        <v>3603586.2</v>
      </c>
      <c r="K778" s="22">
        <v>0</v>
      </c>
      <c r="L778" s="22">
        <v>0</v>
      </c>
      <c r="M778" s="22">
        <v>0</v>
      </c>
      <c r="N778" s="22">
        <f t="shared" si="112"/>
        <v>3603586.2</v>
      </c>
      <c r="O778" s="22">
        <v>0</v>
      </c>
      <c r="P778" s="22">
        <f t="shared" si="111"/>
        <v>6918</v>
      </c>
      <c r="Q778" s="19">
        <f>'Форма 2'!K2643</f>
        <v>7066</v>
      </c>
      <c r="R778" s="34" t="s">
        <v>498</v>
      </c>
      <c r="S778" s="172">
        <v>1</v>
      </c>
    </row>
    <row r="779" spans="1:20" x14ac:dyDescent="0.35">
      <c r="A779" s="11">
        <f t="shared" si="113"/>
        <v>10</v>
      </c>
      <c r="B779" s="110">
        <v>6271</v>
      </c>
      <c r="C779" s="46" t="s">
        <v>512</v>
      </c>
      <c r="D779" s="124">
        <v>1953</v>
      </c>
      <c r="E779" s="19" t="s">
        <v>75</v>
      </c>
      <c r="F779" s="11" t="s">
        <v>158</v>
      </c>
      <c r="G779" s="22">
        <v>1600.5</v>
      </c>
      <c r="H779" s="22">
        <v>1461</v>
      </c>
      <c r="I779" s="26">
        <v>65</v>
      </c>
      <c r="J779" s="19">
        <f>'Форма 2'!I2646</f>
        <v>6762969</v>
      </c>
      <c r="K779" s="22">
        <v>0</v>
      </c>
      <c r="L779" s="22">
        <v>0</v>
      </c>
      <c r="M779" s="22">
        <v>0</v>
      </c>
      <c r="N779" s="22">
        <f t="shared" si="112"/>
        <v>6762969</v>
      </c>
      <c r="O779" s="22">
        <v>0</v>
      </c>
      <c r="P779" s="22">
        <f t="shared" si="111"/>
        <v>4629</v>
      </c>
      <c r="Q779" s="19">
        <f>'Форма 2'!K2646</f>
        <v>4728</v>
      </c>
      <c r="R779" s="34" t="s">
        <v>498</v>
      </c>
      <c r="S779" s="172">
        <v>1</v>
      </c>
    </row>
    <row r="780" spans="1:20" x14ac:dyDescent="0.35">
      <c r="A780" s="11">
        <f t="shared" si="113"/>
        <v>11</v>
      </c>
      <c r="B780" s="11">
        <v>6273</v>
      </c>
      <c r="C780" s="46" t="s">
        <v>655</v>
      </c>
      <c r="D780" s="11">
        <v>1953</v>
      </c>
      <c r="E780" s="124" t="s">
        <v>75</v>
      </c>
      <c r="F780" s="124" t="s">
        <v>155</v>
      </c>
      <c r="G780" s="22">
        <v>1891.2</v>
      </c>
      <c r="H780" s="22">
        <v>1500.8</v>
      </c>
      <c r="I780" s="26">
        <v>76</v>
      </c>
      <c r="J780" s="19">
        <f>'Форма 2'!I2649</f>
        <v>267142.40000000002</v>
      </c>
      <c r="K780" s="22">
        <v>0</v>
      </c>
      <c r="L780" s="22">
        <v>0</v>
      </c>
      <c r="M780" s="22">
        <v>0</v>
      </c>
      <c r="N780" s="22">
        <f>J780-K780-L780-M780-O780</f>
        <v>267142.40000000002</v>
      </c>
      <c r="O780" s="22">
        <v>0</v>
      </c>
      <c r="P780" s="22">
        <f>J780/H780</f>
        <v>178</v>
      </c>
      <c r="Q780" s="19">
        <f>'Форма 2'!K2649</f>
        <v>178</v>
      </c>
      <c r="R780" s="34" t="s">
        <v>498</v>
      </c>
      <c r="S780" s="172">
        <v>1</v>
      </c>
    </row>
    <row r="781" spans="1:20" s="33" customFormat="1" x14ac:dyDescent="0.35">
      <c r="A781" s="11">
        <f t="shared" si="113"/>
        <v>12</v>
      </c>
      <c r="B781" s="110">
        <v>6282</v>
      </c>
      <c r="C781" s="46" t="s">
        <v>513</v>
      </c>
      <c r="D781" s="124">
        <v>1951</v>
      </c>
      <c r="E781" s="118" t="s">
        <v>75</v>
      </c>
      <c r="F781" s="124" t="s">
        <v>158</v>
      </c>
      <c r="G781" s="22">
        <v>960.4</v>
      </c>
      <c r="H781" s="22">
        <v>532.9</v>
      </c>
      <c r="I781" s="26">
        <v>21</v>
      </c>
      <c r="J781" s="19">
        <f>'Форма 2'!I2651</f>
        <v>3686602.2</v>
      </c>
      <c r="K781" s="22">
        <v>0</v>
      </c>
      <c r="L781" s="22">
        <v>0</v>
      </c>
      <c r="M781" s="22">
        <v>0</v>
      </c>
      <c r="N781" s="22">
        <f t="shared" si="112"/>
        <v>3686602.2</v>
      </c>
      <c r="O781" s="22">
        <v>0</v>
      </c>
      <c r="P781" s="22">
        <f t="shared" si="111"/>
        <v>6918</v>
      </c>
      <c r="Q781" s="19">
        <f>'Форма 2'!K2651</f>
        <v>7066</v>
      </c>
      <c r="R781" s="34" t="s">
        <v>498</v>
      </c>
      <c r="S781" s="172">
        <v>1</v>
      </c>
      <c r="T781" s="24"/>
    </row>
    <row r="782" spans="1:20" s="33" customFormat="1" x14ac:dyDescent="0.35">
      <c r="A782" s="11">
        <f t="shared" si="113"/>
        <v>13</v>
      </c>
      <c r="B782" s="110">
        <v>6341</v>
      </c>
      <c r="C782" s="46" t="s">
        <v>514</v>
      </c>
      <c r="D782" s="124">
        <v>1951</v>
      </c>
      <c r="E782" s="118" t="s">
        <v>75</v>
      </c>
      <c r="F782" s="124" t="s">
        <v>158</v>
      </c>
      <c r="G782" s="22">
        <v>1619.6</v>
      </c>
      <c r="H782" s="22">
        <v>884.5</v>
      </c>
      <c r="I782" s="26">
        <v>46</v>
      </c>
      <c r="J782" s="22">
        <f>'Форма 2'!I2654</f>
        <v>6118971</v>
      </c>
      <c r="K782" s="22">
        <v>0</v>
      </c>
      <c r="L782" s="22">
        <v>0</v>
      </c>
      <c r="M782" s="22">
        <v>0</v>
      </c>
      <c r="N782" s="22">
        <f t="shared" si="112"/>
        <v>6118971</v>
      </c>
      <c r="O782" s="22">
        <v>0</v>
      </c>
      <c r="P782" s="22">
        <f t="shared" si="111"/>
        <v>6918</v>
      </c>
      <c r="Q782" s="22">
        <f>'Форма 2'!K2654</f>
        <v>7066</v>
      </c>
      <c r="R782" s="34" t="s">
        <v>498</v>
      </c>
      <c r="S782" s="172">
        <v>1</v>
      </c>
      <c r="T782" s="24"/>
    </row>
    <row r="783" spans="1:20" x14ac:dyDescent="0.35">
      <c r="A783" s="11">
        <f t="shared" si="113"/>
        <v>14</v>
      </c>
      <c r="B783" s="110">
        <v>6345</v>
      </c>
      <c r="C783" s="46" t="s">
        <v>515</v>
      </c>
      <c r="D783" s="124">
        <v>1951</v>
      </c>
      <c r="E783" s="118" t="s">
        <v>75</v>
      </c>
      <c r="F783" s="124" t="s">
        <v>158</v>
      </c>
      <c r="G783" s="22">
        <v>977.4</v>
      </c>
      <c r="H783" s="22">
        <v>889.8</v>
      </c>
      <c r="I783" s="26">
        <v>37</v>
      </c>
      <c r="J783" s="22">
        <f>'Форма 2'!I2657</f>
        <v>6155636.4000000004</v>
      </c>
      <c r="K783" s="22">
        <v>0</v>
      </c>
      <c r="L783" s="22">
        <v>0</v>
      </c>
      <c r="M783" s="22">
        <v>0</v>
      </c>
      <c r="N783" s="22">
        <f t="shared" si="112"/>
        <v>6155636.4000000004</v>
      </c>
      <c r="O783" s="22">
        <v>0</v>
      </c>
      <c r="P783" s="22">
        <f t="shared" si="111"/>
        <v>6918</v>
      </c>
      <c r="Q783" s="22">
        <f>'Форма 2'!K2657</f>
        <v>7066</v>
      </c>
      <c r="R783" s="34" t="s">
        <v>498</v>
      </c>
      <c r="S783" s="172">
        <v>1</v>
      </c>
    </row>
    <row r="784" spans="1:20" x14ac:dyDescent="0.35">
      <c r="A784" s="11">
        <f t="shared" si="113"/>
        <v>15</v>
      </c>
      <c r="B784" s="110">
        <v>6389</v>
      </c>
      <c r="C784" s="46" t="s">
        <v>517</v>
      </c>
      <c r="D784" s="124">
        <v>1958</v>
      </c>
      <c r="E784" s="118" t="s">
        <v>75</v>
      </c>
      <c r="F784" s="124" t="s">
        <v>486</v>
      </c>
      <c r="G784" s="22">
        <v>4156</v>
      </c>
      <c r="H784" s="22">
        <v>2320</v>
      </c>
      <c r="I784" s="26">
        <v>98</v>
      </c>
      <c r="J784" s="19">
        <f>'Форма 2'!I2660</f>
        <v>7517496</v>
      </c>
      <c r="K784" s="22">
        <v>0</v>
      </c>
      <c r="L784" s="22">
        <v>0</v>
      </c>
      <c r="M784" s="22">
        <v>0</v>
      </c>
      <c r="N784" s="22">
        <f t="shared" si="112"/>
        <v>7517496</v>
      </c>
      <c r="O784" s="22">
        <v>0</v>
      </c>
      <c r="P784" s="22">
        <f t="shared" si="111"/>
        <v>3240.3</v>
      </c>
      <c r="Q784" s="19">
        <f>'Форма 2'!K2660</f>
        <v>4728</v>
      </c>
      <c r="R784" s="34" t="s">
        <v>498</v>
      </c>
      <c r="S784" s="172">
        <v>1</v>
      </c>
    </row>
    <row r="785" spans="1:20" s="190" customFormat="1" x14ac:dyDescent="0.35">
      <c r="A785" s="124">
        <f t="shared" si="113"/>
        <v>16</v>
      </c>
      <c r="B785" s="141">
        <v>6392</v>
      </c>
      <c r="C785" s="46" t="s">
        <v>518</v>
      </c>
      <c r="D785" s="124">
        <v>1958</v>
      </c>
      <c r="E785" s="118" t="s">
        <v>239</v>
      </c>
      <c r="F785" s="124" t="s">
        <v>486</v>
      </c>
      <c r="G785" s="86">
        <v>5405</v>
      </c>
      <c r="H785" s="86">
        <v>2953.7</v>
      </c>
      <c r="I785" s="99">
        <v>91</v>
      </c>
      <c r="J785" s="118">
        <f>'Форма 2'!I2663</f>
        <v>5563884.6900000004</v>
      </c>
      <c r="K785" s="86">
        <v>0</v>
      </c>
      <c r="L785" s="86">
        <v>0</v>
      </c>
      <c r="M785" s="86">
        <v>0</v>
      </c>
      <c r="N785" s="86">
        <f t="shared" si="112"/>
        <v>5563884.6900000004</v>
      </c>
      <c r="O785" s="86">
        <v>0</v>
      </c>
      <c r="P785" s="86">
        <f t="shared" si="111"/>
        <v>1883.7</v>
      </c>
      <c r="Q785" s="118">
        <f>'Форма 2'!K2663</f>
        <v>2749</v>
      </c>
      <c r="R785" s="189" t="s">
        <v>498</v>
      </c>
      <c r="S785" s="183">
        <v>1</v>
      </c>
      <c r="T785" s="24"/>
    </row>
    <row r="786" spans="1:20" x14ac:dyDescent="0.35">
      <c r="A786" s="11">
        <f t="shared" si="113"/>
        <v>17</v>
      </c>
      <c r="B786" s="110">
        <v>6394</v>
      </c>
      <c r="C786" s="46" t="s">
        <v>519</v>
      </c>
      <c r="D786" s="124">
        <v>1958</v>
      </c>
      <c r="E786" s="19" t="s">
        <v>75</v>
      </c>
      <c r="F786" s="11" t="s">
        <v>486</v>
      </c>
      <c r="G786" s="22">
        <v>3388</v>
      </c>
      <c r="H786" s="22">
        <v>2015.8</v>
      </c>
      <c r="I786" s="26">
        <v>90</v>
      </c>
      <c r="J786" s="19">
        <f>'Форма 2'!I2666</f>
        <v>6531796.7400000002</v>
      </c>
      <c r="K786" s="22">
        <v>0</v>
      </c>
      <c r="L786" s="22">
        <v>0</v>
      </c>
      <c r="M786" s="22">
        <v>0</v>
      </c>
      <c r="N786" s="22">
        <f t="shared" si="112"/>
        <v>6531796.7400000002</v>
      </c>
      <c r="O786" s="22">
        <v>0</v>
      </c>
      <c r="P786" s="22">
        <f t="shared" si="111"/>
        <v>3240.3</v>
      </c>
      <c r="Q786" s="19">
        <f>'Форма 2'!K2666</f>
        <v>4728</v>
      </c>
      <c r="R786" s="34" t="s">
        <v>498</v>
      </c>
      <c r="S786" s="172">
        <v>1</v>
      </c>
    </row>
    <row r="787" spans="1:20" x14ac:dyDescent="0.35">
      <c r="A787" s="11">
        <f t="shared" si="113"/>
        <v>18</v>
      </c>
      <c r="B787" s="110">
        <v>6407</v>
      </c>
      <c r="C787" s="46" t="s">
        <v>739</v>
      </c>
      <c r="D787" s="124">
        <v>1978</v>
      </c>
      <c r="E787" s="118" t="s">
        <v>75</v>
      </c>
      <c r="F787" s="124" t="s">
        <v>155</v>
      </c>
      <c r="G787" s="85">
        <v>3604.6</v>
      </c>
      <c r="H787" s="22">
        <v>2722</v>
      </c>
      <c r="I787" s="26">
        <v>103</v>
      </c>
      <c r="J787" s="19">
        <f>'Форма 2'!I2669</f>
        <v>446408</v>
      </c>
      <c r="K787" s="22">
        <v>0</v>
      </c>
      <c r="L787" s="22">
        <v>0</v>
      </c>
      <c r="M787" s="22">
        <v>0</v>
      </c>
      <c r="N787" s="22">
        <f t="shared" si="112"/>
        <v>446408</v>
      </c>
      <c r="O787" s="22">
        <v>0</v>
      </c>
      <c r="P787" s="22">
        <f>J787/H787</f>
        <v>164</v>
      </c>
      <c r="Q787" s="19">
        <f>'Форма 2'!K2669</f>
        <v>164</v>
      </c>
      <c r="R787" s="34" t="s">
        <v>498</v>
      </c>
      <c r="S787" s="172">
        <v>1</v>
      </c>
    </row>
    <row r="788" spans="1:20" x14ac:dyDescent="0.35">
      <c r="A788" s="11">
        <f t="shared" si="113"/>
        <v>19</v>
      </c>
      <c r="B788" s="110">
        <v>6413</v>
      </c>
      <c r="C788" s="46" t="s">
        <v>740</v>
      </c>
      <c r="D788" s="124">
        <v>1980</v>
      </c>
      <c r="E788" s="118" t="s">
        <v>75</v>
      </c>
      <c r="F788" s="124" t="s">
        <v>155</v>
      </c>
      <c r="G788" s="85">
        <v>11003.22</v>
      </c>
      <c r="H788" s="22">
        <v>8338.86</v>
      </c>
      <c r="I788" s="26">
        <v>315</v>
      </c>
      <c r="J788" s="19">
        <f>'Форма 2'!I2671</f>
        <v>1367573.04</v>
      </c>
      <c r="K788" s="22">
        <v>0</v>
      </c>
      <c r="L788" s="22">
        <v>0</v>
      </c>
      <c r="M788" s="22">
        <v>0</v>
      </c>
      <c r="N788" s="22">
        <f t="shared" si="112"/>
        <v>1367573.04</v>
      </c>
      <c r="O788" s="22">
        <v>0</v>
      </c>
      <c r="P788" s="22">
        <f>J788/H788</f>
        <v>164</v>
      </c>
      <c r="Q788" s="19">
        <f>'Форма 2'!K2671</f>
        <v>164</v>
      </c>
      <c r="R788" s="34" t="s">
        <v>498</v>
      </c>
      <c r="S788" s="172">
        <v>1</v>
      </c>
    </row>
    <row r="789" spans="1:20" x14ac:dyDescent="0.35">
      <c r="A789" s="11">
        <f t="shared" si="113"/>
        <v>20</v>
      </c>
      <c r="B789" s="110">
        <v>6447</v>
      </c>
      <c r="C789" s="46" t="s">
        <v>523</v>
      </c>
      <c r="D789" s="124">
        <v>1958</v>
      </c>
      <c r="E789" s="19" t="s">
        <v>75</v>
      </c>
      <c r="F789" s="11" t="s">
        <v>158</v>
      </c>
      <c r="G789" s="22">
        <v>7156</v>
      </c>
      <c r="H789" s="22">
        <v>4297.8</v>
      </c>
      <c r="I789" s="26">
        <v>193</v>
      </c>
      <c r="J789" s="19">
        <f>'Форма 2'!I2673</f>
        <v>19894516.199999999</v>
      </c>
      <c r="K789" s="22">
        <v>0</v>
      </c>
      <c r="L789" s="22">
        <v>0</v>
      </c>
      <c r="M789" s="22">
        <v>0</v>
      </c>
      <c r="N789" s="22">
        <f t="shared" si="112"/>
        <v>19894516.199999999</v>
      </c>
      <c r="O789" s="22">
        <v>0</v>
      </c>
      <c r="P789" s="22">
        <f t="shared" si="111"/>
        <v>4629</v>
      </c>
      <c r="Q789" s="19">
        <f>'Форма 2'!K2673</f>
        <v>4728</v>
      </c>
      <c r="R789" s="34" t="s">
        <v>498</v>
      </c>
      <c r="S789" s="172">
        <v>1</v>
      </c>
    </row>
    <row r="790" spans="1:20" x14ac:dyDescent="0.35">
      <c r="A790" s="11">
        <f t="shared" si="113"/>
        <v>21</v>
      </c>
      <c r="B790" s="110">
        <v>6453</v>
      </c>
      <c r="C790" s="46" t="s">
        <v>525</v>
      </c>
      <c r="D790" s="124">
        <v>1958</v>
      </c>
      <c r="E790" s="19" t="s">
        <v>75</v>
      </c>
      <c r="F790" s="11" t="s">
        <v>158</v>
      </c>
      <c r="G790" s="22">
        <v>5255</v>
      </c>
      <c r="H790" s="22">
        <v>2955.7</v>
      </c>
      <c r="I790" s="26">
        <v>109</v>
      </c>
      <c r="J790" s="19">
        <f>'Форма 2'!I2676</f>
        <v>13681935.300000001</v>
      </c>
      <c r="K790" s="22">
        <v>0</v>
      </c>
      <c r="L790" s="22">
        <v>0</v>
      </c>
      <c r="M790" s="22">
        <v>0</v>
      </c>
      <c r="N790" s="22">
        <f t="shared" si="112"/>
        <v>13681935.300000001</v>
      </c>
      <c r="O790" s="22">
        <v>0</v>
      </c>
      <c r="P790" s="22">
        <f t="shared" si="111"/>
        <v>4629</v>
      </c>
      <c r="Q790" s="19">
        <f>'Форма 2'!K2676</f>
        <v>4728</v>
      </c>
      <c r="R790" s="34" t="s">
        <v>498</v>
      </c>
      <c r="S790" s="172">
        <v>1</v>
      </c>
    </row>
    <row r="791" spans="1:20" x14ac:dyDescent="0.35">
      <c r="A791" s="11">
        <f t="shared" si="113"/>
        <v>22</v>
      </c>
      <c r="B791" s="110">
        <v>6461</v>
      </c>
      <c r="C791" s="46" t="s">
        <v>526</v>
      </c>
      <c r="D791" s="124">
        <v>1955</v>
      </c>
      <c r="E791" s="19" t="s">
        <v>75</v>
      </c>
      <c r="F791" s="11" t="s">
        <v>158</v>
      </c>
      <c r="G791" s="22">
        <v>975</v>
      </c>
      <c r="H791" s="22">
        <v>483.4</v>
      </c>
      <c r="I791" s="26">
        <v>38</v>
      </c>
      <c r="J791" s="19">
        <f>'Форма 2'!I2679</f>
        <v>3344161.2</v>
      </c>
      <c r="K791" s="22">
        <v>0</v>
      </c>
      <c r="L791" s="22">
        <v>0</v>
      </c>
      <c r="M791" s="22">
        <v>0</v>
      </c>
      <c r="N791" s="22">
        <f t="shared" si="112"/>
        <v>3344161.2</v>
      </c>
      <c r="O791" s="22">
        <v>0</v>
      </c>
      <c r="P791" s="22">
        <f t="shared" si="111"/>
        <v>6918</v>
      </c>
      <c r="Q791" s="19">
        <f>'Форма 2'!K2679</f>
        <v>7066</v>
      </c>
      <c r="R791" s="34" t="s">
        <v>498</v>
      </c>
      <c r="S791" s="172">
        <v>1</v>
      </c>
    </row>
    <row r="792" spans="1:20" x14ac:dyDescent="0.35">
      <c r="A792" s="11">
        <f t="shared" si="113"/>
        <v>23</v>
      </c>
      <c r="B792" s="11">
        <v>6476</v>
      </c>
      <c r="C792" s="46" t="s">
        <v>230</v>
      </c>
      <c r="D792" s="11">
        <v>1957</v>
      </c>
      <c r="E792" s="11" t="s">
        <v>75</v>
      </c>
      <c r="F792" s="11" t="s">
        <v>158</v>
      </c>
      <c r="G792" s="22">
        <v>905.5</v>
      </c>
      <c r="H792" s="22">
        <v>525</v>
      </c>
      <c r="I792" s="26">
        <v>24</v>
      </c>
      <c r="J792" s="19">
        <f>'Форма 2'!I2682</f>
        <v>3631950</v>
      </c>
      <c r="K792" s="22">
        <v>0</v>
      </c>
      <c r="L792" s="22">
        <v>0</v>
      </c>
      <c r="M792" s="22">
        <v>0</v>
      </c>
      <c r="N792" s="22">
        <f t="shared" si="112"/>
        <v>3631950</v>
      </c>
      <c r="O792" s="22">
        <v>0</v>
      </c>
      <c r="P792" s="22">
        <f t="shared" si="111"/>
        <v>6918</v>
      </c>
      <c r="Q792" s="19">
        <f>'Форма 2'!K2682</f>
        <v>7066</v>
      </c>
      <c r="R792" s="34" t="s">
        <v>498</v>
      </c>
      <c r="S792" s="172">
        <v>1</v>
      </c>
    </row>
    <row r="793" spans="1:20" x14ac:dyDescent="0.35">
      <c r="A793" s="11">
        <f t="shared" si="113"/>
        <v>24</v>
      </c>
      <c r="B793" s="110">
        <v>6490</v>
      </c>
      <c r="C793" s="46" t="s">
        <v>656</v>
      </c>
      <c r="D793" s="124">
        <v>1966</v>
      </c>
      <c r="E793" s="118" t="s">
        <v>75</v>
      </c>
      <c r="F793" s="124" t="s">
        <v>155</v>
      </c>
      <c r="G793" s="85">
        <v>5155.5</v>
      </c>
      <c r="H793" s="22">
        <v>3518.3</v>
      </c>
      <c r="I793" s="26">
        <v>190</v>
      </c>
      <c r="J793" s="19">
        <f>'Форма 2'!I2685</f>
        <v>577001.19999999995</v>
      </c>
      <c r="K793" s="22">
        <v>0</v>
      </c>
      <c r="L793" s="22">
        <v>0</v>
      </c>
      <c r="M793" s="22">
        <v>0</v>
      </c>
      <c r="N793" s="22">
        <f>J793-K793-L793-M793-O793</f>
        <v>577001.19999999995</v>
      </c>
      <c r="O793" s="22">
        <v>0</v>
      </c>
      <c r="P793" s="22">
        <f>J793/H793</f>
        <v>164</v>
      </c>
      <c r="Q793" s="19">
        <f>'Форма 2'!K2685</f>
        <v>164</v>
      </c>
      <c r="R793" s="34" t="s">
        <v>498</v>
      </c>
      <c r="S793" s="172">
        <v>1</v>
      </c>
    </row>
    <row r="794" spans="1:20" x14ac:dyDescent="0.35">
      <c r="A794" s="11">
        <f t="shared" si="113"/>
        <v>25</v>
      </c>
      <c r="B794" s="11">
        <v>6550</v>
      </c>
      <c r="C794" s="46" t="s">
        <v>232</v>
      </c>
      <c r="D794" s="11">
        <v>1957</v>
      </c>
      <c r="E794" s="11" t="s">
        <v>233</v>
      </c>
      <c r="F794" s="11" t="s">
        <v>486</v>
      </c>
      <c r="G794" s="22">
        <v>531.6</v>
      </c>
      <c r="H794" s="22">
        <v>485.6</v>
      </c>
      <c r="I794" s="26">
        <v>27</v>
      </c>
      <c r="J794" s="19">
        <f>'Форма 2'!I2687</f>
        <v>1740730.32</v>
      </c>
      <c r="K794" s="22">
        <v>0</v>
      </c>
      <c r="L794" s="22">
        <v>0</v>
      </c>
      <c r="M794" s="22">
        <v>0</v>
      </c>
      <c r="N794" s="22">
        <f>J794-K794-L794-M794-O794</f>
        <v>1740730.32</v>
      </c>
      <c r="O794" s="22">
        <v>0</v>
      </c>
      <c r="P794" s="22">
        <f>J794/H794</f>
        <v>3584.7</v>
      </c>
      <c r="Q794" s="19">
        <f>'Форма 2'!K2687</f>
        <v>5231</v>
      </c>
      <c r="R794" s="34" t="s">
        <v>498</v>
      </c>
      <c r="S794" s="172">
        <v>1</v>
      </c>
    </row>
    <row r="795" spans="1:20" x14ac:dyDescent="0.35">
      <c r="A795" s="11">
        <f t="shared" si="113"/>
        <v>26</v>
      </c>
      <c r="B795" s="11">
        <v>6551</v>
      </c>
      <c r="C795" s="46" t="s">
        <v>234</v>
      </c>
      <c r="D795" s="11">
        <v>1957</v>
      </c>
      <c r="E795" s="124" t="s">
        <v>233</v>
      </c>
      <c r="F795" s="124" t="s">
        <v>486</v>
      </c>
      <c r="G795" s="22">
        <v>531.6</v>
      </c>
      <c r="H795" s="22">
        <v>476</v>
      </c>
      <c r="I795" s="26">
        <v>23</v>
      </c>
      <c r="J795" s="19">
        <f>'Форма 2'!I2690</f>
        <v>1706317.2</v>
      </c>
      <c r="K795" s="22">
        <v>0</v>
      </c>
      <c r="L795" s="22">
        <v>0</v>
      </c>
      <c r="M795" s="22">
        <v>0</v>
      </c>
      <c r="N795" s="22">
        <f>J795-K795-L795-M795-O795</f>
        <v>1706317.2</v>
      </c>
      <c r="O795" s="22">
        <v>0</v>
      </c>
      <c r="P795" s="22">
        <f>J795/H795</f>
        <v>3584.7</v>
      </c>
      <c r="Q795" s="19">
        <f>'Форма 2'!K2690</f>
        <v>5231</v>
      </c>
      <c r="R795" s="34" t="s">
        <v>498</v>
      </c>
      <c r="S795" s="172">
        <v>1</v>
      </c>
    </row>
    <row r="796" spans="1:20" x14ac:dyDescent="0.35">
      <c r="A796" s="231" t="s">
        <v>46</v>
      </c>
      <c r="B796" s="231"/>
      <c r="C796" s="231"/>
      <c r="D796" s="23" t="s">
        <v>13</v>
      </c>
      <c r="E796" s="22" t="s">
        <v>13</v>
      </c>
      <c r="F796" s="22" t="s">
        <v>13</v>
      </c>
      <c r="G796" s="22">
        <f>SUM(G797:G808)</f>
        <v>44305.1</v>
      </c>
      <c r="H796" s="22">
        <f t="shared" ref="H796:O796" si="114">SUM(H797:H808)</f>
        <v>36727.660000000003</v>
      </c>
      <c r="I796" s="26">
        <f t="shared" si="114"/>
        <v>1803</v>
      </c>
      <c r="J796" s="22">
        <f t="shared" si="114"/>
        <v>51951736.340000004</v>
      </c>
      <c r="K796" s="22">
        <f t="shared" si="114"/>
        <v>0</v>
      </c>
      <c r="L796" s="22">
        <f t="shared" si="114"/>
        <v>0</v>
      </c>
      <c r="M796" s="22">
        <f t="shared" si="114"/>
        <v>0</v>
      </c>
      <c r="N796" s="22">
        <f t="shared" si="114"/>
        <v>51951736.340000004</v>
      </c>
      <c r="O796" s="22">
        <f t="shared" si="114"/>
        <v>0</v>
      </c>
      <c r="P796" s="22" t="s">
        <v>13</v>
      </c>
      <c r="Q796" s="22" t="s">
        <v>13</v>
      </c>
      <c r="R796" s="22" t="s">
        <v>13</v>
      </c>
      <c r="S796" s="26" t="s">
        <v>13</v>
      </c>
    </row>
    <row r="797" spans="1:20" s="190" customFormat="1" ht="31" x14ac:dyDescent="0.35">
      <c r="A797" s="146">
        <v>1</v>
      </c>
      <c r="B797" s="123">
        <v>5086</v>
      </c>
      <c r="C797" s="117" t="s">
        <v>657</v>
      </c>
      <c r="D797" s="124">
        <v>1981</v>
      </c>
      <c r="E797" s="124" t="s">
        <v>371</v>
      </c>
      <c r="F797" s="124" t="s">
        <v>155</v>
      </c>
      <c r="G797" s="186">
        <v>3753.6</v>
      </c>
      <c r="H797" s="86">
        <v>3129.5</v>
      </c>
      <c r="I797" s="192">
        <v>118</v>
      </c>
      <c r="J797" s="86">
        <f>'Форма 2'!I2694</f>
        <v>500720</v>
      </c>
      <c r="K797" s="187">
        <v>0</v>
      </c>
      <c r="L797" s="187">
        <v>0</v>
      </c>
      <c r="M797" s="187">
        <v>0</v>
      </c>
      <c r="N797" s="86">
        <f>J797-K797-L797-M797-O797</f>
        <v>500720</v>
      </c>
      <c r="O797" s="86">
        <v>0</v>
      </c>
      <c r="P797" s="86">
        <f t="shared" ref="P797:P808" si="115">J797/H797</f>
        <v>160</v>
      </c>
      <c r="Q797" s="118">
        <f>'Форма 2'!K2694</f>
        <v>160</v>
      </c>
      <c r="R797" s="124" t="s">
        <v>498</v>
      </c>
      <c r="S797" s="124">
        <v>1</v>
      </c>
      <c r="T797" s="24"/>
    </row>
    <row r="798" spans="1:20" s="190" customFormat="1" ht="31" x14ac:dyDescent="0.35">
      <c r="A798" s="146">
        <f t="shared" ref="A798:A805" si="116">A797+1</f>
        <v>2</v>
      </c>
      <c r="B798" s="123">
        <v>5087</v>
      </c>
      <c r="C798" s="117" t="s">
        <v>658</v>
      </c>
      <c r="D798" s="124">
        <v>1978</v>
      </c>
      <c r="E798" s="124" t="s">
        <v>371</v>
      </c>
      <c r="F798" s="124" t="s">
        <v>155</v>
      </c>
      <c r="G798" s="186">
        <v>3043.3</v>
      </c>
      <c r="H798" s="86">
        <v>2620.1999999999998</v>
      </c>
      <c r="I798" s="192">
        <v>179</v>
      </c>
      <c r="J798" s="86">
        <f>'Форма 2'!I2699</f>
        <v>487357.2</v>
      </c>
      <c r="K798" s="187">
        <v>0</v>
      </c>
      <c r="L798" s="187">
        <v>0</v>
      </c>
      <c r="M798" s="187">
        <v>0</v>
      </c>
      <c r="N798" s="86">
        <f t="shared" ref="N798:N808" si="117">J798-K798-L798-M798-O798</f>
        <v>487357.2</v>
      </c>
      <c r="O798" s="86">
        <v>0</v>
      </c>
      <c r="P798" s="86">
        <f t="shared" si="115"/>
        <v>186</v>
      </c>
      <c r="Q798" s="118">
        <f>'Форма 2'!K2699</f>
        <v>186</v>
      </c>
      <c r="R798" s="124" t="s">
        <v>498</v>
      </c>
      <c r="S798" s="124">
        <v>1</v>
      </c>
      <c r="T798" s="24"/>
    </row>
    <row r="799" spans="1:20" s="190" customFormat="1" ht="31" x14ac:dyDescent="0.35">
      <c r="A799" s="146">
        <f t="shared" si="116"/>
        <v>3</v>
      </c>
      <c r="B799" s="120">
        <v>5098</v>
      </c>
      <c r="C799" s="40" t="s">
        <v>530</v>
      </c>
      <c r="D799" s="41">
        <v>1972</v>
      </c>
      <c r="E799" s="41" t="s">
        <v>809</v>
      </c>
      <c r="F799" s="41" t="s">
        <v>158</v>
      </c>
      <c r="G799" s="186">
        <v>396.5</v>
      </c>
      <c r="H799" s="86">
        <v>374.5</v>
      </c>
      <c r="I799" s="192">
        <v>23</v>
      </c>
      <c r="J799" s="86">
        <f>'Форма 2'!I2704</f>
        <v>2998621.5</v>
      </c>
      <c r="K799" s="187">
        <v>0</v>
      </c>
      <c r="L799" s="187">
        <v>0</v>
      </c>
      <c r="M799" s="187">
        <v>0</v>
      </c>
      <c r="N799" s="86">
        <f t="shared" si="117"/>
        <v>2998621.5</v>
      </c>
      <c r="O799" s="86">
        <v>0</v>
      </c>
      <c r="P799" s="86">
        <f t="shared" si="115"/>
        <v>8007</v>
      </c>
      <c r="Q799" s="86">
        <f>'Форма 2'!K2704</f>
        <v>8007</v>
      </c>
      <c r="R799" s="189" t="s">
        <v>498</v>
      </c>
      <c r="S799" s="124">
        <v>1</v>
      </c>
      <c r="T799" s="24"/>
    </row>
    <row r="800" spans="1:20" s="190" customFormat="1" ht="31" x14ac:dyDescent="0.35">
      <c r="A800" s="146">
        <f t="shared" si="116"/>
        <v>4</v>
      </c>
      <c r="B800" s="120">
        <v>5099</v>
      </c>
      <c r="C800" s="40" t="s">
        <v>531</v>
      </c>
      <c r="D800" s="41">
        <v>1972</v>
      </c>
      <c r="E800" s="41" t="s">
        <v>809</v>
      </c>
      <c r="F800" s="41" t="s">
        <v>158</v>
      </c>
      <c r="G800" s="186">
        <v>393.3</v>
      </c>
      <c r="H800" s="86">
        <v>368.8</v>
      </c>
      <c r="I800" s="192">
        <v>18</v>
      </c>
      <c r="J800" s="86">
        <f>'Форма 2'!I2715</f>
        <v>2952981.6</v>
      </c>
      <c r="K800" s="187">
        <v>0</v>
      </c>
      <c r="L800" s="187">
        <v>0</v>
      </c>
      <c r="M800" s="187">
        <v>0</v>
      </c>
      <c r="N800" s="86">
        <f t="shared" si="117"/>
        <v>2952981.6</v>
      </c>
      <c r="O800" s="86">
        <v>0</v>
      </c>
      <c r="P800" s="86">
        <f t="shared" si="115"/>
        <v>8007</v>
      </c>
      <c r="Q800" s="86">
        <f>'Форма 2'!K2715</f>
        <v>8007</v>
      </c>
      <c r="R800" s="189" t="s">
        <v>498</v>
      </c>
      <c r="S800" s="124">
        <v>1</v>
      </c>
      <c r="T800" s="24"/>
    </row>
    <row r="801" spans="1:20" x14ac:dyDescent="0.35">
      <c r="A801" s="146">
        <f t="shared" si="116"/>
        <v>5</v>
      </c>
      <c r="B801" s="123">
        <v>5100</v>
      </c>
      <c r="C801" s="40" t="s">
        <v>532</v>
      </c>
      <c r="D801" s="42">
        <v>1974</v>
      </c>
      <c r="E801" s="42" t="s">
        <v>75</v>
      </c>
      <c r="F801" s="41" t="s">
        <v>486</v>
      </c>
      <c r="G801" s="25">
        <v>3099.7</v>
      </c>
      <c r="H801" s="22">
        <v>2705.3</v>
      </c>
      <c r="I801" s="100">
        <v>139</v>
      </c>
      <c r="J801" s="22">
        <f>'Форма 2'!I2726</f>
        <v>5859950.3300000001</v>
      </c>
      <c r="K801" s="48">
        <v>0</v>
      </c>
      <c r="L801" s="48">
        <v>0</v>
      </c>
      <c r="M801" s="48">
        <v>0</v>
      </c>
      <c r="N801" s="22">
        <f t="shared" si="117"/>
        <v>5859950.3300000001</v>
      </c>
      <c r="O801" s="22">
        <v>0</v>
      </c>
      <c r="P801" s="22">
        <f t="shared" si="115"/>
        <v>2166.1</v>
      </c>
      <c r="Q801" s="22">
        <f>'Форма 2'!K2726</f>
        <v>3067</v>
      </c>
      <c r="R801" s="34" t="s">
        <v>498</v>
      </c>
      <c r="S801" s="11">
        <v>1</v>
      </c>
    </row>
    <row r="802" spans="1:20" s="190" customFormat="1" ht="31" x14ac:dyDescent="0.35">
      <c r="A802" s="146">
        <f t="shared" si="116"/>
        <v>6</v>
      </c>
      <c r="B802" s="123">
        <v>5102</v>
      </c>
      <c r="C802" s="40" t="s">
        <v>533</v>
      </c>
      <c r="D802" s="41">
        <v>1973</v>
      </c>
      <c r="E802" s="124" t="s">
        <v>371</v>
      </c>
      <c r="F802" s="41" t="s">
        <v>486</v>
      </c>
      <c r="G802" s="186">
        <v>4103.3</v>
      </c>
      <c r="H802" s="86">
        <v>3535.3</v>
      </c>
      <c r="I802" s="192">
        <v>183</v>
      </c>
      <c r="J802" s="86">
        <f>'Форма 2'!I2729</f>
        <v>9322232.5700000003</v>
      </c>
      <c r="K802" s="187">
        <v>0</v>
      </c>
      <c r="L802" s="187">
        <v>0</v>
      </c>
      <c r="M802" s="187">
        <v>0</v>
      </c>
      <c r="N802" s="86">
        <f t="shared" si="117"/>
        <v>9322232.5700000003</v>
      </c>
      <c r="O802" s="86">
        <v>0</v>
      </c>
      <c r="P802" s="86">
        <f t="shared" si="115"/>
        <v>2636.9</v>
      </c>
      <c r="Q802" s="86">
        <f>'Форма 2'!K2729</f>
        <v>3767</v>
      </c>
      <c r="R802" s="189" t="s">
        <v>498</v>
      </c>
      <c r="S802" s="124">
        <v>1</v>
      </c>
      <c r="T802" s="24"/>
    </row>
    <row r="803" spans="1:20" x14ac:dyDescent="0.35">
      <c r="A803" s="146">
        <f t="shared" si="116"/>
        <v>7</v>
      </c>
      <c r="B803" s="123">
        <v>5107</v>
      </c>
      <c r="C803" s="40" t="s">
        <v>535</v>
      </c>
      <c r="D803" s="42">
        <v>1972</v>
      </c>
      <c r="E803" s="42" t="s">
        <v>75</v>
      </c>
      <c r="F803" s="42" t="s">
        <v>158</v>
      </c>
      <c r="G803" s="25">
        <v>804.2</v>
      </c>
      <c r="H803" s="22">
        <v>743</v>
      </c>
      <c r="I803" s="100">
        <v>43</v>
      </c>
      <c r="J803" s="22">
        <f>'Форма 2'!I2738</f>
        <v>5601477</v>
      </c>
      <c r="K803" s="48">
        <v>0</v>
      </c>
      <c r="L803" s="48">
        <v>0</v>
      </c>
      <c r="M803" s="48">
        <v>0</v>
      </c>
      <c r="N803" s="22">
        <f t="shared" si="117"/>
        <v>5601477</v>
      </c>
      <c r="O803" s="22">
        <v>0</v>
      </c>
      <c r="P803" s="22">
        <f t="shared" si="115"/>
        <v>7539</v>
      </c>
      <c r="Q803" s="22">
        <f>'Форма 2'!K2738</f>
        <v>7539</v>
      </c>
      <c r="R803" s="34" t="s">
        <v>498</v>
      </c>
      <c r="S803" s="11">
        <v>1</v>
      </c>
    </row>
    <row r="804" spans="1:20" x14ac:dyDescent="0.35">
      <c r="A804" s="146">
        <f t="shared" si="116"/>
        <v>8</v>
      </c>
      <c r="B804" s="123">
        <v>5109</v>
      </c>
      <c r="C804" s="40" t="s">
        <v>537</v>
      </c>
      <c r="D804" s="42">
        <v>1973</v>
      </c>
      <c r="E804" s="42" t="s">
        <v>75</v>
      </c>
      <c r="F804" s="42" t="s">
        <v>486</v>
      </c>
      <c r="G804" s="25">
        <v>989.4</v>
      </c>
      <c r="H804" s="22">
        <v>901.46</v>
      </c>
      <c r="I804" s="100">
        <v>52</v>
      </c>
      <c r="J804" s="22">
        <f>'Форма 2'!I2741</f>
        <v>4800004.0599999996</v>
      </c>
      <c r="K804" s="48">
        <v>0</v>
      </c>
      <c r="L804" s="48">
        <v>0</v>
      </c>
      <c r="M804" s="48">
        <v>0</v>
      </c>
      <c r="N804" s="22">
        <f t="shared" si="117"/>
        <v>4800004.0599999996</v>
      </c>
      <c r="O804" s="22">
        <v>0</v>
      </c>
      <c r="P804" s="22">
        <f t="shared" si="115"/>
        <v>5324.7</v>
      </c>
      <c r="Q804" s="22">
        <f>'Форма 2'!K2741</f>
        <v>7539</v>
      </c>
      <c r="R804" s="34" t="s">
        <v>498</v>
      </c>
      <c r="S804" s="11">
        <v>1</v>
      </c>
    </row>
    <row r="805" spans="1:20" x14ac:dyDescent="0.35">
      <c r="A805" s="146">
        <f t="shared" si="116"/>
        <v>9</v>
      </c>
      <c r="B805" s="120">
        <v>5134</v>
      </c>
      <c r="C805" s="40" t="s">
        <v>659</v>
      </c>
      <c r="D805" s="42">
        <v>1981</v>
      </c>
      <c r="E805" s="42" t="s">
        <v>75</v>
      </c>
      <c r="F805" s="42" t="s">
        <v>155</v>
      </c>
      <c r="G805" s="25">
        <v>9374.2999999999993</v>
      </c>
      <c r="H805" s="22">
        <v>7548.1</v>
      </c>
      <c r="I805" s="100">
        <v>326</v>
      </c>
      <c r="J805" s="22">
        <f>'Форма 2'!I2744</f>
        <v>1260532.7</v>
      </c>
      <c r="K805" s="48">
        <v>0</v>
      </c>
      <c r="L805" s="48">
        <v>0</v>
      </c>
      <c r="M805" s="48">
        <v>0</v>
      </c>
      <c r="N805" s="22">
        <f t="shared" si="117"/>
        <v>1260532.7</v>
      </c>
      <c r="O805" s="22">
        <v>0</v>
      </c>
      <c r="P805" s="22">
        <f t="shared" si="115"/>
        <v>167</v>
      </c>
      <c r="Q805" s="22">
        <f>'Форма 2'!K2744</f>
        <v>167</v>
      </c>
      <c r="R805" s="34" t="s">
        <v>498</v>
      </c>
      <c r="S805" s="11">
        <v>1</v>
      </c>
    </row>
    <row r="806" spans="1:20" x14ac:dyDescent="0.35">
      <c r="A806" s="146">
        <f>A805+1</f>
        <v>10</v>
      </c>
      <c r="B806" s="123">
        <v>5140</v>
      </c>
      <c r="C806" s="40" t="s">
        <v>541</v>
      </c>
      <c r="D806" s="42">
        <v>1980</v>
      </c>
      <c r="E806" s="42" t="s">
        <v>75</v>
      </c>
      <c r="F806" s="42" t="s">
        <v>486</v>
      </c>
      <c r="G806" s="25">
        <v>10503.6</v>
      </c>
      <c r="H806" s="25">
        <v>8292.2000000000007</v>
      </c>
      <c r="I806" s="101">
        <v>381</v>
      </c>
      <c r="J806" s="22">
        <f>'Форма 2'!I2746</f>
        <v>9763236.2799999993</v>
      </c>
      <c r="K806" s="22">
        <v>0</v>
      </c>
      <c r="L806" s="48">
        <v>0</v>
      </c>
      <c r="M806" s="48">
        <v>0</v>
      </c>
      <c r="N806" s="22">
        <f t="shared" si="117"/>
        <v>9763236.2799999993</v>
      </c>
      <c r="O806" s="22">
        <v>0</v>
      </c>
      <c r="P806" s="22">
        <f t="shared" si="115"/>
        <v>1177.4000000000001</v>
      </c>
      <c r="Q806" s="22">
        <f>'Форма 2'!K2746</f>
        <v>1667</v>
      </c>
      <c r="R806" s="34" t="s">
        <v>498</v>
      </c>
      <c r="S806" s="172">
        <v>1</v>
      </c>
    </row>
    <row r="807" spans="1:20" x14ac:dyDescent="0.35">
      <c r="A807" s="146">
        <f>A806+1</f>
        <v>11</v>
      </c>
      <c r="B807" s="123">
        <v>5164</v>
      </c>
      <c r="C807" s="40" t="s">
        <v>542</v>
      </c>
      <c r="D807" s="42">
        <v>1986</v>
      </c>
      <c r="E807" s="42" t="s">
        <v>75</v>
      </c>
      <c r="F807" s="42" t="s">
        <v>158</v>
      </c>
      <c r="G807" s="25">
        <v>3212.9</v>
      </c>
      <c r="H807" s="25">
        <v>2523.3000000000002</v>
      </c>
      <c r="I807" s="101">
        <v>118</v>
      </c>
      <c r="J807" s="22">
        <f>'Форма 2'!I2749</f>
        <v>7738961.0999999996</v>
      </c>
      <c r="K807" s="22">
        <v>0</v>
      </c>
      <c r="L807" s="48">
        <v>0</v>
      </c>
      <c r="M807" s="48">
        <v>0</v>
      </c>
      <c r="N807" s="22">
        <f t="shared" si="117"/>
        <v>7738961.0999999996</v>
      </c>
      <c r="O807" s="22">
        <v>0</v>
      </c>
      <c r="P807" s="22">
        <f t="shared" si="115"/>
        <v>3067</v>
      </c>
      <c r="Q807" s="22">
        <f>'Форма 2'!K2749</f>
        <v>3067</v>
      </c>
      <c r="R807" s="34" t="s">
        <v>498</v>
      </c>
      <c r="S807" s="172">
        <v>1</v>
      </c>
    </row>
    <row r="808" spans="1:20" x14ac:dyDescent="0.35">
      <c r="A808" s="146">
        <f>A807+1</f>
        <v>12</v>
      </c>
      <c r="B808" s="123">
        <v>5172</v>
      </c>
      <c r="C808" s="40" t="s">
        <v>660</v>
      </c>
      <c r="D808" s="42">
        <v>1981</v>
      </c>
      <c r="E808" s="42" t="s">
        <v>75</v>
      </c>
      <c r="F808" s="42" t="s">
        <v>155</v>
      </c>
      <c r="G808" s="25">
        <v>4631</v>
      </c>
      <c r="H808" s="25">
        <v>3986</v>
      </c>
      <c r="I808" s="101">
        <v>223</v>
      </c>
      <c r="J808" s="22">
        <f>'Форма 2'!I2752</f>
        <v>665662</v>
      </c>
      <c r="K808" s="22">
        <v>0</v>
      </c>
      <c r="L808" s="48">
        <v>0</v>
      </c>
      <c r="M808" s="48">
        <v>0</v>
      </c>
      <c r="N808" s="22">
        <f t="shared" si="117"/>
        <v>665662</v>
      </c>
      <c r="O808" s="22">
        <v>0</v>
      </c>
      <c r="P808" s="22">
        <f t="shared" si="115"/>
        <v>167</v>
      </c>
      <c r="Q808" s="22">
        <f>'Форма 2'!K2752</f>
        <v>167</v>
      </c>
      <c r="R808" s="34" t="s">
        <v>498</v>
      </c>
      <c r="S808" s="172">
        <v>1</v>
      </c>
    </row>
    <row r="809" spans="1:20" x14ac:dyDescent="0.35">
      <c r="A809" s="227" t="s">
        <v>47</v>
      </c>
      <c r="B809" s="227"/>
      <c r="C809" s="227"/>
      <c r="D809" s="97" t="s">
        <v>13</v>
      </c>
      <c r="E809" s="97" t="s">
        <v>13</v>
      </c>
      <c r="F809" s="97" t="s">
        <v>13</v>
      </c>
      <c r="G809" s="22">
        <f t="shared" ref="G809:O809" si="118">G810+G831+G843+G867</f>
        <v>201086.63</v>
      </c>
      <c r="H809" s="22">
        <f t="shared" si="118"/>
        <v>177654.65</v>
      </c>
      <c r="I809" s="84">
        <f t="shared" si="118"/>
        <v>7233</v>
      </c>
      <c r="J809" s="22">
        <f t="shared" si="118"/>
        <v>487397052.97000003</v>
      </c>
      <c r="K809" s="22">
        <f t="shared" si="118"/>
        <v>0</v>
      </c>
      <c r="L809" s="22">
        <f t="shared" si="118"/>
        <v>0</v>
      </c>
      <c r="M809" s="22">
        <f t="shared" si="118"/>
        <v>0</v>
      </c>
      <c r="N809" s="22">
        <f t="shared" si="118"/>
        <v>487397052.97000003</v>
      </c>
      <c r="O809" s="22">
        <f t="shared" si="118"/>
        <v>0</v>
      </c>
      <c r="P809" s="22" t="s">
        <v>13</v>
      </c>
      <c r="Q809" s="22" t="s">
        <v>13</v>
      </c>
      <c r="R809" s="22" t="s">
        <v>13</v>
      </c>
      <c r="S809" s="22" t="s">
        <v>13</v>
      </c>
    </row>
    <row r="810" spans="1:20" x14ac:dyDescent="0.35">
      <c r="A810" s="227" t="s">
        <v>258</v>
      </c>
      <c r="B810" s="227"/>
      <c r="C810" s="227"/>
      <c r="D810" s="97" t="s">
        <v>13</v>
      </c>
      <c r="E810" s="97" t="s">
        <v>13</v>
      </c>
      <c r="F810" s="97" t="s">
        <v>13</v>
      </c>
      <c r="G810" s="22">
        <f t="shared" ref="G810:O810" si="119">SUM(G811:G830)</f>
        <v>47190.21</v>
      </c>
      <c r="H810" s="22">
        <f t="shared" si="119"/>
        <v>41661.15</v>
      </c>
      <c r="I810" s="26">
        <f t="shared" si="119"/>
        <v>1653</v>
      </c>
      <c r="J810" s="22">
        <f t="shared" si="119"/>
        <v>126402949.54000001</v>
      </c>
      <c r="K810" s="22">
        <f t="shared" si="119"/>
        <v>0</v>
      </c>
      <c r="L810" s="22">
        <f t="shared" si="119"/>
        <v>0</v>
      </c>
      <c r="M810" s="22">
        <f t="shared" si="119"/>
        <v>0</v>
      </c>
      <c r="N810" s="22">
        <f t="shared" si="119"/>
        <v>126402949.54000001</v>
      </c>
      <c r="O810" s="22">
        <f t="shared" si="119"/>
        <v>0</v>
      </c>
      <c r="P810" s="97" t="s">
        <v>13</v>
      </c>
      <c r="Q810" s="97" t="s">
        <v>13</v>
      </c>
      <c r="R810" s="97" t="s">
        <v>13</v>
      </c>
      <c r="S810" s="97" t="s">
        <v>13</v>
      </c>
    </row>
    <row r="811" spans="1:20" x14ac:dyDescent="0.35">
      <c r="A811" s="11">
        <v>1</v>
      </c>
      <c r="B811" s="11">
        <v>122</v>
      </c>
      <c r="C811" s="37" t="s">
        <v>91</v>
      </c>
      <c r="D811" s="97">
        <v>1946</v>
      </c>
      <c r="E811" s="96" t="s">
        <v>439</v>
      </c>
      <c r="F811" s="96" t="s">
        <v>158</v>
      </c>
      <c r="G811" s="22">
        <v>896.3</v>
      </c>
      <c r="H811" s="22">
        <v>821.3</v>
      </c>
      <c r="I811" s="84">
        <v>31</v>
      </c>
      <c r="J811" s="22">
        <f>'Форма 2'!I2755</f>
        <v>4102393.5</v>
      </c>
      <c r="K811" s="22">
        <v>0</v>
      </c>
      <c r="L811" s="22">
        <v>0</v>
      </c>
      <c r="M811" s="22">
        <v>0</v>
      </c>
      <c r="N811" s="22">
        <f t="shared" ref="N811:N830" si="120">J811-K811-L811-M811-O811</f>
        <v>4102393.5</v>
      </c>
      <c r="O811" s="22">
        <v>0</v>
      </c>
      <c r="P811" s="22">
        <f t="shared" ref="P811:P830" si="121">J811/H811</f>
        <v>4995</v>
      </c>
      <c r="Q811" s="22">
        <f>'Форма 2'!K2755</f>
        <v>4995</v>
      </c>
      <c r="R811" s="38" t="s">
        <v>498</v>
      </c>
      <c r="S811" s="172">
        <v>1</v>
      </c>
    </row>
    <row r="812" spans="1:20" x14ac:dyDescent="0.35">
      <c r="A812" s="11">
        <f>A811+1</f>
        <v>2</v>
      </c>
      <c r="B812" s="11">
        <v>347</v>
      </c>
      <c r="C812" s="37" t="s">
        <v>92</v>
      </c>
      <c r="D812" s="97">
        <v>1960</v>
      </c>
      <c r="E812" s="96" t="s">
        <v>75</v>
      </c>
      <c r="F812" s="96" t="s">
        <v>158</v>
      </c>
      <c r="G812" s="22">
        <v>3366.7</v>
      </c>
      <c r="H812" s="22">
        <v>3127.4</v>
      </c>
      <c r="I812" s="108">
        <v>118</v>
      </c>
      <c r="J812" s="22">
        <f>'Форма 2'!I2758</f>
        <v>8853669.4000000004</v>
      </c>
      <c r="K812" s="22">
        <v>0</v>
      </c>
      <c r="L812" s="22">
        <v>0</v>
      </c>
      <c r="M812" s="22">
        <v>0</v>
      </c>
      <c r="N812" s="22">
        <f t="shared" si="120"/>
        <v>8853669.4000000004</v>
      </c>
      <c r="O812" s="22">
        <v>0</v>
      </c>
      <c r="P812" s="22">
        <f t="shared" si="121"/>
        <v>2831</v>
      </c>
      <c r="Q812" s="22">
        <f>'Форма 2'!K2758</f>
        <v>2831</v>
      </c>
      <c r="R812" s="38" t="s">
        <v>498</v>
      </c>
      <c r="S812" s="172">
        <v>1</v>
      </c>
    </row>
    <row r="813" spans="1:20" x14ac:dyDescent="0.35">
      <c r="A813" s="11">
        <f>A812+1</f>
        <v>3</v>
      </c>
      <c r="B813" s="11">
        <v>367</v>
      </c>
      <c r="C813" s="37" t="s">
        <v>93</v>
      </c>
      <c r="D813" s="97">
        <v>1961</v>
      </c>
      <c r="E813" s="97" t="s">
        <v>546</v>
      </c>
      <c r="F813" s="97" t="s">
        <v>158</v>
      </c>
      <c r="G813" s="22">
        <v>3386</v>
      </c>
      <c r="H813" s="22">
        <v>3136</v>
      </c>
      <c r="I813" s="108">
        <v>118</v>
      </c>
      <c r="J813" s="22">
        <f>'Форма 2'!I2761</f>
        <v>12148864</v>
      </c>
      <c r="K813" s="22">
        <v>0</v>
      </c>
      <c r="L813" s="22">
        <v>0</v>
      </c>
      <c r="M813" s="22">
        <v>0</v>
      </c>
      <c r="N813" s="22">
        <f t="shared" si="120"/>
        <v>12148864</v>
      </c>
      <c r="O813" s="22">
        <v>0</v>
      </c>
      <c r="P813" s="22">
        <f t="shared" si="121"/>
        <v>3874</v>
      </c>
      <c r="Q813" s="22">
        <f>'Форма 2'!K2761</f>
        <v>3874</v>
      </c>
      <c r="R813" s="38" t="s">
        <v>498</v>
      </c>
      <c r="S813" s="172">
        <v>1</v>
      </c>
    </row>
    <row r="814" spans="1:20" x14ac:dyDescent="0.35">
      <c r="A814" s="11">
        <f>A813+1</f>
        <v>4</v>
      </c>
      <c r="B814" s="11">
        <v>518</v>
      </c>
      <c r="C814" s="37" t="s">
        <v>94</v>
      </c>
      <c r="D814" s="97">
        <v>1967</v>
      </c>
      <c r="E814" s="96" t="s">
        <v>75</v>
      </c>
      <c r="F814" s="96" t="s">
        <v>158</v>
      </c>
      <c r="G814" s="22">
        <v>3114.19</v>
      </c>
      <c r="H814" s="22">
        <v>2925.19</v>
      </c>
      <c r="I814" s="108">
        <v>111</v>
      </c>
      <c r="J814" s="22">
        <f>'Форма 2'!I2766</f>
        <v>8281212.8899999997</v>
      </c>
      <c r="K814" s="22">
        <v>0</v>
      </c>
      <c r="L814" s="22">
        <v>0</v>
      </c>
      <c r="M814" s="22">
        <v>0</v>
      </c>
      <c r="N814" s="22">
        <f t="shared" si="120"/>
        <v>8281212.8899999997</v>
      </c>
      <c r="O814" s="22">
        <v>0</v>
      </c>
      <c r="P814" s="22">
        <f t="shared" si="121"/>
        <v>2831</v>
      </c>
      <c r="Q814" s="22">
        <f>'Форма 2'!K2766</f>
        <v>2831</v>
      </c>
      <c r="R814" s="38" t="s">
        <v>498</v>
      </c>
      <c r="S814" s="172">
        <v>1</v>
      </c>
    </row>
    <row r="815" spans="1:20" x14ac:dyDescent="0.35">
      <c r="A815" s="11">
        <f>A814+1</f>
        <v>5</v>
      </c>
      <c r="B815" s="11">
        <v>401</v>
      </c>
      <c r="C815" s="37" t="s">
        <v>81</v>
      </c>
      <c r="D815" s="97">
        <v>1962</v>
      </c>
      <c r="E815" s="97" t="s">
        <v>233</v>
      </c>
      <c r="F815" s="97" t="s">
        <v>158</v>
      </c>
      <c r="G815" s="22">
        <v>1419.1</v>
      </c>
      <c r="H815" s="22">
        <v>1277.0999999999999</v>
      </c>
      <c r="I815" s="108">
        <v>48</v>
      </c>
      <c r="J815" s="22">
        <f>'Форма 2'!I2769</f>
        <v>1089366.3</v>
      </c>
      <c r="K815" s="22">
        <v>0</v>
      </c>
      <c r="L815" s="22">
        <v>0</v>
      </c>
      <c r="M815" s="22">
        <v>0</v>
      </c>
      <c r="N815" s="22">
        <f t="shared" si="120"/>
        <v>1089366.3</v>
      </c>
      <c r="O815" s="22">
        <v>0</v>
      </c>
      <c r="P815" s="22">
        <f t="shared" si="121"/>
        <v>853</v>
      </c>
      <c r="Q815" s="22">
        <f>'Форма 2'!K2769</f>
        <v>853</v>
      </c>
      <c r="R815" s="38" t="s">
        <v>498</v>
      </c>
      <c r="S815" s="172">
        <v>1</v>
      </c>
    </row>
    <row r="816" spans="1:20" x14ac:dyDescent="0.35">
      <c r="A816" s="11">
        <f t="shared" ref="A816:A825" si="122">A815+1</f>
        <v>6</v>
      </c>
      <c r="B816" s="11">
        <v>203</v>
      </c>
      <c r="C816" s="37" t="s">
        <v>95</v>
      </c>
      <c r="D816" s="97">
        <v>1954</v>
      </c>
      <c r="E816" s="96" t="s">
        <v>546</v>
      </c>
      <c r="F816" s="96" t="s">
        <v>158</v>
      </c>
      <c r="G816" s="22">
        <v>454.23</v>
      </c>
      <c r="H816" s="22">
        <v>408.23</v>
      </c>
      <c r="I816" s="108">
        <v>15</v>
      </c>
      <c r="J816" s="22">
        <f>'Форма 2'!I2772</f>
        <v>3310337.07</v>
      </c>
      <c r="K816" s="22">
        <v>0</v>
      </c>
      <c r="L816" s="22">
        <v>0</v>
      </c>
      <c r="M816" s="22">
        <v>0</v>
      </c>
      <c r="N816" s="22">
        <f t="shared" si="120"/>
        <v>3310337.07</v>
      </c>
      <c r="O816" s="22">
        <v>0</v>
      </c>
      <c r="P816" s="22">
        <f t="shared" si="121"/>
        <v>8109</v>
      </c>
      <c r="Q816" s="22">
        <f>'Форма 2'!K2772</f>
        <v>8109</v>
      </c>
      <c r="R816" s="38" t="s">
        <v>498</v>
      </c>
      <c r="S816" s="172">
        <v>1</v>
      </c>
    </row>
    <row r="817" spans="1:20" x14ac:dyDescent="0.35">
      <c r="A817" s="11">
        <f t="shared" si="122"/>
        <v>7</v>
      </c>
      <c r="B817" s="11">
        <v>204</v>
      </c>
      <c r="C817" s="37" t="s">
        <v>96</v>
      </c>
      <c r="D817" s="97">
        <v>1954</v>
      </c>
      <c r="E817" s="96" t="s">
        <v>312</v>
      </c>
      <c r="F817" s="96" t="s">
        <v>158</v>
      </c>
      <c r="G817" s="22">
        <v>451.9</v>
      </c>
      <c r="H817" s="22">
        <v>405.9</v>
      </c>
      <c r="I817" s="108">
        <v>15</v>
      </c>
      <c r="J817" s="22">
        <f>'Форма 2'!I2777</f>
        <v>3291443.1</v>
      </c>
      <c r="K817" s="22">
        <v>0</v>
      </c>
      <c r="L817" s="22">
        <v>0</v>
      </c>
      <c r="M817" s="22">
        <v>0</v>
      </c>
      <c r="N817" s="22">
        <f t="shared" si="120"/>
        <v>3291443.1</v>
      </c>
      <c r="O817" s="22">
        <v>0</v>
      </c>
      <c r="P817" s="22">
        <f t="shared" si="121"/>
        <v>8109</v>
      </c>
      <c r="Q817" s="22">
        <f>'Форма 2'!K2777</f>
        <v>8109</v>
      </c>
      <c r="R817" s="38" t="s">
        <v>498</v>
      </c>
      <c r="S817" s="172">
        <v>1</v>
      </c>
    </row>
    <row r="818" spans="1:20" x14ac:dyDescent="0.35">
      <c r="A818" s="11">
        <f t="shared" si="122"/>
        <v>8</v>
      </c>
      <c r="B818" s="11">
        <v>521</v>
      </c>
      <c r="C818" s="37" t="s">
        <v>97</v>
      </c>
      <c r="D818" s="97">
        <v>1967</v>
      </c>
      <c r="E818" s="96" t="s">
        <v>75</v>
      </c>
      <c r="F818" s="96" t="s">
        <v>158</v>
      </c>
      <c r="G818" s="22">
        <v>3355.6</v>
      </c>
      <c r="H818" s="22">
        <v>2828.7</v>
      </c>
      <c r="I818" s="108">
        <v>107</v>
      </c>
      <c r="J818" s="22">
        <f>'Форма 2'!I2782</f>
        <v>8008049.7000000002</v>
      </c>
      <c r="K818" s="22">
        <v>0</v>
      </c>
      <c r="L818" s="22">
        <v>0</v>
      </c>
      <c r="M818" s="22">
        <v>0</v>
      </c>
      <c r="N818" s="22">
        <f t="shared" si="120"/>
        <v>8008049.7000000002</v>
      </c>
      <c r="O818" s="22">
        <v>0</v>
      </c>
      <c r="P818" s="22">
        <f t="shared" si="121"/>
        <v>2831</v>
      </c>
      <c r="Q818" s="22">
        <f>'Форма 2'!K2782</f>
        <v>2831</v>
      </c>
      <c r="R818" s="38" t="s">
        <v>498</v>
      </c>
      <c r="S818" s="172">
        <v>1</v>
      </c>
    </row>
    <row r="819" spans="1:20" x14ac:dyDescent="0.35">
      <c r="A819" s="11">
        <f t="shared" si="122"/>
        <v>9</v>
      </c>
      <c r="B819" s="11">
        <v>479</v>
      </c>
      <c r="C819" s="37" t="s">
        <v>98</v>
      </c>
      <c r="D819" s="97">
        <v>1964</v>
      </c>
      <c r="E819" s="96" t="s">
        <v>75</v>
      </c>
      <c r="F819" s="96" t="s">
        <v>158</v>
      </c>
      <c r="G819" s="22">
        <v>2748.2</v>
      </c>
      <c r="H819" s="22">
        <v>1986.2</v>
      </c>
      <c r="I819" s="108">
        <v>75</v>
      </c>
      <c r="J819" s="22">
        <f>'Форма 2'!I2785</f>
        <v>5622932.2000000002</v>
      </c>
      <c r="K819" s="22">
        <v>0</v>
      </c>
      <c r="L819" s="22">
        <v>0</v>
      </c>
      <c r="M819" s="22">
        <v>0</v>
      </c>
      <c r="N819" s="22">
        <f t="shared" si="120"/>
        <v>5622932.2000000002</v>
      </c>
      <c r="O819" s="22">
        <v>0</v>
      </c>
      <c r="P819" s="22">
        <f t="shared" si="121"/>
        <v>2831</v>
      </c>
      <c r="Q819" s="22">
        <f>'Форма 2'!K2785</f>
        <v>2831</v>
      </c>
      <c r="R819" s="38" t="s">
        <v>498</v>
      </c>
      <c r="S819" s="172">
        <v>1</v>
      </c>
    </row>
    <row r="820" spans="1:20" x14ac:dyDescent="0.35">
      <c r="A820" s="11">
        <f t="shared" si="122"/>
        <v>10</v>
      </c>
      <c r="B820" s="11">
        <v>512</v>
      </c>
      <c r="C820" s="37" t="s">
        <v>292</v>
      </c>
      <c r="D820" s="97">
        <v>1966</v>
      </c>
      <c r="E820" s="96" t="s">
        <v>293</v>
      </c>
      <c r="F820" s="96" t="s">
        <v>486</v>
      </c>
      <c r="G820" s="22">
        <v>1736.9</v>
      </c>
      <c r="H820" s="22">
        <v>1615.9</v>
      </c>
      <c r="I820" s="108">
        <v>71</v>
      </c>
      <c r="J820" s="22">
        <f>'Форма 2'!I2788</f>
        <v>316231.63</v>
      </c>
      <c r="K820" s="22">
        <v>0</v>
      </c>
      <c r="L820" s="22">
        <v>0</v>
      </c>
      <c r="M820" s="22">
        <v>0</v>
      </c>
      <c r="N820" s="22">
        <f t="shared" si="120"/>
        <v>316231.63</v>
      </c>
      <c r="O820" s="22">
        <v>0</v>
      </c>
      <c r="P820" s="22">
        <f t="shared" si="121"/>
        <v>195.7</v>
      </c>
      <c r="Q820" s="22">
        <f>'Форма 2'!K2788</f>
        <v>277</v>
      </c>
      <c r="R820" s="38" t="s">
        <v>498</v>
      </c>
      <c r="S820" s="172">
        <v>1</v>
      </c>
    </row>
    <row r="821" spans="1:20" x14ac:dyDescent="0.35">
      <c r="A821" s="11">
        <f t="shared" si="122"/>
        <v>11</v>
      </c>
      <c r="B821" s="11">
        <v>565</v>
      </c>
      <c r="C821" s="37" t="s">
        <v>99</v>
      </c>
      <c r="D821" s="97">
        <v>1970</v>
      </c>
      <c r="E821" s="97" t="s">
        <v>75</v>
      </c>
      <c r="F821" s="97" t="s">
        <v>158</v>
      </c>
      <c r="G821" s="22">
        <v>2940.2</v>
      </c>
      <c r="H821" s="22">
        <v>2692.2</v>
      </c>
      <c r="I821" s="108">
        <v>102</v>
      </c>
      <c r="J821" s="22">
        <f>'Форма 2'!I2791</f>
        <v>7621618.2000000002</v>
      </c>
      <c r="K821" s="22">
        <v>0</v>
      </c>
      <c r="L821" s="22">
        <v>0</v>
      </c>
      <c r="M821" s="22">
        <v>0</v>
      </c>
      <c r="N821" s="22">
        <f t="shared" si="120"/>
        <v>7621618.2000000002</v>
      </c>
      <c r="O821" s="22">
        <v>0</v>
      </c>
      <c r="P821" s="22">
        <f t="shared" si="121"/>
        <v>2831</v>
      </c>
      <c r="Q821" s="22">
        <f>'Форма 2'!K2791</f>
        <v>2831</v>
      </c>
      <c r="R821" s="38" t="s">
        <v>498</v>
      </c>
      <c r="S821" s="172">
        <v>1</v>
      </c>
    </row>
    <row r="822" spans="1:20" x14ac:dyDescent="0.35">
      <c r="A822" s="11">
        <f t="shared" si="122"/>
        <v>12</v>
      </c>
      <c r="B822" s="11">
        <v>519</v>
      </c>
      <c r="C822" s="37" t="s">
        <v>100</v>
      </c>
      <c r="D822" s="97">
        <v>1967</v>
      </c>
      <c r="E822" s="97" t="s">
        <v>75</v>
      </c>
      <c r="F822" s="97" t="s">
        <v>158</v>
      </c>
      <c r="G822" s="22">
        <v>3152.8</v>
      </c>
      <c r="H822" s="22">
        <v>2547.1999999999998</v>
      </c>
      <c r="I822" s="108">
        <v>96</v>
      </c>
      <c r="J822" s="22">
        <f>'Форма 2'!I2794</f>
        <v>7211123.2000000002</v>
      </c>
      <c r="K822" s="22">
        <v>0</v>
      </c>
      <c r="L822" s="22">
        <v>0</v>
      </c>
      <c r="M822" s="22">
        <v>0</v>
      </c>
      <c r="N822" s="22">
        <f t="shared" si="120"/>
        <v>7211123.2000000002</v>
      </c>
      <c r="O822" s="22">
        <v>0</v>
      </c>
      <c r="P822" s="22">
        <f t="shared" si="121"/>
        <v>2831</v>
      </c>
      <c r="Q822" s="22">
        <f>'Форма 2'!K2794</f>
        <v>2831</v>
      </c>
      <c r="R822" s="38" t="s">
        <v>498</v>
      </c>
      <c r="S822" s="172">
        <v>1</v>
      </c>
    </row>
    <row r="823" spans="1:20" s="190" customFormat="1" x14ac:dyDescent="0.35">
      <c r="A823" s="124">
        <f t="shared" si="122"/>
        <v>13</v>
      </c>
      <c r="B823" s="124">
        <v>283</v>
      </c>
      <c r="C823" s="37" t="s">
        <v>101</v>
      </c>
      <c r="D823" s="96">
        <v>1958</v>
      </c>
      <c r="E823" s="96" t="s">
        <v>564</v>
      </c>
      <c r="F823" s="96" t="s">
        <v>158</v>
      </c>
      <c r="G823" s="86">
        <v>2186.8000000000002</v>
      </c>
      <c r="H823" s="86">
        <v>2005.9</v>
      </c>
      <c r="I823" s="108">
        <v>76</v>
      </c>
      <c r="J823" s="86">
        <f>'Форма 2'!I2797</f>
        <v>17090268</v>
      </c>
      <c r="K823" s="86">
        <v>0</v>
      </c>
      <c r="L823" s="86">
        <v>0</v>
      </c>
      <c r="M823" s="86">
        <v>0</v>
      </c>
      <c r="N823" s="86">
        <f t="shared" si="120"/>
        <v>17090268</v>
      </c>
      <c r="O823" s="86">
        <v>0</v>
      </c>
      <c r="P823" s="86">
        <f t="shared" si="121"/>
        <v>8520</v>
      </c>
      <c r="Q823" s="86">
        <f>'Форма 2'!K2797</f>
        <v>8520</v>
      </c>
      <c r="R823" s="182" t="s">
        <v>498</v>
      </c>
      <c r="S823" s="183">
        <v>1</v>
      </c>
      <c r="T823" s="24"/>
    </row>
    <row r="824" spans="1:20" x14ac:dyDescent="0.35">
      <c r="A824" s="11">
        <f t="shared" si="122"/>
        <v>14</v>
      </c>
      <c r="B824" s="11">
        <v>599</v>
      </c>
      <c r="C824" s="37" t="s">
        <v>316</v>
      </c>
      <c r="D824" s="97">
        <v>1973</v>
      </c>
      <c r="E824" s="96" t="s">
        <v>293</v>
      </c>
      <c r="F824" s="96" t="s">
        <v>486</v>
      </c>
      <c r="G824" s="22">
        <v>3512.6</v>
      </c>
      <c r="H824" s="22">
        <v>3148.6</v>
      </c>
      <c r="I824" s="26">
        <v>126</v>
      </c>
      <c r="J824" s="22">
        <f>'Форма 2'!I2804</f>
        <v>374053.68</v>
      </c>
      <c r="K824" s="22">
        <v>0</v>
      </c>
      <c r="L824" s="22">
        <v>0</v>
      </c>
      <c r="M824" s="22">
        <v>0</v>
      </c>
      <c r="N824" s="22">
        <f t="shared" si="120"/>
        <v>374053.68</v>
      </c>
      <c r="O824" s="22">
        <v>0</v>
      </c>
      <c r="P824" s="22">
        <f t="shared" si="121"/>
        <v>118.8</v>
      </c>
      <c r="Q824" s="22">
        <f>'Форма 2'!K2804</f>
        <v>168</v>
      </c>
      <c r="R824" s="38" t="s">
        <v>498</v>
      </c>
      <c r="S824" s="172">
        <v>1</v>
      </c>
    </row>
    <row r="825" spans="1:20" x14ac:dyDescent="0.35">
      <c r="A825" s="11">
        <f t="shared" si="122"/>
        <v>15</v>
      </c>
      <c r="B825" s="11">
        <v>514</v>
      </c>
      <c r="C825" s="37" t="s">
        <v>102</v>
      </c>
      <c r="D825" s="97">
        <v>1966</v>
      </c>
      <c r="E825" s="97" t="s">
        <v>565</v>
      </c>
      <c r="F825" s="97" t="s">
        <v>158</v>
      </c>
      <c r="G825" s="22">
        <v>3364</v>
      </c>
      <c r="H825" s="22">
        <v>3096.4</v>
      </c>
      <c r="I825" s="108">
        <v>117</v>
      </c>
      <c r="J825" s="22">
        <f>'Форма 2'!I2807</f>
        <v>9286103.5999999996</v>
      </c>
      <c r="K825" s="22">
        <v>0</v>
      </c>
      <c r="L825" s="22">
        <v>0</v>
      </c>
      <c r="M825" s="22">
        <v>0</v>
      </c>
      <c r="N825" s="22">
        <f t="shared" si="120"/>
        <v>9286103.5999999996</v>
      </c>
      <c r="O825" s="22">
        <v>0</v>
      </c>
      <c r="P825" s="22">
        <f t="shared" si="121"/>
        <v>2999</v>
      </c>
      <c r="Q825" s="22">
        <f>'Форма 2'!K2807</f>
        <v>2999</v>
      </c>
      <c r="R825" s="38" t="s">
        <v>498</v>
      </c>
      <c r="S825" s="172">
        <v>1</v>
      </c>
    </row>
    <row r="826" spans="1:20" x14ac:dyDescent="0.35">
      <c r="A826" s="11">
        <f>A825+1</f>
        <v>16</v>
      </c>
      <c r="B826" s="11">
        <v>159</v>
      </c>
      <c r="C826" s="37" t="s">
        <v>103</v>
      </c>
      <c r="D826" s="97">
        <v>1951</v>
      </c>
      <c r="E826" s="96" t="s">
        <v>282</v>
      </c>
      <c r="F826" s="96" t="s">
        <v>661</v>
      </c>
      <c r="G826" s="22">
        <v>1798.4</v>
      </c>
      <c r="H826" s="22">
        <v>1087.8</v>
      </c>
      <c r="I826" s="26">
        <v>103</v>
      </c>
      <c r="J826" s="22">
        <f>'Форма 2'!I2812</f>
        <v>1740480</v>
      </c>
      <c r="K826" s="22">
        <v>0</v>
      </c>
      <c r="L826" s="22">
        <v>0</v>
      </c>
      <c r="M826" s="22">
        <v>0</v>
      </c>
      <c r="N826" s="22">
        <f>J826-K826-L826-M826-O826</f>
        <v>1740480</v>
      </c>
      <c r="O826" s="22">
        <v>0</v>
      </c>
      <c r="P826" s="22">
        <f>J826/H826</f>
        <v>1600</v>
      </c>
      <c r="Q826" s="22">
        <f>'Форма 2'!K2812</f>
        <v>1600</v>
      </c>
      <c r="R826" s="38" t="s">
        <v>498</v>
      </c>
      <c r="S826" s="172">
        <v>1</v>
      </c>
    </row>
    <row r="827" spans="1:20" s="190" customFormat="1" x14ac:dyDescent="0.35">
      <c r="A827" s="124">
        <f>A826+1</f>
        <v>17</v>
      </c>
      <c r="B827" s="124">
        <v>476</v>
      </c>
      <c r="C827" s="37" t="s">
        <v>104</v>
      </c>
      <c r="D827" s="96">
        <v>1964</v>
      </c>
      <c r="E827" s="96" t="s">
        <v>267</v>
      </c>
      <c r="F827" s="96" t="s">
        <v>158</v>
      </c>
      <c r="G827" s="86">
        <v>3416.66</v>
      </c>
      <c r="H827" s="86">
        <v>3176.66</v>
      </c>
      <c r="I827" s="108">
        <v>120</v>
      </c>
      <c r="J827" s="86">
        <f>'Форма 2'!I2817</f>
        <v>9704696.3000000007</v>
      </c>
      <c r="K827" s="86">
        <v>0</v>
      </c>
      <c r="L827" s="86">
        <v>0</v>
      </c>
      <c r="M827" s="86">
        <v>0</v>
      </c>
      <c r="N827" s="86">
        <f t="shared" si="120"/>
        <v>9704696.3000000007</v>
      </c>
      <c r="O827" s="86">
        <v>0</v>
      </c>
      <c r="P827" s="86">
        <f t="shared" si="121"/>
        <v>3055</v>
      </c>
      <c r="Q827" s="86">
        <f>'Форма 2'!K2817</f>
        <v>3055</v>
      </c>
      <c r="R827" s="182" t="s">
        <v>498</v>
      </c>
      <c r="S827" s="183">
        <v>1</v>
      </c>
      <c r="T827" s="24"/>
    </row>
    <row r="828" spans="1:20" ht="15.75" customHeight="1" x14ac:dyDescent="0.35">
      <c r="A828" s="11">
        <f>A827+1</f>
        <v>18</v>
      </c>
      <c r="B828" s="11">
        <v>119</v>
      </c>
      <c r="C828" s="37" t="s">
        <v>662</v>
      </c>
      <c r="D828" s="97">
        <v>1946</v>
      </c>
      <c r="E828" s="96" t="s">
        <v>75</v>
      </c>
      <c r="F828" s="96" t="s">
        <v>158</v>
      </c>
      <c r="G828" s="22">
        <v>833.1</v>
      </c>
      <c r="H828" s="22">
        <v>811.7</v>
      </c>
      <c r="I828" s="84">
        <v>31</v>
      </c>
      <c r="J828" s="22">
        <f>'Форма 2'!I2824</f>
        <v>3837717.6</v>
      </c>
      <c r="K828" s="22">
        <v>0</v>
      </c>
      <c r="L828" s="22">
        <v>0</v>
      </c>
      <c r="M828" s="22">
        <v>0</v>
      </c>
      <c r="N828" s="22">
        <f t="shared" si="120"/>
        <v>3837717.6</v>
      </c>
      <c r="O828" s="22">
        <v>0</v>
      </c>
      <c r="P828" s="22">
        <f t="shared" si="121"/>
        <v>4728</v>
      </c>
      <c r="Q828" s="22">
        <f>'Форма 2'!K2824</f>
        <v>4728</v>
      </c>
      <c r="R828" s="38" t="s">
        <v>498</v>
      </c>
      <c r="S828" s="172">
        <v>1</v>
      </c>
    </row>
    <row r="829" spans="1:20" ht="15.75" customHeight="1" x14ac:dyDescent="0.35">
      <c r="A829" s="11">
        <f>A828+1</f>
        <v>19</v>
      </c>
      <c r="B829" s="11">
        <v>179</v>
      </c>
      <c r="C829" s="37" t="s">
        <v>106</v>
      </c>
      <c r="D829" s="97">
        <v>1953</v>
      </c>
      <c r="E829" s="97" t="s">
        <v>75</v>
      </c>
      <c r="F829" s="97" t="s">
        <v>158</v>
      </c>
      <c r="G829" s="22">
        <v>910.9</v>
      </c>
      <c r="H829" s="22">
        <v>840.9</v>
      </c>
      <c r="I829" s="108">
        <v>32</v>
      </c>
      <c r="J829" s="22">
        <f>'Форма 2'!I2827</f>
        <v>3975775.2</v>
      </c>
      <c r="K829" s="22">
        <v>0</v>
      </c>
      <c r="L829" s="22">
        <v>0</v>
      </c>
      <c r="M829" s="22">
        <v>0</v>
      </c>
      <c r="N829" s="22">
        <f t="shared" si="120"/>
        <v>3975775.2</v>
      </c>
      <c r="O829" s="22">
        <v>0</v>
      </c>
      <c r="P829" s="22">
        <f t="shared" si="121"/>
        <v>4728</v>
      </c>
      <c r="Q829" s="22">
        <f>'Форма 2'!K2827</f>
        <v>4728</v>
      </c>
      <c r="R829" s="38" t="s">
        <v>498</v>
      </c>
      <c r="S829" s="172">
        <v>1</v>
      </c>
    </row>
    <row r="830" spans="1:20" x14ac:dyDescent="0.35">
      <c r="A830" s="11">
        <f>A829+1</f>
        <v>20</v>
      </c>
      <c r="B830" s="11">
        <v>244</v>
      </c>
      <c r="C830" s="37" t="s">
        <v>107</v>
      </c>
      <c r="D830" s="97">
        <v>1956</v>
      </c>
      <c r="E830" s="97" t="s">
        <v>75</v>
      </c>
      <c r="F830" s="97" t="s">
        <v>158</v>
      </c>
      <c r="G830" s="22">
        <v>4145.63</v>
      </c>
      <c r="H830" s="22">
        <v>3721.87</v>
      </c>
      <c r="I830" s="108">
        <v>141</v>
      </c>
      <c r="J830" s="22">
        <f>'Форма 2'!I2830</f>
        <v>10536613.970000001</v>
      </c>
      <c r="K830" s="22">
        <v>0</v>
      </c>
      <c r="L830" s="22">
        <v>0</v>
      </c>
      <c r="M830" s="22">
        <v>0</v>
      </c>
      <c r="N830" s="22">
        <f t="shared" si="120"/>
        <v>10536613.970000001</v>
      </c>
      <c r="O830" s="22">
        <v>0</v>
      </c>
      <c r="P830" s="22">
        <f t="shared" si="121"/>
        <v>2831</v>
      </c>
      <c r="Q830" s="22">
        <f>'Форма 2'!K2830</f>
        <v>2831</v>
      </c>
      <c r="R830" s="38" t="s">
        <v>498</v>
      </c>
      <c r="S830" s="172">
        <v>1</v>
      </c>
    </row>
    <row r="831" spans="1:20" ht="15.75" customHeight="1" x14ac:dyDescent="0.35">
      <c r="A831" s="232" t="s">
        <v>327</v>
      </c>
      <c r="B831" s="233"/>
      <c r="C831" s="234"/>
      <c r="D831" s="97" t="s">
        <v>13</v>
      </c>
      <c r="E831" s="97" t="s">
        <v>13</v>
      </c>
      <c r="F831" s="97" t="s">
        <v>13</v>
      </c>
      <c r="G831" s="22">
        <f t="shared" ref="G831:O831" si="123">SUM(G832:G842)</f>
        <v>34899.1</v>
      </c>
      <c r="H831" s="22">
        <f t="shared" si="123"/>
        <v>30002.58</v>
      </c>
      <c r="I831" s="26">
        <f t="shared" si="123"/>
        <v>1391</v>
      </c>
      <c r="J831" s="22">
        <f t="shared" si="123"/>
        <v>64142572.200000003</v>
      </c>
      <c r="K831" s="22">
        <f t="shared" si="123"/>
        <v>0</v>
      </c>
      <c r="L831" s="22">
        <f t="shared" si="123"/>
        <v>0</v>
      </c>
      <c r="M831" s="22">
        <f t="shared" si="123"/>
        <v>0</v>
      </c>
      <c r="N831" s="22">
        <f t="shared" si="123"/>
        <v>64142572.200000003</v>
      </c>
      <c r="O831" s="22">
        <f t="shared" si="123"/>
        <v>0</v>
      </c>
      <c r="P831" s="22" t="s">
        <v>13</v>
      </c>
      <c r="Q831" s="22" t="s">
        <v>13</v>
      </c>
      <c r="R831" s="38" t="s">
        <v>13</v>
      </c>
      <c r="S831" s="172" t="s">
        <v>13</v>
      </c>
    </row>
    <row r="832" spans="1:20" s="33" customFormat="1" ht="15.75" customHeight="1" x14ac:dyDescent="0.35">
      <c r="A832" s="11">
        <f>A830+1</f>
        <v>21</v>
      </c>
      <c r="B832" s="11">
        <v>1349</v>
      </c>
      <c r="C832" s="37" t="s">
        <v>108</v>
      </c>
      <c r="D832" s="97">
        <v>1958</v>
      </c>
      <c r="E832" s="96" t="s">
        <v>509</v>
      </c>
      <c r="F832" s="96" t="s">
        <v>158</v>
      </c>
      <c r="G832" s="22">
        <v>703.9</v>
      </c>
      <c r="H832" s="22">
        <v>639.14</v>
      </c>
      <c r="I832" s="108">
        <v>33</v>
      </c>
      <c r="J832" s="22">
        <f>'Форма 2'!I2833</f>
        <v>6346021.0599999996</v>
      </c>
      <c r="K832" s="22">
        <v>0</v>
      </c>
      <c r="L832" s="22">
        <v>0</v>
      </c>
      <c r="M832" s="22">
        <v>0</v>
      </c>
      <c r="N832" s="22">
        <f t="shared" ref="N832:N842" si="124">J832-K832-L832-M832-O832</f>
        <v>6346021.0599999996</v>
      </c>
      <c r="O832" s="22">
        <v>0</v>
      </c>
      <c r="P832" s="22">
        <f t="shared" ref="P832:P842" si="125">J832/H832</f>
        <v>9929</v>
      </c>
      <c r="Q832" s="22">
        <f>'Форма 2'!K2833</f>
        <v>9929</v>
      </c>
      <c r="R832" s="38" t="s">
        <v>498</v>
      </c>
      <c r="S832" s="172">
        <v>1</v>
      </c>
      <c r="T832" s="24"/>
    </row>
    <row r="833" spans="1:19" ht="15.75" customHeight="1" x14ac:dyDescent="0.35">
      <c r="A833" s="11">
        <f t="shared" ref="A833:A842" si="126">A832+1</f>
        <v>22</v>
      </c>
      <c r="B833" s="11">
        <v>1286</v>
      </c>
      <c r="C833" s="37" t="s">
        <v>110</v>
      </c>
      <c r="D833" s="97">
        <v>1966</v>
      </c>
      <c r="E833" s="97" t="s">
        <v>75</v>
      </c>
      <c r="F833" s="97" t="s">
        <v>158</v>
      </c>
      <c r="G833" s="22">
        <v>4106.78</v>
      </c>
      <c r="H833" s="22">
        <v>3177.26</v>
      </c>
      <c r="I833" s="108">
        <v>148</v>
      </c>
      <c r="J833" s="22">
        <f>'Форма 2'!I2838</f>
        <v>8994823.0600000005</v>
      </c>
      <c r="K833" s="22">
        <v>0</v>
      </c>
      <c r="L833" s="22">
        <v>0</v>
      </c>
      <c r="M833" s="22">
        <v>0</v>
      </c>
      <c r="N833" s="22">
        <f t="shared" si="124"/>
        <v>8994823.0600000005</v>
      </c>
      <c r="O833" s="22">
        <v>0</v>
      </c>
      <c r="P833" s="22">
        <f t="shared" si="125"/>
        <v>2831</v>
      </c>
      <c r="Q833" s="22">
        <f>'Форма 2'!K2838</f>
        <v>2831</v>
      </c>
      <c r="R833" s="38" t="s">
        <v>498</v>
      </c>
      <c r="S833" s="172">
        <v>1</v>
      </c>
    </row>
    <row r="834" spans="1:19" ht="15.75" customHeight="1" x14ac:dyDescent="0.35">
      <c r="A834" s="11">
        <f t="shared" si="126"/>
        <v>23</v>
      </c>
      <c r="B834" s="11">
        <v>1490</v>
      </c>
      <c r="C834" s="37" t="s">
        <v>111</v>
      </c>
      <c r="D834" s="97">
        <v>1965</v>
      </c>
      <c r="E834" s="97" t="s">
        <v>75</v>
      </c>
      <c r="F834" s="97" t="s">
        <v>158</v>
      </c>
      <c r="G834" s="22">
        <v>3393.22</v>
      </c>
      <c r="H834" s="22">
        <v>3162.22</v>
      </c>
      <c r="I834" s="108">
        <v>150</v>
      </c>
      <c r="J834" s="22">
        <f>'Форма 2'!I2841</f>
        <v>8952244.8200000003</v>
      </c>
      <c r="K834" s="22">
        <v>0</v>
      </c>
      <c r="L834" s="22">
        <v>0</v>
      </c>
      <c r="M834" s="22">
        <v>0</v>
      </c>
      <c r="N834" s="22">
        <f t="shared" si="124"/>
        <v>8952244.8200000003</v>
      </c>
      <c r="O834" s="22">
        <v>0</v>
      </c>
      <c r="P834" s="22">
        <f t="shared" si="125"/>
        <v>2831</v>
      </c>
      <c r="Q834" s="22">
        <f>'Форма 2'!K2841</f>
        <v>2831</v>
      </c>
      <c r="R834" s="38" t="s">
        <v>498</v>
      </c>
      <c r="S834" s="172">
        <v>1</v>
      </c>
    </row>
    <row r="835" spans="1:19" ht="15.75" customHeight="1" x14ac:dyDescent="0.35">
      <c r="A835" s="11">
        <f t="shared" si="126"/>
        <v>24</v>
      </c>
      <c r="B835" s="11">
        <v>1492</v>
      </c>
      <c r="C835" s="37" t="s">
        <v>112</v>
      </c>
      <c r="D835" s="97">
        <v>1965</v>
      </c>
      <c r="E835" s="97" t="s">
        <v>75</v>
      </c>
      <c r="F835" s="97" t="s">
        <v>158</v>
      </c>
      <c r="G835" s="22">
        <v>3434.5</v>
      </c>
      <c r="H835" s="22">
        <v>3144.5</v>
      </c>
      <c r="I835" s="108">
        <v>174</v>
      </c>
      <c r="J835" s="22">
        <f>'Форма 2'!I2844</f>
        <v>8902079.5</v>
      </c>
      <c r="K835" s="22">
        <v>0</v>
      </c>
      <c r="L835" s="22">
        <v>0</v>
      </c>
      <c r="M835" s="22">
        <v>0</v>
      </c>
      <c r="N835" s="22">
        <f t="shared" si="124"/>
        <v>8902079.5</v>
      </c>
      <c r="O835" s="22">
        <v>0</v>
      </c>
      <c r="P835" s="22">
        <f t="shared" si="125"/>
        <v>2831</v>
      </c>
      <c r="Q835" s="22">
        <f>'Форма 2'!K2844</f>
        <v>2831</v>
      </c>
      <c r="R835" s="38" t="s">
        <v>498</v>
      </c>
      <c r="S835" s="172">
        <v>1</v>
      </c>
    </row>
    <row r="836" spans="1:19" ht="15.75" customHeight="1" x14ac:dyDescent="0.35">
      <c r="A836" s="11">
        <f t="shared" si="126"/>
        <v>25</v>
      </c>
      <c r="B836" s="11">
        <v>1263</v>
      </c>
      <c r="C836" s="37" t="s">
        <v>88</v>
      </c>
      <c r="D836" s="97">
        <v>1960</v>
      </c>
      <c r="E836" s="96" t="s">
        <v>663</v>
      </c>
      <c r="F836" s="96" t="s">
        <v>158</v>
      </c>
      <c r="G836" s="22">
        <v>2225.4</v>
      </c>
      <c r="H836" s="22">
        <v>2040.56</v>
      </c>
      <c r="I836" s="26">
        <v>84</v>
      </c>
      <c r="J836" s="22">
        <f>'Форма 2'!I2847</f>
        <v>1216173.76</v>
      </c>
      <c r="K836" s="22">
        <v>0</v>
      </c>
      <c r="L836" s="22">
        <v>0</v>
      </c>
      <c r="M836" s="22">
        <v>0</v>
      </c>
      <c r="N836" s="22">
        <f t="shared" si="124"/>
        <v>1216173.76</v>
      </c>
      <c r="O836" s="22">
        <v>0</v>
      </c>
      <c r="P836" s="22">
        <f t="shared" si="125"/>
        <v>596</v>
      </c>
      <c r="Q836" s="22">
        <f>'Форма 2'!K2847</f>
        <v>596</v>
      </c>
      <c r="R836" s="38" t="s">
        <v>498</v>
      </c>
      <c r="S836" s="172">
        <v>1</v>
      </c>
    </row>
    <row r="837" spans="1:19" ht="15.75" customHeight="1" x14ac:dyDescent="0.35">
      <c r="A837" s="11">
        <f t="shared" si="126"/>
        <v>26</v>
      </c>
      <c r="B837" s="11">
        <v>1264</v>
      </c>
      <c r="C837" s="37" t="s">
        <v>113</v>
      </c>
      <c r="D837" s="97">
        <v>1965</v>
      </c>
      <c r="E837" s="97" t="s">
        <v>75</v>
      </c>
      <c r="F837" s="97" t="s">
        <v>158</v>
      </c>
      <c r="G837" s="22">
        <v>3185.1</v>
      </c>
      <c r="H837" s="22">
        <v>2815.1</v>
      </c>
      <c r="I837" s="108">
        <v>142</v>
      </c>
      <c r="J837" s="22">
        <f>'Форма 2'!I2850</f>
        <v>7969548.0999999996</v>
      </c>
      <c r="K837" s="22">
        <v>0</v>
      </c>
      <c r="L837" s="22">
        <v>0</v>
      </c>
      <c r="M837" s="22">
        <v>0</v>
      </c>
      <c r="N837" s="22">
        <f t="shared" si="124"/>
        <v>7969548.0999999996</v>
      </c>
      <c r="O837" s="22">
        <v>0</v>
      </c>
      <c r="P837" s="22">
        <f t="shared" si="125"/>
        <v>2831</v>
      </c>
      <c r="Q837" s="22">
        <f>'Форма 2'!K2850</f>
        <v>2831</v>
      </c>
      <c r="R837" s="38" t="s">
        <v>498</v>
      </c>
      <c r="S837" s="172">
        <v>1</v>
      </c>
    </row>
    <row r="838" spans="1:19" ht="15.75" customHeight="1" x14ac:dyDescent="0.35">
      <c r="A838" s="11">
        <f t="shared" si="126"/>
        <v>27</v>
      </c>
      <c r="B838" s="11">
        <v>1267</v>
      </c>
      <c r="C838" s="37" t="s">
        <v>347</v>
      </c>
      <c r="D838" s="97">
        <v>1972</v>
      </c>
      <c r="E838" s="97" t="s">
        <v>348</v>
      </c>
      <c r="F838" s="97" t="s">
        <v>158</v>
      </c>
      <c r="G838" s="22">
        <v>4281.3999999999996</v>
      </c>
      <c r="H838" s="22">
        <v>3044.9</v>
      </c>
      <c r="I838" s="26">
        <v>114</v>
      </c>
      <c r="J838" s="22">
        <f>'Форма 2'!I2853</f>
        <v>12301396</v>
      </c>
      <c r="K838" s="22">
        <v>0</v>
      </c>
      <c r="L838" s="22">
        <v>0</v>
      </c>
      <c r="M838" s="22">
        <v>0</v>
      </c>
      <c r="N838" s="22">
        <f t="shared" si="124"/>
        <v>12301396</v>
      </c>
      <c r="O838" s="22">
        <v>0</v>
      </c>
      <c r="P838" s="22">
        <f t="shared" si="125"/>
        <v>4040</v>
      </c>
      <c r="Q838" s="22">
        <f>'Форма 2'!K2853</f>
        <v>4040</v>
      </c>
      <c r="R838" s="38" t="s">
        <v>498</v>
      </c>
      <c r="S838" s="172">
        <v>1</v>
      </c>
    </row>
    <row r="839" spans="1:19" ht="15.75" customHeight="1" x14ac:dyDescent="0.35">
      <c r="A839" s="11">
        <f>A838+1</f>
        <v>28</v>
      </c>
      <c r="B839" s="11">
        <v>1353</v>
      </c>
      <c r="C839" s="37" t="s">
        <v>89</v>
      </c>
      <c r="D839" s="97">
        <v>1970</v>
      </c>
      <c r="E839" s="96" t="s">
        <v>293</v>
      </c>
      <c r="F839" s="96" t="s">
        <v>486</v>
      </c>
      <c r="G839" s="22">
        <v>7408.5</v>
      </c>
      <c r="H839" s="22">
        <v>6993.5</v>
      </c>
      <c r="I839" s="26">
        <v>264</v>
      </c>
      <c r="J839" s="22">
        <f>'Форма 2'!I2860</f>
        <v>830827.8</v>
      </c>
      <c r="K839" s="22">
        <v>0</v>
      </c>
      <c r="L839" s="22">
        <v>0</v>
      </c>
      <c r="M839" s="22">
        <v>0</v>
      </c>
      <c r="N839" s="22">
        <f t="shared" si="124"/>
        <v>830827.8</v>
      </c>
      <c r="O839" s="22">
        <v>0</v>
      </c>
      <c r="P839" s="22">
        <f t="shared" si="125"/>
        <v>118.8</v>
      </c>
      <c r="Q839" s="22">
        <f>'Форма 2'!K2860</f>
        <v>168</v>
      </c>
      <c r="R839" s="38" t="s">
        <v>498</v>
      </c>
      <c r="S839" s="172">
        <v>1</v>
      </c>
    </row>
    <row r="840" spans="1:19" ht="15.75" customHeight="1" x14ac:dyDescent="0.35">
      <c r="A840" s="11">
        <f>A839+1</f>
        <v>29</v>
      </c>
      <c r="B840" s="11">
        <v>1301</v>
      </c>
      <c r="C840" s="37" t="s">
        <v>114</v>
      </c>
      <c r="D840" s="97">
        <v>1954</v>
      </c>
      <c r="E840" s="97" t="s">
        <v>75</v>
      </c>
      <c r="F840" s="97" t="s">
        <v>158</v>
      </c>
      <c r="G840" s="22">
        <v>4911.8</v>
      </c>
      <c r="H840" s="22">
        <v>3842.9</v>
      </c>
      <c r="I840" s="108">
        <v>227</v>
      </c>
      <c r="J840" s="22">
        <f>'Форма 2'!I2863</f>
        <v>5856579.5999999996</v>
      </c>
      <c r="K840" s="22">
        <v>0</v>
      </c>
      <c r="L840" s="22">
        <v>0</v>
      </c>
      <c r="M840" s="22">
        <v>0</v>
      </c>
      <c r="N840" s="22">
        <f t="shared" si="124"/>
        <v>5856579.5999999996</v>
      </c>
      <c r="O840" s="22">
        <v>0</v>
      </c>
      <c r="P840" s="22">
        <f t="shared" si="125"/>
        <v>1524</v>
      </c>
      <c r="Q840" s="22">
        <f>'Форма 2'!K2863</f>
        <v>1524</v>
      </c>
      <c r="R840" s="38" t="s">
        <v>498</v>
      </c>
      <c r="S840" s="172">
        <v>1</v>
      </c>
    </row>
    <row r="841" spans="1:19" ht="15.75" customHeight="1" x14ac:dyDescent="0.35">
      <c r="A841" s="11">
        <f t="shared" si="126"/>
        <v>30</v>
      </c>
      <c r="B841" s="11">
        <v>1028</v>
      </c>
      <c r="C841" s="37" t="s">
        <v>115</v>
      </c>
      <c r="D841" s="97">
        <v>1961</v>
      </c>
      <c r="E841" s="96" t="s">
        <v>576</v>
      </c>
      <c r="F841" s="96" t="s">
        <v>158</v>
      </c>
      <c r="G841" s="22">
        <v>943.9</v>
      </c>
      <c r="H841" s="22">
        <v>863.9</v>
      </c>
      <c r="I841" s="108">
        <v>39</v>
      </c>
      <c r="J841" s="22">
        <f>'Форма 2'!I2866</f>
        <v>804290.9</v>
      </c>
      <c r="K841" s="22">
        <v>0</v>
      </c>
      <c r="L841" s="22">
        <v>0</v>
      </c>
      <c r="M841" s="22">
        <v>0</v>
      </c>
      <c r="N841" s="22">
        <f t="shared" si="124"/>
        <v>804290.9</v>
      </c>
      <c r="O841" s="22">
        <v>0</v>
      </c>
      <c r="P841" s="22">
        <f t="shared" si="125"/>
        <v>931</v>
      </c>
      <c r="Q841" s="22">
        <f>'Форма 2'!K2866</f>
        <v>931</v>
      </c>
      <c r="R841" s="38" t="s">
        <v>498</v>
      </c>
      <c r="S841" s="172">
        <v>1</v>
      </c>
    </row>
    <row r="842" spans="1:19" x14ac:dyDescent="0.35">
      <c r="A842" s="11">
        <f t="shared" si="126"/>
        <v>31</v>
      </c>
      <c r="B842" s="11">
        <v>1079</v>
      </c>
      <c r="C842" s="37" t="s">
        <v>116</v>
      </c>
      <c r="D842" s="97">
        <v>1959</v>
      </c>
      <c r="E842" s="96" t="s">
        <v>75</v>
      </c>
      <c r="F842" s="96" t="s">
        <v>158</v>
      </c>
      <c r="G842" s="22">
        <v>304.60000000000002</v>
      </c>
      <c r="H842" s="22">
        <v>278.60000000000002</v>
      </c>
      <c r="I842" s="108">
        <v>16</v>
      </c>
      <c r="J842" s="22">
        <f>'Форма 2'!I2871</f>
        <v>1968587.6</v>
      </c>
      <c r="K842" s="22">
        <v>0</v>
      </c>
      <c r="L842" s="22">
        <v>0</v>
      </c>
      <c r="M842" s="22">
        <v>0</v>
      </c>
      <c r="N842" s="22">
        <f t="shared" si="124"/>
        <v>1968587.6</v>
      </c>
      <c r="O842" s="22">
        <v>0</v>
      </c>
      <c r="P842" s="22">
        <f t="shared" si="125"/>
        <v>7066</v>
      </c>
      <c r="Q842" s="22">
        <f>'Форма 2'!K2871</f>
        <v>7066</v>
      </c>
      <c r="R842" s="38" t="s">
        <v>498</v>
      </c>
      <c r="S842" s="172">
        <v>1</v>
      </c>
    </row>
    <row r="843" spans="1:19" ht="15.75" customHeight="1" x14ac:dyDescent="0.35">
      <c r="A843" s="232" t="s">
        <v>361</v>
      </c>
      <c r="B843" s="233"/>
      <c r="C843" s="234"/>
      <c r="D843" s="97" t="s">
        <v>13</v>
      </c>
      <c r="E843" s="97" t="s">
        <v>13</v>
      </c>
      <c r="F843" s="97" t="s">
        <v>13</v>
      </c>
      <c r="G843" s="22">
        <f>SUM(G844:G866)</f>
        <v>78567.12</v>
      </c>
      <c r="H843" s="22">
        <f>SUM(H844:H866)</f>
        <v>70500.62</v>
      </c>
      <c r="I843" s="26">
        <f>SUM(I844:I866)</f>
        <v>2643</v>
      </c>
      <c r="J843" s="22">
        <f t="shared" ref="J843:O843" si="127">SUM(J844:J866)</f>
        <v>191298216.56</v>
      </c>
      <c r="K843" s="22">
        <f t="shared" si="127"/>
        <v>0</v>
      </c>
      <c r="L843" s="22">
        <f t="shared" si="127"/>
        <v>0</v>
      </c>
      <c r="M843" s="22">
        <f t="shared" si="127"/>
        <v>0</v>
      </c>
      <c r="N843" s="22">
        <f t="shared" si="127"/>
        <v>191298216.56</v>
      </c>
      <c r="O843" s="22">
        <f t="shared" si="127"/>
        <v>0</v>
      </c>
      <c r="P843" s="22" t="s">
        <v>13</v>
      </c>
      <c r="Q843" s="22" t="s">
        <v>13</v>
      </c>
      <c r="R843" s="38" t="s">
        <v>13</v>
      </c>
      <c r="S843" s="172" t="s">
        <v>13</v>
      </c>
    </row>
    <row r="844" spans="1:19" ht="15.75" customHeight="1" x14ac:dyDescent="0.35">
      <c r="A844" s="11">
        <f>A842+1</f>
        <v>32</v>
      </c>
      <c r="B844" s="11">
        <v>4081</v>
      </c>
      <c r="C844" s="37" t="s">
        <v>365</v>
      </c>
      <c r="D844" s="97">
        <v>1975</v>
      </c>
      <c r="E844" s="96" t="s">
        <v>293</v>
      </c>
      <c r="F844" s="96" t="s">
        <v>158</v>
      </c>
      <c r="G844" s="22">
        <v>7886.5</v>
      </c>
      <c r="H844" s="22">
        <v>7296.4</v>
      </c>
      <c r="I844" s="26">
        <v>253</v>
      </c>
      <c r="J844" s="22">
        <f>'Форма 2'!I2874</f>
        <v>1225795.2</v>
      </c>
      <c r="K844" s="22">
        <v>0</v>
      </c>
      <c r="L844" s="22">
        <v>0</v>
      </c>
      <c r="M844" s="22">
        <v>0</v>
      </c>
      <c r="N844" s="22">
        <f>J844-K844-L844-M844-O844</f>
        <v>1225795.2</v>
      </c>
      <c r="O844" s="22">
        <v>0</v>
      </c>
      <c r="P844" s="22">
        <f>J844/H844</f>
        <v>168</v>
      </c>
      <c r="Q844" s="22">
        <f>'Форма 2'!K2874</f>
        <v>168</v>
      </c>
      <c r="R844" s="38" t="s">
        <v>498</v>
      </c>
      <c r="S844" s="172">
        <v>1</v>
      </c>
    </row>
    <row r="845" spans="1:19" ht="15.75" customHeight="1" x14ac:dyDescent="0.35">
      <c r="A845" s="11">
        <f>A844+1</f>
        <v>33</v>
      </c>
      <c r="B845" s="109">
        <v>3306</v>
      </c>
      <c r="C845" s="175" t="s">
        <v>117</v>
      </c>
      <c r="D845" s="97">
        <v>1972</v>
      </c>
      <c r="E845" s="97" t="s">
        <v>75</v>
      </c>
      <c r="F845" s="97" t="s">
        <v>158</v>
      </c>
      <c r="G845" s="22">
        <v>3064.9</v>
      </c>
      <c r="H845" s="22">
        <v>2855.9</v>
      </c>
      <c r="I845" s="108">
        <v>108</v>
      </c>
      <c r="J845" s="22">
        <f>'Форма 2'!I2877</f>
        <v>8085052.9000000004</v>
      </c>
      <c r="K845" s="22">
        <v>0</v>
      </c>
      <c r="L845" s="22">
        <v>0</v>
      </c>
      <c r="M845" s="22">
        <v>0</v>
      </c>
      <c r="N845" s="22">
        <f t="shared" ref="N845:N866" si="128">J845-K845-L845-M845-O845</f>
        <v>8085052.9000000004</v>
      </c>
      <c r="O845" s="22">
        <v>0</v>
      </c>
      <c r="P845" s="22">
        <f t="shared" ref="P845:P866" si="129">J845/H845</f>
        <v>2831</v>
      </c>
      <c r="Q845" s="22">
        <f>'Форма 2'!K2877</f>
        <v>2831</v>
      </c>
      <c r="R845" s="38" t="s">
        <v>498</v>
      </c>
      <c r="S845" s="172">
        <v>1</v>
      </c>
    </row>
    <row r="846" spans="1:19" ht="15.75" customHeight="1" x14ac:dyDescent="0.35">
      <c r="A846" s="11">
        <f>A845+1</f>
        <v>34</v>
      </c>
      <c r="B846" s="109">
        <v>3307</v>
      </c>
      <c r="C846" s="175" t="s">
        <v>118</v>
      </c>
      <c r="D846" s="97">
        <v>1972</v>
      </c>
      <c r="E846" s="96" t="s">
        <v>75</v>
      </c>
      <c r="F846" s="96" t="s">
        <v>158</v>
      </c>
      <c r="G846" s="22">
        <v>3095.4</v>
      </c>
      <c r="H846" s="22">
        <v>2885.4</v>
      </c>
      <c r="I846" s="108">
        <v>109</v>
      </c>
      <c r="J846" s="22">
        <f>'Форма 2'!I2880</f>
        <v>8168567.4000000004</v>
      </c>
      <c r="K846" s="22">
        <v>0</v>
      </c>
      <c r="L846" s="22">
        <v>0</v>
      </c>
      <c r="M846" s="22">
        <v>0</v>
      </c>
      <c r="N846" s="22">
        <f t="shared" si="128"/>
        <v>8168567.4000000004</v>
      </c>
      <c r="O846" s="22">
        <v>0</v>
      </c>
      <c r="P846" s="22">
        <f t="shared" si="129"/>
        <v>2831</v>
      </c>
      <c r="Q846" s="22">
        <f>'Форма 2'!K2880</f>
        <v>2831</v>
      </c>
      <c r="R846" s="38" t="s">
        <v>498</v>
      </c>
      <c r="S846" s="172">
        <v>1</v>
      </c>
    </row>
    <row r="847" spans="1:19" ht="15.75" customHeight="1" x14ac:dyDescent="0.35">
      <c r="A847" s="11">
        <f t="shared" ref="A847:A866" si="130">A846+1</f>
        <v>35</v>
      </c>
      <c r="B847" s="11">
        <v>4292</v>
      </c>
      <c r="C847" s="37" t="s">
        <v>119</v>
      </c>
      <c r="D847" s="97">
        <v>1969</v>
      </c>
      <c r="E847" s="97" t="s">
        <v>75</v>
      </c>
      <c r="F847" s="97" t="s">
        <v>158</v>
      </c>
      <c r="G847" s="22">
        <v>3482.2</v>
      </c>
      <c r="H847" s="22">
        <v>3198.2</v>
      </c>
      <c r="I847" s="108">
        <v>121</v>
      </c>
      <c r="J847" s="22">
        <f>'Форма 2'!I2883</f>
        <v>9054104.1999999993</v>
      </c>
      <c r="K847" s="22">
        <v>0</v>
      </c>
      <c r="L847" s="22">
        <v>0</v>
      </c>
      <c r="M847" s="22">
        <v>0</v>
      </c>
      <c r="N847" s="22">
        <f t="shared" si="128"/>
        <v>9054104.1999999993</v>
      </c>
      <c r="O847" s="22">
        <v>0</v>
      </c>
      <c r="P847" s="22">
        <f t="shared" si="129"/>
        <v>2831</v>
      </c>
      <c r="Q847" s="22">
        <f>'Форма 2'!K2883</f>
        <v>2831</v>
      </c>
      <c r="R847" s="38" t="s">
        <v>498</v>
      </c>
      <c r="S847" s="172">
        <v>1</v>
      </c>
    </row>
    <row r="848" spans="1:19" ht="15.75" customHeight="1" x14ac:dyDescent="0.35">
      <c r="A848" s="11">
        <f t="shared" si="130"/>
        <v>36</v>
      </c>
      <c r="B848" s="11">
        <v>4347</v>
      </c>
      <c r="C848" s="37" t="s">
        <v>120</v>
      </c>
      <c r="D848" s="97">
        <v>1969</v>
      </c>
      <c r="E848" s="97" t="s">
        <v>75</v>
      </c>
      <c r="F848" s="97" t="s">
        <v>158</v>
      </c>
      <c r="G848" s="22">
        <v>6152.2</v>
      </c>
      <c r="H848" s="22">
        <v>4495.8999999999996</v>
      </c>
      <c r="I848" s="108">
        <v>170</v>
      </c>
      <c r="J848" s="22">
        <f>'Форма 2'!I2886</f>
        <v>12727892.9</v>
      </c>
      <c r="K848" s="22">
        <v>0</v>
      </c>
      <c r="L848" s="22">
        <v>0</v>
      </c>
      <c r="M848" s="22">
        <v>0</v>
      </c>
      <c r="N848" s="22">
        <f t="shared" si="128"/>
        <v>12727892.9</v>
      </c>
      <c r="O848" s="22">
        <v>0</v>
      </c>
      <c r="P848" s="22">
        <f t="shared" si="129"/>
        <v>2831</v>
      </c>
      <c r="Q848" s="22">
        <f>'Форма 2'!K2886</f>
        <v>2831</v>
      </c>
      <c r="R848" s="38" t="s">
        <v>498</v>
      </c>
      <c r="S848" s="172">
        <v>1</v>
      </c>
    </row>
    <row r="849" spans="1:19" ht="15.75" customHeight="1" x14ac:dyDescent="0.35">
      <c r="A849" s="11">
        <f t="shared" si="130"/>
        <v>37</v>
      </c>
      <c r="B849" s="11">
        <v>3200</v>
      </c>
      <c r="C849" s="37" t="s">
        <v>121</v>
      </c>
      <c r="D849" s="97">
        <v>1967</v>
      </c>
      <c r="E849" s="97" t="s">
        <v>75</v>
      </c>
      <c r="F849" s="97" t="s">
        <v>158</v>
      </c>
      <c r="G849" s="22">
        <v>1720.3</v>
      </c>
      <c r="H849" s="22">
        <v>1603.2</v>
      </c>
      <c r="I849" s="108">
        <v>61</v>
      </c>
      <c r="J849" s="22">
        <f>'Форма 2'!I2889</f>
        <v>4538659.2</v>
      </c>
      <c r="K849" s="22">
        <v>0</v>
      </c>
      <c r="L849" s="22">
        <v>0</v>
      </c>
      <c r="M849" s="22">
        <v>0</v>
      </c>
      <c r="N849" s="22">
        <f t="shared" si="128"/>
        <v>4538659.2</v>
      </c>
      <c r="O849" s="22">
        <v>0</v>
      </c>
      <c r="P849" s="22">
        <f t="shared" si="129"/>
        <v>2831</v>
      </c>
      <c r="Q849" s="22">
        <f>'Форма 2'!K2889</f>
        <v>2831</v>
      </c>
      <c r="R849" s="38" t="s">
        <v>498</v>
      </c>
      <c r="S849" s="172">
        <v>1</v>
      </c>
    </row>
    <row r="850" spans="1:19" ht="15.75" customHeight="1" x14ac:dyDescent="0.35">
      <c r="A850" s="11">
        <f t="shared" si="130"/>
        <v>38</v>
      </c>
      <c r="B850" s="11">
        <v>3091</v>
      </c>
      <c r="C850" s="37" t="s">
        <v>122</v>
      </c>
      <c r="D850" s="97">
        <v>1968</v>
      </c>
      <c r="E850" s="97" t="s">
        <v>75</v>
      </c>
      <c r="F850" s="97" t="s">
        <v>158</v>
      </c>
      <c r="G850" s="22">
        <v>2989.9</v>
      </c>
      <c r="H850" s="22">
        <v>2709.9</v>
      </c>
      <c r="I850" s="108">
        <v>102</v>
      </c>
      <c r="J850" s="22">
        <f>'Форма 2'!I2892</f>
        <v>7671726.9000000004</v>
      </c>
      <c r="K850" s="22">
        <v>0</v>
      </c>
      <c r="L850" s="22">
        <v>0</v>
      </c>
      <c r="M850" s="22">
        <v>0</v>
      </c>
      <c r="N850" s="22">
        <f t="shared" si="128"/>
        <v>7671726.9000000004</v>
      </c>
      <c r="O850" s="22">
        <v>0</v>
      </c>
      <c r="P850" s="22">
        <f t="shared" si="129"/>
        <v>2831</v>
      </c>
      <c r="Q850" s="22">
        <f>'Форма 2'!K2892</f>
        <v>2831</v>
      </c>
      <c r="R850" s="38" t="s">
        <v>498</v>
      </c>
      <c r="S850" s="172">
        <v>1</v>
      </c>
    </row>
    <row r="851" spans="1:19" ht="15.75" customHeight="1" x14ac:dyDescent="0.35">
      <c r="A851" s="11">
        <f t="shared" si="130"/>
        <v>39</v>
      </c>
      <c r="B851" s="109">
        <v>4050</v>
      </c>
      <c r="C851" s="175" t="s">
        <v>123</v>
      </c>
      <c r="D851" s="97">
        <v>1972</v>
      </c>
      <c r="E851" s="97" t="s">
        <v>75</v>
      </c>
      <c r="F851" s="97" t="s">
        <v>158</v>
      </c>
      <c r="G851" s="22">
        <v>3250.4</v>
      </c>
      <c r="H851" s="22">
        <v>3115</v>
      </c>
      <c r="I851" s="108">
        <v>118</v>
      </c>
      <c r="J851" s="22">
        <f>'Форма 2'!I2895</f>
        <v>8818565</v>
      </c>
      <c r="K851" s="22">
        <v>0</v>
      </c>
      <c r="L851" s="22">
        <v>0</v>
      </c>
      <c r="M851" s="22">
        <v>0</v>
      </c>
      <c r="N851" s="22">
        <f t="shared" si="128"/>
        <v>8818565</v>
      </c>
      <c r="O851" s="22">
        <v>0</v>
      </c>
      <c r="P851" s="22">
        <f t="shared" si="129"/>
        <v>2831</v>
      </c>
      <c r="Q851" s="22">
        <f>'Форма 2'!K2895</f>
        <v>2831</v>
      </c>
      <c r="R851" s="38" t="s">
        <v>498</v>
      </c>
      <c r="S851" s="172">
        <v>1</v>
      </c>
    </row>
    <row r="852" spans="1:19" ht="15.75" customHeight="1" x14ac:dyDescent="0.35">
      <c r="A852" s="11">
        <f t="shared" si="130"/>
        <v>40</v>
      </c>
      <c r="B852" s="109">
        <v>4051</v>
      </c>
      <c r="C852" s="175" t="s">
        <v>124</v>
      </c>
      <c r="D852" s="97">
        <v>1972</v>
      </c>
      <c r="E852" s="97" t="s">
        <v>75</v>
      </c>
      <c r="F852" s="97" t="s">
        <v>158</v>
      </c>
      <c r="G852" s="22">
        <v>3250.4</v>
      </c>
      <c r="H852" s="22">
        <v>3115</v>
      </c>
      <c r="I852" s="108">
        <v>118</v>
      </c>
      <c r="J852" s="22">
        <f>'Форма 2'!I2898</f>
        <v>8818565</v>
      </c>
      <c r="K852" s="22">
        <v>0</v>
      </c>
      <c r="L852" s="22">
        <v>0</v>
      </c>
      <c r="M852" s="22">
        <v>0</v>
      </c>
      <c r="N852" s="22">
        <f t="shared" si="128"/>
        <v>8818565</v>
      </c>
      <c r="O852" s="22">
        <v>0</v>
      </c>
      <c r="P852" s="22">
        <f t="shared" si="129"/>
        <v>2831</v>
      </c>
      <c r="Q852" s="22">
        <f>'Форма 2'!K2898</f>
        <v>2831</v>
      </c>
      <c r="R852" s="38" t="s">
        <v>498</v>
      </c>
      <c r="S852" s="172">
        <v>1</v>
      </c>
    </row>
    <row r="853" spans="1:19" ht="15.75" customHeight="1" x14ac:dyDescent="0.35">
      <c r="A853" s="11">
        <f t="shared" si="130"/>
        <v>41</v>
      </c>
      <c r="B853" s="109">
        <v>4052</v>
      </c>
      <c r="C853" s="175" t="s">
        <v>125</v>
      </c>
      <c r="D853" s="97">
        <v>1972</v>
      </c>
      <c r="E853" s="97" t="s">
        <v>75</v>
      </c>
      <c r="F853" s="97" t="s">
        <v>158</v>
      </c>
      <c r="G853" s="22">
        <v>3622.1</v>
      </c>
      <c r="H853" s="22">
        <v>3327.5</v>
      </c>
      <c r="I853" s="108">
        <v>126</v>
      </c>
      <c r="J853" s="22">
        <f>'Форма 2'!I2901</f>
        <v>9420152.5</v>
      </c>
      <c r="K853" s="22">
        <v>0</v>
      </c>
      <c r="L853" s="22">
        <v>0</v>
      </c>
      <c r="M853" s="22">
        <v>0</v>
      </c>
      <c r="N853" s="22">
        <f t="shared" si="128"/>
        <v>9420152.5</v>
      </c>
      <c r="O853" s="22">
        <v>0</v>
      </c>
      <c r="P853" s="22">
        <f t="shared" si="129"/>
        <v>2831</v>
      </c>
      <c r="Q853" s="22">
        <f>'Форма 2'!K2901</f>
        <v>2831</v>
      </c>
      <c r="R853" s="38" t="s">
        <v>498</v>
      </c>
      <c r="S853" s="172">
        <v>1</v>
      </c>
    </row>
    <row r="854" spans="1:19" ht="15.75" customHeight="1" x14ac:dyDescent="0.35">
      <c r="A854" s="11">
        <f t="shared" si="130"/>
        <v>42</v>
      </c>
      <c r="B854" s="11">
        <v>4335</v>
      </c>
      <c r="C854" s="37" t="s">
        <v>126</v>
      </c>
      <c r="D854" s="97">
        <v>1966</v>
      </c>
      <c r="E854" s="96" t="s">
        <v>439</v>
      </c>
      <c r="F854" s="96" t="s">
        <v>158</v>
      </c>
      <c r="G854" s="22">
        <v>3606.8</v>
      </c>
      <c r="H854" s="22">
        <v>2109.1999999999998</v>
      </c>
      <c r="I854" s="108">
        <v>80</v>
      </c>
      <c r="J854" s="22">
        <f>'Форма 2'!I2904</f>
        <v>2199895.6</v>
      </c>
      <c r="K854" s="22">
        <v>0</v>
      </c>
      <c r="L854" s="22">
        <v>0</v>
      </c>
      <c r="M854" s="22">
        <v>0</v>
      </c>
      <c r="N854" s="22">
        <f t="shared" si="128"/>
        <v>2199895.6</v>
      </c>
      <c r="O854" s="22">
        <v>0</v>
      </c>
      <c r="P854" s="22">
        <f t="shared" si="129"/>
        <v>1043</v>
      </c>
      <c r="Q854" s="22">
        <f>'Форма 2'!K2904</f>
        <v>1043</v>
      </c>
      <c r="R854" s="38" t="s">
        <v>498</v>
      </c>
      <c r="S854" s="172">
        <v>1</v>
      </c>
    </row>
    <row r="855" spans="1:19" ht="15.75" customHeight="1" x14ac:dyDescent="0.35">
      <c r="A855" s="11">
        <f t="shared" si="130"/>
        <v>43</v>
      </c>
      <c r="B855" s="11">
        <v>3299</v>
      </c>
      <c r="C855" s="37" t="s">
        <v>127</v>
      </c>
      <c r="D855" s="97">
        <v>1968</v>
      </c>
      <c r="E855" s="96" t="s">
        <v>75</v>
      </c>
      <c r="F855" s="96" t="s">
        <v>158</v>
      </c>
      <c r="G855" s="22">
        <v>3785.95</v>
      </c>
      <c r="H855" s="22">
        <v>3495.95</v>
      </c>
      <c r="I855" s="108">
        <v>132</v>
      </c>
      <c r="J855" s="22">
        <f>'Форма 2'!I2907</f>
        <v>9897034.4499999993</v>
      </c>
      <c r="K855" s="22">
        <v>0</v>
      </c>
      <c r="L855" s="22">
        <v>0</v>
      </c>
      <c r="M855" s="22">
        <v>0</v>
      </c>
      <c r="N855" s="22">
        <f t="shared" si="128"/>
        <v>9897034.4499999993</v>
      </c>
      <c r="O855" s="22">
        <v>0</v>
      </c>
      <c r="P855" s="22">
        <f t="shared" si="129"/>
        <v>2831</v>
      </c>
      <c r="Q855" s="22">
        <f>'Форма 2'!K2907</f>
        <v>2831</v>
      </c>
      <c r="R855" s="38" t="s">
        <v>498</v>
      </c>
      <c r="S855" s="172">
        <v>1</v>
      </c>
    </row>
    <row r="856" spans="1:19" ht="15.75" customHeight="1" x14ac:dyDescent="0.35">
      <c r="A856" s="11">
        <f t="shared" si="130"/>
        <v>44</v>
      </c>
      <c r="B856" s="109">
        <v>3316</v>
      </c>
      <c r="C856" s="175" t="s">
        <v>128</v>
      </c>
      <c r="D856" s="97">
        <v>1971</v>
      </c>
      <c r="E856" s="97" t="s">
        <v>75</v>
      </c>
      <c r="F856" s="97" t="s">
        <v>158</v>
      </c>
      <c r="G856" s="22">
        <v>3097.2</v>
      </c>
      <c r="H856" s="22">
        <v>2886.1</v>
      </c>
      <c r="I856" s="108">
        <v>109</v>
      </c>
      <c r="J856" s="22">
        <f>'Форма 2'!I2910</f>
        <v>8170549.0999999996</v>
      </c>
      <c r="K856" s="22">
        <v>0</v>
      </c>
      <c r="L856" s="22">
        <v>0</v>
      </c>
      <c r="M856" s="22">
        <v>0</v>
      </c>
      <c r="N856" s="22">
        <f t="shared" si="128"/>
        <v>8170549.0999999996</v>
      </c>
      <c r="O856" s="22">
        <v>0</v>
      </c>
      <c r="P856" s="22">
        <f t="shared" si="129"/>
        <v>2831</v>
      </c>
      <c r="Q856" s="22">
        <f>'Форма 2'!K2910</f>
        <v>2831</v>
      </c>
      <c r="R856" s="38" t="s">
        <v>498</v>
      </c>
      <c r="S856" s="172">
        <v>1</v>
      </c>
    </row>
    <row r="857" spans="1:19" ht="15.75" customHeight="1" x14ac:dyDescent="0.35">
      <c r="A857" s="11">
        <f t="shared" si="130"/>
        <v>45</v>
      </c>
      <c r="B857" s="109">
        <v>3318</v>
      </c>
      <c r="C857" s="175" t="s">
        <v>129</v>
      </c>
      <c r="D857" s="97">
        <v>1972</v>
      </c>
      <c r="E857" s="96" t="s">
        <v>75</v>
      </c>
      <c r="F857" s="96" t="s">
        <v>158</v>
      </c>
      <c r="G857" s="22">
        <v>3824.2</v>
      </c>
      <c r="H857" s="22">
        <v>3544.3</v>
      </c>
      <c r="I857" s="108">
        <v>134</v>
      </c>
      <c r="J857" s="22">
        <f>'Форма 2'!I2913</f>
        <v>10033913.300000001</v>
      </c>
      <c r="K857" s="22">
        <v>0</v>
      </c>
      <c r="L857" s="22">
        <v>0</v>
      </c>
      <c r="M857" s="22">
        <v>0</v>
      </c>
      <c r="N857" s="22">
        <f t="shared" si="128"/>
        <v>10033913.300000001</v>
      </c>
      <c r="O857" s="22">
        <v>0</v>
      </c>
      <c r="P857" s="22">
        <f t="shared" si="129"/>
        <v>2831</v>
      </c>
      <c r="Q857" s="22">
        <f>'Форма 2'!K2913</f>
        <v>2831</v>
      </c>
      <c r="R857" s="38" t="s">
        <v>498</v>
      </c>
      <c r="S857" s="172">
        <v>1</v>
      </c>
    </row>
    <row r="858" spans="1:19" ht="15.75" customHeight="1" x14ac:dyDescent="0.35">
      <c r="A858" s="11">
        <f t="shared" si="130"/>
        <v>46</v>
      </c>
      <c r="B858" s="11">
        <v>3319</v>
      </c>
      <c r="C858" s="37" t="s">
        <v>130</v>
      </c>
      <c r="D858" s="97">
        <v>1970</v>
      </c>
      <c r="E858" s="97" t="s">
        <v>75</v>
      </c>
      <c r="F858" s="97" t="s">
        <v>158</v>
      </c>
      <c r="G858" s="22">
        <v>3818.3</v>
      </c>
      <c r="H858" s="22">
        <v>3538.3</v>
      </c>
      <c r="I858" s="108">
        <v>134</v>
      </c>
      <c r="J858" s="22">
        <f>'Форма 2'!I2916</f>
        <v>10016927.300000001</v>
      </c>
      <c r="K858" s="22">
        <v>0</v>
      </c>
      <c r="L858" s="22">
        <v>0</v>
      </c>
      <c r="M858" s="22">
        <v>0</v>
      </c>
      <c r="N858" s="22">
        <f t="shared" si="128"/>
        <v>10016927.300000001</v>
      </c>
      <c r="O858" s="22">
        <v>0</v>
      </c>
      <c r="P858" s="22">
        <f t="shared" si="129"/>
        <v>2831</v>
      </c>
      <c r="Q858" s="22">
        <f>'Форма 2'!K2916</f>
        <v>2831</v>
      </c>
      <c r="R858" s="38" t="s">
        <v>498</v>
      </c>
      <c r="S858" s="172">
        <v>1</v>
      </c>
    </row>
    <row r="859" spans="1:19" ht="15.75" customHeight="1" x14ac:dyDescent="0.35">
      <c r="A859" s="11">
        <f t="shared" si="130"/>
        <v>47</v>
      </c>
      <c r="B859" s="11">
        <v>3183</v>
      </c>
      <c r="C859" s="37" t="s">
        <v>131</v>
      </c>
      <c r="D859" s="97">
        <v>1970</v>
      </c>
      <c r="E859" s="97" t="s">
        <v>75</v>
      </c>
      <c r="F859" s="97" t="s">
        <v>158</v>
      </c>
      <c r="G859" s="22">
        <v>6324.9</v>
      </c>
      <c r="H859" s="22">
        <v>5802.9</v>
      </c>
      <c r="I859" s="108">
        <v>219</v>
      </c>
      <c r="J859" s="22">
        <f>'Форма 2'!I2919</f>
        <v>16428009.9</v>
      </c>
      <c r="K859" s="22">
        <v>0</v>
      </c>
      <c r="L859" s="22">
        <v>0</v>
      </c>
      <c r="M859" s="22">
        <v>0</v>
      </c>
      <c r="N859" s="22">
        <f t="shared" si="128"/>
        <v>16428009.9</v>
      </c>
      <c r="O859" s="22">
        <v>0</v>
      </c>
      <c r="P859" s="22">
        <f t="shared" si="129"/>
        <v>2831</v>
      </c>
      <c r="Q859" s="22">
        <f>'Форма 2'!K2919</f>
        <v>2831</v>
      </c>
      <c r="R859" s="38" t="s">
        <v>498</v>
      </c>
      <c r="S859" s="172">
        <v>1</v>
      </c>
    </row>
    <row r="860" spans="1:19" ht="15.75" customHeight="1" x14ac:dyDescent="0.35">
      <c r="A860" s="11">
        <f t="shared" si="130"/>
        <v>48</v>
      </c>
      <c r="B860" s="11">
        <v>3186</v>
      </c>
      <c r="C860" s="37" t="s">
        <v>132</v>
      </c>
      <c r="D860" s="97">
        <v>1970</v>
      </c>
      <c r="E860" s="97" t="s">
        <v>75</v>
      </c>
      <c r="F860" s="97" t="s">
        <v>158</v>
      </c>
      <c r="G860" s="22">
        <v>3116.9</v>
      </c>
      <c r="H860" s="22">
        <v>2902.9</v>
      </c>
      <c r="I860" s="108">
        <v>110</v>
      </c>
      <c r="J860" s="22">
        <f>'Форма 2'!I2922</f>
        <v>8218109.9000000004</v>
      </c>
      <c r="K860" s="22">
        <v>0</v>
      </c>
      <c r="L860" s="22">
        <v>0</v>
      </c>
      <c r="M860" s="22">
        <v>0</v>
      </c>
      <c r="N860" s="22">
        <f t="shared" si="128"/>
        <v>8218109.9000000004</v>
      </c>
      <c r="O860" s="22">
        <v>0</v>
      </c>
      <c r="P860" s="22">
        <f t="shared" si="129"/>
        <v>2831</v>
      </c>
      <c r="Q860" s="22">
        <f>'Форма 2'!K2922</f>
        <v>2831</v>
      </c>
      <c r="R860" s="38" t="s">
        <v>498</v>
      </c>
      <c r="S860" s="172">
        <v>1</v>
      </c>
    </row>
    <row r="861" spans="1:19" ht="15.75" customHeight="1" x14ac:dyDescent="0.35">
      <c r="A861" s="11">
        <f t="shared" si="130"/>
        <v>49</v>
      </c>
      <c r="B861" s="11">
        <v>3190</v>
      </c>
      <c r="C861" s="37" t="s">
        <v>133</v>
      </c>
      <c r="D861" s="97">
        <v>1969</v>
      </c>
      <c r="E861" s="97" t="s">
        <v>75</v>
      </c>
      <c r="F861" s="97" t="s">
        <v>158</v>
      </c>
      <c r="G861" s="22">
        <v>3125.2</v>
      </c>
      <c r="H861" s="22">
        <v>2911</v>
      </c>
      <c r="I861" s="108">
        <v>110</v>
      </c>
      <c r="J861" s="22">
        <f>'Форма 2'!I2925</f>
        <v>8241041</v>
      </c>
      <c r="K861" s="22">
        <v>0</v>
      </c>
      <c r="L861" s="22">
        <v>0</v>
      </c>
      <c r="M861" s="22">
        <v>0</v>
      </c>
      <c r="N861" s="22">
        <f t="shared" si="128"/>
        <v>8241041</v>
      </c>
      <c r="O861" s="22">
        <v>0</v>
      </c>
      <c r="P861" s="22">
        <f t="shared" si="129"/>
        <v>2831</v>
      </c>
      <c r="Q861" s="22">
        <f>'Форма 2'!K2925</f>
        <v>2831</v>
      </c>
      <c r="R861" s="38" t="s">
        <v>498</v>
      </c>
      <c r="S861" s="172">
        <v>1</v>
      </c>
    </row>
    <row r="862" spans="1:19" ht="15.75" customHeight="1" x14ac:dyDescent="0.35">
      <c r="A862" s="11">
        <f t="shared" si="130"/>
        <v>50</v>
      </c>
      <c r="B862" s="11">
        <v>3376</v>
      </c>
      <c r="C862" s="37" t="s">
        <v>134</v>
      </c>
      <c r="D862" s="97">
        <v>1964</v>
      </c>
      <c r="E862" s="97" t="s">
        <v>75</v>
      </c>
      <c r="F862" s="97" t="s">
        <v>158</v>
      </c>
      <c r="G862" s="22">
        <v>2702.4</v>
      </c>
      <c r="H862" s="22">
        <v>2525.6</v>
      </c>
      <c r="I862" s="108">
        <v>95</v>
      </c>
      <c r="J862" s="22">
        <f>'Форма 2'!I2928</f>
        <v>11941036.800000001</v>
      </c>
      <c r="K862" s="22">
        <v>0</v>
      </c>
      <c r="L862" s="22">
        <v>0</v>
      </c>
      <c r="M862" s="22">
        <v>0</v>
      </c>
      <c r="N862" s="22">
        <f t="shared" si="128"/>
        <v>11941036.800000001</v>
      </c>
      <c r="O862" s="22">
        <v>0</v>
      </c>
      <c r="P862" s="22">
        <f t="shared" si="129"/>
        <v>4728</v>
      </c>
      <c r="Q862" s="22">
        <f>'Форма 2'!K2928</f>
        <v>4728</v>
      </c>
      <c r="R862" s="38" t="s">
        <v>498</v>
      </c>
      <c r="S862" s="172">
        <v>1</v>
      </c>
    </row>
    <row r="863" spans="1:19" ht="15.75" customHeight="1" x14ac:dyDescent="0.35">
      <c r="A863" s="11">
        <f t="shared" si="130"/>
        <v>51</v>
      </c>
      <c r="B863" s="11">
        <v>3406</v>
      </c>
      <c r="C863" s="37" t="s">
        <v>135</v>
      </c>
      <c r="D863" s="97">
        <v>1956</v>
      </c>
      <c r="E863" s="97" t="s">
        <v>607</v>
      </c>
      <c r="F863" s="97" t="s">
        <v>158</v>
      </c>
      <c r="G863" s="22">
        <v>1344.96</v>
      </c>
      <c r="H863" s="22">
        <v>1229.96</v>
      </c>
      <c r="I863" s="108">
        <v>46</v>
      </c>
      <c r="J863" s="22">
        <f>'Форма 2'!I2931</f>
        <v>12016709.199999999</v>
      </c>
      <c r="K863" s="22">
        <v>0</v>
      </c>
      <c r="L863" s="22">
        <v>0</v>
      </c>
      <c r="M863" s="22">
        <v>0</v>
      </c>
      <c r="N863" s="22">
        <f t="shared" si="128"/>
        <v>12016709.199999999</v>
      </c>
      <c r="O863" s="22">
        <v>0</v>
      </c>
      <c r="P863" s="22">
        <f t="shared" si="129"/>
        <v>9770</v>
      </c>
      <c r="Q863" s="22">
        <f>'Форма 2'!K2931</f>
        <v>9770</v>
      </c>
      <c r="R863" s="38" t="s">
        <v>498</v>
      </c>
      <c r="S863" s="172">
        <v>1</v>
      </c>
    </row>
    <row r="864" spans="1:19" ht="15.75" customHeight="1" x14ac:dyDescent="0.35">
      <c r="A864" s="11">
        <f t="shared" si="130"/>
        <v>52</v>
      </c>
      <c r="B864" s="11">
        <v>3408</v>
      </c>
      <c r="C864" s="37" t="s">
        <v>136</v>
      </c>
      <c r="D864" s="97">
        <v>1959</v>
      </c>
      <c r="E864" s="97" t="s">
        <v>75</v>
      </c>
      <c r="F864" s="97" t="s">
        <v>158</v>
      </c>
      <c r="G864" s="22">
        <v>3389.51</v>
      </c>
      <c r="H864" s="22">
        <v>3143.51</v>
      </c>
      <c r="I864" s="108">
        <v>119</v>
      </c>
      <c r="J864" s="22">
        <f>'Форма 2'!I2938</f>
        <v>8899276.8100000005</v>
      </c>
      <c r="K864" s="22">
        <v>0</v>
      </c>
      <c r="L864" s="22">
        <v>0</v>
      </c>
      <c r="M864" s="22">
        <v>0</v>
      </c>
      <c r="N864" s="22">
        <f t="shared" si="128"/>
        <v>8899276.8100000005</v>
      </c>
      <c r="O864" s="22">
        <v>0</v>
      </c>
      <c r="P864" s="22">
        <f t="shared" si="129"/>
        <v>2831</v>
      </c>
      <c r="Q864" s="22">
        <f>'Форма 2'!K2938</f>
        <v>2831</v>
      </c>
      <c r="R864" s="38" t="s">
        <v>498</v>
      </c>
      <c r="S864" s="172">
        <v>1</v>
      </c>
    </row>
    <row r="865" spans="1:19" ht="15.75" customHeight="1" x14ac:dyDescent="0.35">
      <c r="A865" s="11">
        <f t="shared" si="130"/>
        <v>53</v>
      </c>
      <c r="B865" s="11">
        <v>3416</v>
      </c>
      <c r="C865" s="37" t="s">
        <v>137</v>
      </c>
      <c r="D865" s="97">
        <v>1917</v>
      </c>
      <c r="E865" s="97" t="s">
        <v>439</v>
      </c>
      <c r="F865" s="97" t="s">
        <v>158</v>
      </c>
      <c r="G865" s="22">
        <v>941</v>
      </c>
      <c r="H865" s="22">
        <v>887</v>
      </c>
      <c r="I865" s="108">
        <v>34</v>
      </c>
      <c r="J865" s="22">
        <f>'Форма 2'!I2941</f>
        <v>925141</v>
      </c>
      <c r="K865" s="22">
        <v>0</v>
      </c>
      <c r="L865" s="22">
        <v>0</v>
      </c>
      <c r="M865" s="22">
        <v>0</v>
      </c>
      <c r="N865" s="22">
        <f t="shared" si="128"/>
        <v>925141</v>
      </c>
      <c r="O865" s="22">
        <v>0</v>
      </c>
      <c r="P865" s="22">
        <f t="shared" si="129"/>
        <v>1043</v>
      </c>
      <c r="Q865" s="22">
        <f>'Форма 2'!K2941</f>
        <v>1043</v>
      </c>
      <c r="R865" s="38" t="s">
        <v>498</v>
      </c>
      <c r="S865" s="172">
        <v>1</v>
      </c>
    </row>
    <row r="866" spans="1:19" x14ac:dyDescent="0.35">
      <c r="A866" s="11">
        <f t="shared" si="130"/>
        <v>54</v>
      </c>
      <c r="B866" s="11">
        <v>3417</v>
      </c>
      <c r="C866" s="37" t="s">
        <v>138</v>
      </c>
      <c r="D866" s="97">
        <v>1917</v>
      </c>
      <c r="E866" s="97" t="s">
        <v>608</v>
      </c>
      <c r="F866" s="97" t="s">
        <v>158</v>
      </c>
      <c r="G866" s="22">
        <v>975.5</v>
      </c>
      <c r="H866" s="22">
        <v>921.5</v>
      </c>
      <c r="I866" s="108">
        <v>35</v>
      </c>
      <c r="J866" s="22">
        <f>'Форма 2'!I2944</f>
        <v>5781491</v>
      </c>
      <c r="K866" s="22">
        <v>0</v>
      </c>
      <c r="L866" s="22">
        <v>0</v>
      </c>
      <c r="M866" s="22">
        <v>0</v>
      </c>
      <c r="N866" s="22">
        <f t="shared" si="128"/>
        <v>5781491</v>
      </c>
      <c r="O866" s="22">
        <v>0</v>
      </c>
      <c r="P866" s="22">
        <f t="shared" si="129"/>
        <v>6274</v>
      </c>
      <c r="Q866" s="22">
        <f>'Форма 2'!K2944</f>
        <v>6274</v>
      </c>
      <c r="R866" s="38" t="s">
        <v>498</v>
      </c>
      <c r="S866" s="172">
        <v>1</v>
      </c>
    </row>
    <row r="867" spans="1:19" ht="15.75" customHeight="1" x14ac:dyDescent="0.35">
      <c r="A867" s="232" t="s">
        <v>398</v>
      </c>
      <c r="B867" s="233"/>
      <c r="C867" s="234"/>
      <c r="D867" s="97" t="s">
        <v>13</v>
      </c>
      <c r="E867" s="97" t="s">
        <v>13</v>
      </c>
      <c r="F867" s="97" t="s">
        <v>13</v>
      </c>
      <c r="G867" s="22">
        <f>SUM(G868:G885)</f>
        <v>40430.199999999997</v>
      </c>
      <c r="H867" s="22">
        <f>SUM(H868:H885)</f>
        <v>35490.300000000003</v>
      </c>
      <c r="I867" s="26">
        <f>SUM(I868:I885)</f>
        <v>1546</v>
      </c>
      <c r="J867" s="22">
        <f t="shared" ref="J867:O867" si="131">SUM(J868:J885)</f>
        <v>105553314.67</v>
      </c>
      <c r="K867" s="22">
        <f t="shared" si="131"/>
        <v>0</v>
      </c>
      <c r="L867" s="22">
        <f t="shared" si="131"/>
        <v>0</v>
      </c>
      <c r="M867" s="22">
        <f t="shared" si="131"/>
        <v>0</v>
      </c>
      <c r="N867" s="22">
        <f t="shared" si="131"/>
        <v>105553314.67</v>
      </c>
      <c r="O867" s="22">
        <f t="shared" si="131"/>
        <v>0</v>
      </c>
      <c r="P867" s="22" t="s">
        <v>13</v>
      </c>
      <c r="Q867" s="22" t="s">
        <v>13</v>
      </c>
      <c r="R867" s="38" t="s">
        <v>13</v>
      </c>
      <c r="S867" s="172" t="s">
        <v>13</v>
      </c>
    </row>
    <row r="868" spans="1:19" ht="15.75" customHeight="1" x14ac:dyDescent="0.35">
      <c r="A868" s="11">
        <f>A866+1</f>
        <v>55</v>
      </c>
      <c r="B868" s="11">
        <v>2427</v>
      </c>
      <c r="C868" s="37" t="s">
        <v>139</v>
      </c>
      <c r="D868" s="97">
        <v>1962</v>
      </c>
      <c r="E868" s="97" t="s">
        <v>75</v>
      </c>
      <c r="F868" s="97" t="s">
        <v>158</v>
      </c>
      <c r="G868" s="22">
        <v>4049.25</v>
      </c>
      <c r="H868" s="22">
        <v>3713.1</v>
      </c>
      <c r="I868" s="108">
        <v>140</v>
      </c>
      <c r="J868" s="22">
        <f>'Форма 2'!I2949</f>
        <v>10511786.1</v>
      </c>
      <c r="K868" s="22">
        <v>0</v>
      </c>
      <c r="L868" s="22">
        <v>0</v>
      </c>
      <c r="M868" s="22">
        <v>0</v>
      </c>
      <c r="N868" s="22">
        <f>J868-K868-L868-M868-O868</f>
        <v>10511786.1</v>
      </c>
      <c r="O868" s="22">
        <v>0</v>
      </c>
      <c r="P868" s="22">
        <f>J868/H868</f>
        <v>2831</v>
      </c>
      <c r="Q868" s="22">
        <f>'Форма 2'!K2949</f>
        <v>2831</v>
      </c>
      <c r="R868" s="38" t="s">
        <v>498</v>
      </c>
      <c r="S868" s="172">
        <v>1</v>
      </c>
    </row>
    <row r="869" spans="1:19" ht="15.75" customHeight="1" x14ac:dyDescent="0.35">
      <c r="A869" s="11">
        <f t="shared" ref="A869:A884" si="132">A868+1</f>
        <v>56</v>
      </c>
      <c r="B869" s="11">
        <v>8169</v>
      </c>
      <c r="C869" s="37" t="s">
        <v>610</v>
      </c>
      <c r="D869" s="97">
        <v>1932</v>
      </c>
      <c r="E869" s="97" t="s">
        <v>75</v>
      </c>
      <c r="F869" s="97" t="s">
        <v>158</v>
      </c>
      <c r="G869" s="22">
        <v>4847.74</v>
      </c>
      <c r="H869" s="22">
        <v>3616.91</v>
      </c>
      <c r="I869" s="84">
        <v>87</v>
      </c>
      <c r="J869" s="22">
        <f>'Форма 2'!I2952</f>
        <v>17100750.48</v>
      </c>
      <c r="K869" s="22">
        <v>0</v>
      </c>
      <c r="L869" s="22">
        <v>0</v>
      </c>
      <c r="M869" s="22">
        <v>0</v>
      </c>
      <c r="N869" s="22">
        <f t="shared" ref="N869:N885" si="133">J869-K869-L869-M869-O869</f>
        <v>17100750.48</v>
      </c>
      <c r="O869" s="22">
        <v>0</v>
      </c>
      <c r="P869" s="22">
        <f t="shared" ref="P869:P885" si="134">J869/H869</f>
        <v>4728</v>
      </c>
      <c r="Q869" s="22">
        <f>'Форма 2'!K2952</f>
        <v>4728</v>
      </c>
      <c r="R869" s="38" t="s">
        <v>498</v>
      </c>
      <c r="S869" s="172">
        <v>1</v>
      </c>
    </row>
    <row r="870" spans="1:19" ht="15.75" customHeight="1" x14ac:dyDescent="0.35">
      <c r="A870" s="11">
        <f>A869+1</f>
        <v>57</v>
      </c>
      <c r="B870" s="11">
        <v>2536</v>
      </c>
      <c r="C870" s="37" t="s">
        <v>140</v>
      </c>
      <c r="D870" s="97">
        <v>1962</v>
      </c>
      <c r="E870" s="97" t="s">
        <v>439</v>
      </c>
      <c r="F870" s="97" t="s">
        <v>158</v>
      </c>
      <c r="G870" s="22">
        <v>835.9</v>
      </c>
      <c r="H870" s="22">
        <v>775.9</v>
      </c>
      <c r="I870" s="108">
        <v>29</v>
      </c>
      <c r="J870" s="22">
        <f>'Форма 2'!I2955</f>
        <v>3875620.5</v>
      </c>
      <c r="K870" s="22">
        <v>0</v>
      </c>
      <c r="L870" s="22">
        <v>0</v>
      </c>
      <c r="M870" s="22">
        <v>0</v>
      </c>
      <c r="N870" s="22">
        <f t="shared" si="133"/>
        <v>3875620.5</v>
      </c>
      <c r="O870" s="22">
        <v>0</v>
      </c>
      <c r="P870" s="22">
        <f t="shared" si="134"/>
        <v>4995</v>
      </c>
      <c r="Q870" s="22">
        <f>'Форма 2'!K2955</f>
        <v>4995</v>
      </c>
      <c r="R870" s="38" t="s">
        <v>498</v>
      </c>
      <c r="S870" s="172">
        <v>1</v>
      </c>
    </row>
    <row r="871" spans="1:19" ht="15.75" customHeight="1" x14ac:dyDescent="0.35">
      <c r="A871" s="11">
        <f t="shared" si="132"/>
        <v>58</v>
      </c>
      <c r="B871" s="11">
        <v>2409</v>
      </c>
      <c r="C871" s="37" t="s">
        <v>141</v>
      </c>
      <c r="D871" s="97">
        <v>1964</v>
      </c>
      <c r="E871" s="97" t="s">
        <v>75</v>
      </c>
      <c r="F871" s="97" t="s">
        <v>158</v>
      </c>
      <c r="G871" s="22">
        <v>2579.3000000000002</v>
      </c>
      <c r="H871" s="22">
        <v>2414.56</v>
      </c>
      <c r="I871" s="108">
        <v>91</v>
      </c>
      <c r="J871" s="22">
        <f>'Форма 2'!I2958</f>
        <v>6835619.3600000003</v>
      </c>
      <c r="K871" s="22">
        <v>0</v>
      </c>
      <c r="L871" s="22">
        <v>0</v>
      </c>
      <c r="M871" s="22">
        <v>0</v>
      </c>
      <c r="N871" s="22">
        <f t="shared" si="133"/>
        <v>6835619.3600000003</v>
      </c>
      <c r="O871" s="22">
        <v>0</v>
      </c>
      <c r="P871" s="22">
        <f t="shared" si="134"/>
        <v>2831</v>
      </c>
      <c r="Q871" s="22">
        <f>'Форма 2'!K2958</f>
        <v>2831</v>
      </c>
      <c r="R871" s="38" t="s">
        <v>498</v>
      </c>
      <c r="S871" s="172">
        <v>1</v>
      </c>
    </row>
    <row r="872" spans="1:19" ht="15.75" customHeight="1" x14ac:dyDescent="0.35">
      <c r="A872" s="11">
        <f>A871+1</f>
        <v>59</v>
      </c>
      <c r="B872" s="109">
        <v>2235</v>
      </c>
      <c r="C872" s="175" t="s">
        <v>142</v>
      </c>
      <c r="D872" s="97">
        <v>1985</v>
      </c>
      <c r="E872" s="97" t="s">
        <v>75</v>
      </c>
      <c r="F872" s="97" t="s">
        <v>158</v>
      </c>
      <c r="G872" s="22">
        <v>3951.8</v>
      </c>
      <c r="H872" s="22">
        <v>3471.8</v>
      </c>
      <c r="I872" s="108">
        <v>131</v>
      </c>
      <c r="J872" s="22">
        <f>'Форма 2'!I2961</f>
        <v>5291023.2</v>
      </c>
      <c r="K872" s="22">
        <v>0</v>
      </c>
      <c r="L872" s="22">
        <v>0</v>
      </c>
      <c r="M872" s="22">
        <v>0</v>
      </c>
      <c r="N872" s="22">
        <f>J872-K872-L872-M872-O872</f>
        <v>5291023.2</v>
      </c>
      <c r="O872" s="22">
        <v>0</v>
      </c>
      <c r="P872" s="22">
        <f>J872/H872</f>
        <v>1524</v>
      </c>
      <c r="Q872" s="22">
        <f>'Форма 2'!K2961</f>
        <v>1524</v>
      </c>
      <c r="R872" s="38" t="s">
        <v>498</v>
      </c>
      <c r="S872" s="172">
        <v>1</v>
      </c>
    </row>
    <row r="873" spans="1:19" ht="15.75" customHeight="1" x14ac:dyDescent="0.35">
      <c r="A873" s="11">
        <f>A872+1</f>
        <v>60</v>
      </c>
      <c r="B873" s="11">
        <v>2411</v>
      </c>
      <c r="C873" s="37" t="s">
        <v>143</v>
      </c>
      <c r="D873" s="97">
        <v>1907</v>
      </c>
      <c r="E873" s="97" t="s">
        <v>75</v>
      </c>
      <c r="F873" s="97" t="s">
        <v>158</v>
      </c>
      <c r="G873" s="22">
        <v>991.1</v>
      </c>
      <c r="H873" s="22">
        <v>812.8</v>
      </c>
      <c r="I873" s="84">
        <v>49</v>
      </c>
      <c r="J873" s="22">
        <f>'Форма 2'!I2964</f>
        <v>3842918.3999999999</v>
      </c>
      <c r="K873" s="22">
        <v>0</v>
      </c>
      <c r="L873" s="22">
        <v>0</v>
      </c>
      <c r="M873" s="22">
        <v>0</v>
      </c>
      <c r="N873" s="22">
        <f t="shared" si="133"/>
        <v>3842918.3999999999</v>
      </c>
      <c r="O873" s="22">
        <v>0</v>
      </c>
      <c r="P873" s="22">
        <f t="shared" si="134"/>
        <v>4728</v>
      </c>
      <c r="Q873" s="22">
        <f>'Форма 2'!K2964</f>
        <v>4728</v>
      </c>
      <c r="R873" s="38" t="s">
        <v>498</v>
      </c>
      <c r="S873" s="172">
        <v>1</v>
      </c>
    </row>
    <row r="874" spans="1:19" ht="31.5" customHeight="1" x14ac:dyDescent="0.35">
      <c r="A874" s="11">
        <f t="shared" si="132"/>
        <v>61</v>
      </c>
      <c r="B874" s="11">
        <v>2570</v>
      </c>
      <c r="C874" s="37" t="s">
        <v>144</v>
      </c>
      <c r="D874" s="96" t="s">
        <v>614</v>
      </c>
      <c r="E874" s="97" t="s">
        <v>439</v>
      </c>
      <c r="F874" s="97" t="s">
        <v>158</v>
      </c>
      <c r="G874" s="22">
        <v>718.4</v>
      </c>
      <c r="H874" s="22">
        <v>628.4</v>
      </c>
      <c r="I874" s="84">
        <v>20</v>
      </c>
      <c r="J874" s="22">
        <f>'Форма 2'!I2967</f>
        <v>655421.19999999995</v>
      </c>
      <c r="K874" s="22">
        <v>0</v>
      </c>
      <c r="L874" s="22">
        <v>0</v>
      </c>
      <c r="M874" s="22">
        <v>0</v>
      </c>
      <c r="N874" s="22">
        <f t="shared" si="133"/>
        <v>655421.19999999995</v>
      </c>
      <c r="O874" s="22">
        <v>0</v>
      </c>
      <c r="P874" s="22">
        <f t="shared" si="134"/>
        <v>1043</v>
      </c>
      <c r="Q874" s="22">
        <f>'Форма 2'!K2967</f>
        <v>1043</v>
      </c>
      <c r="R874" s="38" t="s">
        <v>498</v>
      </c>
      <c r="S874" s="172">
        <v>1</v>
      </c>
    </row>
    <row r="875" spans="1:19" ht="15.75" customHeight="1" x14ac:dyDescent="0.35">
      <c r="A875" s="11">
        <f t="shared" si="132"/>
        <v>62</v>
      </c>
      <c r="B875" s="11">
        <v>2412</v>
      </c>
      <c r="C875" s="37" t="s">
        <v>145</v>
      </c>
      <c r="D875" s="97">
        <v>1966</v>
      </c>
      <c r="E875" s="97" t="s">
        <v>75</v>
      </c>
      <c r="F875" s="97" t="s">
        <v>158</v>
      </c>
      <c r="G875" s="22">
        <v>1450.2</v>
      </c>
      <c r="H875" s="22">
        <v>1324.2</v>
      </c>
      <c r="I875" s="84">
        <v>63</v>
      </c>
      <c r="J875" s="22">
        <f>'Форма 2'!I2970</f>
        <v>3748810.2</v>
      </c>
      <c r="K875" s="22">
        <v>0</v>
      </c>
      <c r="L875" s="22">
        <v>0</v>
      </c>
      <c r="M875" s="22">
        <v>0</v>
      </c>
      <c r="N875" s="22">
        <f t="shared" si="133"/>
        <v>3748810.2</v>
      </c>
      <c r="O875" s="22">
        <v>0</v>
      </c>
      <c r="P875" s="22">
        <f t="shared" si="134"/>
        <v>2831</v>
      </c>
      <c r="Q875" s="22">
        <f>'Форма 2'!K2970</f>
        <v>2831</v>
      </c>
      <c r="R875" s="38" t="s">
        <v>498</v>
      </c>
      <c r="S875" s="172">
        <v>1</v>
      </c>
    </row>
    <row r="876" spans="1:19" ht="15.75" customHeight="1" x14ac:dyDescent="0.35">
      <c r="A876" s="11">
        <f t="shared" si="132"/>
        <v>63</v>
      </c>
      <c r="B876" s="11">
        <v>2416</v>
      </c>
      <c r="C876" s="37" t="s">
        <v>146</v>
      </c>
      <c r="D876" s="97">
        <v>1966</v>
      </c>
      <c r="E876" s="97" t="s">
        <v>75</v>
      </c>
      <c r="F876" s="97" t="s">
        <v>158</v>
      </c>
      <c r="G876" s="22">
        <v>2562.8000000000002</v>
      </c>
      <c r="H876" s="22">
        <v>2375.6</v>
      </c>
      <c r="I876" s="108">
        <v>90</v>
      </c>
      <c r="J876" s="22">
        <f>'Форма 2'!I2973</f>
        <v>6725323.5999999996</v>
      </c>
      <c r="K876" s="22">
        <v>0</v>
      </c>
      <c r="L876" s="22">
        <v>0</v>
      </c>
      <c r="M876" s="22">
        <v>0</v>
      </c>
      <c r="N876" s="22">
        <f t="shared" si="133"/>
        <v>6725323.5999999996</v>
      </c>
      <c r="O876" s="22">
        <v>0</v>
      </c>
      <c r="P876" s="22">
        <f t="shared" si="134"/>
        <v>2831</v>
      </c>
      <c r="Q876" s="22">
        <f>'Форма 2'!K2973</f>
        <v>2831</v>
      </c>
      <c r="R876" s="38" t="s">
        <v>498</v>
      </c>
      <c r="S876" s="172">
        <v>1</v>
      </c>
    </row>
    <row r="877" spans="1:19" ht="15.75" customHeight="1" x14ac:dyDescent="0.35">
      <c r="A877" s="11">
        <f t="shared" si="132"/>
        <v>64</v>
      </c>
      <c r="B877" s="11">
        <v>2432</v>
      </c>
      <c r="C877" s="37" t="s">
        <v>147</v>
      </c>
      <c r="D877" s="97">
        <v>1960</v>
      </c>
      <c r="E877" s="97" t="s">
        <v>439</v>
      </c>
      <c r="F877" s="97" t="s">
        <v>158</v>
      </c>
      <c r="G877" s="22">
        <v>1402.7</v>
      </c>
      <c r="H877" s="22">
        <v>1229.0999999999999</v>
      </c>
      <c r="I877" s="84">
        <v>53</v>
      </c>
      <c r="J877" s="22">
        <f>'Форма 2'!I2976</f>
        <v>1281951.3</v>
      </c>
      <c r="K877" s="22">
        <v>0</v>
      </c>
      <c r="L877" s="22">
        <v>0</v>
      </c>
      <c r="M877" s="22">
        <v>0</v>
      </c>
      <c r="N877" s="22">
        <f t="shared" si="133"/>
        <v>1281951.3</v>
      </c>
      <c r="O877" s="22">
        <v>0</v>
      </c>
      <c r="P877" s="22">
        <f t="shared" si="134"/>
        <v>1043</v>
      </c>
      <c r="Q877" s="22">
        <f>'Форма 2'!K2976</f>
        <v>1043</v>
      </c>
      <c r="R877" s="38" t="s">
        <v>498</v>
      </c>
      <c r="S877" s="172">
        <v>1</v>
      </c>
    </row>
    <row r="878" spans="1:19" ht="15.75" customHeight="1" x14ac:dyDescent="0.35">
      <c r="A878" s="11">
        <f t="shared" si="132"/>
        <v>65</v>
      </c>
      <c r="B878" s="11">
        <v>2434</v>
      </c>
      <c r="C878" s="37" t="s">
        <v>148</v>
      </c>
      <c r="D878" s="97">
        <v>1967</v>
      </c>
      <c r="E878" s="97" t="s">
        <v>75</v>
      </c>
      <c r="F878" s="97" t="s">
        <v>158</v>
      </c>
      <c r="G878" s="22">
        <v>3578.55</v>
      </c>
      <c r="H878" s="22">
        <v>3278.05</v>
      </c>
      <c r="I878" s="84">
        <v>163</v>
      </c>
      <c r="J878" s="22">
        <f>'Форма 2'!I2979</f>
        <v>11305994.449999999</v>
      </c>
      <c r="K878" s="22">
        <v>0</v>
      </c>
      <c r="L878" s="22">
        <v>0</v>
      </c>
      <c r="M878" s="22">
        <v>0</v>
      </c>
      <c r="N878" s="22">
        <f t="shared" si="133"/>
        <v>11305994.449999999</v>
      </c>
      <c r="O878" s="22">
        <v>0</v>
      </c>
      <c r="P878" s="22">
        <f t="shared" si="134"/>
        <v>3449</v>
      </c>
      <c r="Q878" s="22">
        <f>'Форма 2'!K2979</f>
        <v>3449</v>
      </c>
      <c r="R878" s="38" t="s">
        <v>498</v>
      </c>
      <c r="S878" s="172">
        <v>1</v>
      </c>
    </row>
    <row r="879" spans="1:19" ht="15.75" customHeight="1" x14ac:dyDescent="0.35">
      <c r="A879" s="11">
        <f t="shared" si="132"/>
        <v>66</v>
      </c>
      <c r="B879" s="11">
        <v>2967</v>
      </c>
      <c r="C879" s="37" t="s">
        <v>425</v>
      </c>
      <c r="D879" s="97">
        <v>1966</v>
      </c>
      <c r="E879" s="97" t="s">
        <v>293</v>
      </c>
      <c r="F879" s="97" t="s">
        <v>486</v>
      </c>
      <c r="G879" s="22">
        <v>4037.3</v>
      </c>
      <c r="H879" s="22">
        <v>3510.7</v>
      </c>
      <c r="I879" s="26">
        <v>182</v>
      </c>
      <c r="J879" s="22">
        <f>'Форма 2'!I2982</f>
        <v>417071.16</v>
      </c>
      <c r="K879" s="22">
        <v>0</v>
      </c>
      <c r="L879" s="22">
        <v>0</v>
      </c>
      <c r="M879" s="22">
        <v>0</v>
      </c>
      <c r="N879" s="22">
        <f t="shared" si="133"/>
        <v>417071.16</v>
      </c>
      <c r="O879" s="22">
        <v>0</v>
      </c>
      <c r="P879" s="22">
        <f t="shared" si="134"/>
        <v>118.8</v>
      </c>
      <c r="Q879" s="22">
        <f>'Форма 2'!K2982</f>
        <v>168</v>
      </c>
      <c r="R879" s="38" t="s">
        <v>498</v>
      </c>
      <c r="S879" s="172">
        <v>1</v>
      </c>
    </row>
    <row r="880" spans="1:19" ht="15.75" customHeight="1" x14ac:dyDescent="0.35">
      <c r="A880" s="11">
        <f t="shared" si="132"/>
        <v>67</v>
      </c>
      <c r="B880" s="109">
        <v>2291</v>
      </c>
      <c r="C880" s="175" t="s">
        <v>149</v>
      </c>
      <c r="D880" s="97">
        <v>1962</v>
      </c>
      <c r="E880" s="97" t="s">
        <v>75</v>
      </c>
      <c r="F880" s="97" t="s">
        <v>158</v>
      </c>
      <c r="G880" s="22">
        <v>1376.1</v>
      </c>
      <c r="H880" s="22">
        <v>1274.0999999999999</v>
      </c>
      <c r="I880" s="84">
        <v>65</v>
      </c>
      <c r="J880" s="22">
        <f>'Форма 2'!I2985</f>
        <v>6023944.7999999998</v>
      </c>
      <c r="K880" s="22">
        <v>0</v>
      </c>
      <c r="L880" s="22">
        <v>0</v>
      </c>
      <c r="M880" s="22">
        <v>0</v>
      </c>
      <c r="N880" s="22">
        <f t="shared" si="133"/>
        <v>6023944.7999999998</v>
      </c>
      <c r="O880" s="22">
        <v>0</v>
      </c>
      <c r="P880" s="22">
        <f t="shared" si="134"/>
        <v>4728</v>
      </c>
      <c r="Q880" s="22">
        <f>'Форма 2'!K2985</f>
        <v>4728</v>
      </c>
      <c r="R880" s="38" t="s">
        <v>498</v>
      </c>
      <c r="S880" s="172">
        <v>1</v>
      </c>
    </row>
    <row r="881" spans="1:19" ht="15.75" customHeight="1" x14ac:dyDescent="0.35">
      <c r="A881" s="11">
        <f t="shared" si="132"/>
        <v>68</v>
      </c>
      <c r="B881" s="11">
        <v>2451</v>
      </c>
      <c r="C881" s="37" t="s">
        <v>150</v>
      </c>
      <c r="D881" s="97">
        <v>1967</v>
      </c>
      <c r="E881" s="97" t="s">
        <v>75</v>
      </c>
      <c r="F881" s="97" t="s">
        <v>158</v>
      </c>
      <c r="G881" s="22">
        <v>4163.6000000000004</v>
      </c>
      <c r="H881" s="22">
        <v>3730.46</v>
      </c>
      <c r="I881" s="84">
        <v>167</v>
      </c>
      <c r="J881" s="22">
        <f>'Форма 2'!I2988</f>
        <v>10560932.26</v>
      </c>
      <c r="K881" s="22">
        <v>0</v>
      </c>
      <c r="L881" s="22">
        <v>0</v>
      </c>
      <c r="M881" s="22">
        <v>0</v>
      </c>
      <c r="N881" s="22">
        <f t="shared" si="133"/>
        <v>10560932.26</v>
      </c>
      <c r="O881" s="22">
        <v>0</v>
      </c>
      <c r="P881" s="22">
        <f t="shared" si="134"/>
        <v>2831</v>
      </c>
      <c r="Q881" s="22">
        <f>'Форма 2'!K2988</f>
        <v>2831</v>
      </c>
      <c r="R881" s="38" t="s">
        <v>498</v>
      </c>
      <c r="S881" s="172">
        <v>1</v>
      </c>
    </row>
    <row r="882" spans="1:19" ht="15.75" customHeight="1" x14ac:dyDescent="0.35">
      <c r="A882" s="11">
        <f t="shared" si="132"/>
        <v>69</v>
      </c>
      <c r="B882" s="11">
        <v>2452</v>
      </c>
      <c r="C882" s="37" t="s">
        <v>151</v>
      </c>
      <c r="D882" s="97">
        <v>1960</v>
      </c>
      <c r="E882" s="97" t="s">
        <v>75</v>
      </c>
      <c r="F882" s="97" t="s">
        <v>158</v>
      </c>
      <c r="G882" s="64">
        <v>1716.62</v>
      </c>
      <c r="H882" s="22">
        <v>1545.52</v>
      </c>
      <c r="I882" s="84">
        <v>121</v>
      </c>
      <c r="J882" s="22">
        <f>'Форма 2'!I2991</f>
        <v>7307218.5599999996</v>
      </c>
      <c r="K882" s="22">
        <v>0</v>
      </c>
      <c r="L882" s="22">
        <v>0</v>
      </c>
      <c r="M882" s="22">
        <v>0</v>
      </c>
      <c r="N882" s="22">
        <f t="shared" si="133"/>
        <v>7307218.5599999996</v>
      </c>
      <c r="O882" s="22">
        <v>0</v>
      </c>
      <c r="P882" s="22">
        <f t="shared" si="134"/>
        <v>4728</v>
      </c>
      <c r="Q882" s="22">
        <f>'Форма 2'!K2991</f>
        <v>4728</v>
      </c>
      <c r="R882" s="38" t="s">
        <v>498</v>
      </c>
      <c r="S882" s="172">
        <v>1</v>
      </c>
    </row>
    <row r="883" spans="1:19" ht="15.75" customHeight="1" x14ac:dyDescent="0.35">
      <c r="A883" s="11">
        <f t="shared" si="132"/>
        <v>70</v>
      </c>
      <c r="B883" s="11">
        <v>2315</v>
      </c>
      <c r="C883" s="37" t="s">
        <v>152</v>
      </c>
      <c r="D883" s="97">
        <v>1960</v>
      </c>
      <c r="E883" s="97" t="s">
        <v>75</v>
      </c>
      <c r="F883" s="97" t="s">
        <v>158</v>
      </c>
      <c r="G883" s="22">
        <v>723.5</v>
      </c>
      <c r="H883" s="22">
        <v>669.5</v>
      </c>
      <c r="I883" s="84">
        <v>31</v>
      </c>
      <c r="J883" s="22">
        <f>'Форма 2'!I2994</f>
        <v>4730687</v>
      </c>
      <c r="K883" s="22">
        <v>0</v>
      </c>
      <c r="L883" s="22">
        <v>0</v>
      </c>
      <c r="M883" s="22">
        <v>0</v>
      </c>
      <c r="N883" s="22">
        <f t="shared" si="133"/>
        <v>4730687</v>
      </c>
      <c r="O883" s="22">
        <v>0</v>
      </c>
      <c r="P883" s="22">
        <f t="shared" si="134"/>
        <v>7066</v>
      </c>
      <c r="Q883" s="22">
        <f>'Форма 2'!K2994</f>
        <v>7066</v>
      </c>
      <c r="R883" s="38" t="s">
        <v>498</v>
      </c>
      <c r="S883" s="172">
        <v>1</v>
      </c>
    </row>
    <row r="884" spans="1:19" ht="15.75" customHeight="1" x14ac:dyDescent="0.35">
      <c r="A884" s="11">
        <f t="shared" si="132"/>
        <v>71</v>
      </c>
      <c r="B884" s="11">
        <v>2911</v>
      </c>
      <c r="C884" s="37" t="s">
        <v>431</v>
      </c>
      <c r="D884" s="97">
        <v>1900</v>
      </c>
      <c r="E884" s="97" t="s">
        <v>75</v>
      </c>
      <c r="F884" s="97" t="s">
        <v>486</v>
      </c>
      <c r="G884" s="22">
        <v>208.24</v>
      </c>
      <c r="H884" s="22">
        <v>170.5</v>
      </c>
      <c r="I884" s="26">
        <v>9</v>
      </c>
      <c r="J884" s="22">
        <f>'Форма 2'!I2997</f>
        <v>850897.3</v>
      </c>
      <c r="K884" s="22">
        <v>0</v>
      </c>
      <c r="L884" s="22">
        <v>0</v>
      </c>
      <c r="M884" s="22">
        <v>0</v>
      </c>
      <c r="N884" s="22">
        <f t="shared" si="133"/>
        <v>850897.3</v>
      </c>
      <c r="O884" s="22">
        <v>0</v>
      </c>
      <c r="P884" s="22">
        <f t="shared" si="134"/>
        <v>4990.6000000000004</v>
      </c>
      <c r="Q884" s="22">
        <f>'Форма 2'!K2997</f>
        <v>7066</v>
      </c>
      <c r="R884" s="38" t="s">
        <v>498</v>
      </c>
      <c r="S884" s="172">
        <v>1</v>
      </c>
    </row>
    <row r="885" spans="1:19" x14ac:dyDescent="0.35">
      <c r="A885" s="11">
        <f>A884+1</f>
        <v>72</v>
      </c>
      <c r="B885" s="11">
        <v>2482</v>
      </c>
      <c r="C885" s="37" t="s">
        <v>153</v>
      </c>
      <c r="D885" s="97">
        <v>1953</v>
      </c>
      <c r="E885" s="97" t="s">
        <v>75</v>
      </c>
      <c r="F885" s="97" t="s">
        <v>158</v>
      </c>
      <c r="G885" s="22">
        <f>949.1+288</f>
        <v>1237.0999999999999</v>
      </c>
      <c r="H885" s="22">
        <v>949.1</v>
      </c>
      <c r="I885" s="84">
        <v>55</v>
      </c>
      <c r="J885" s="22">
        <f>'Форма 2'!I3000</f>
        <v>4487344.8</v>
      </c>
      <c r="K885" s="22">
        <v>0</v>
      </c>
      <c r="L885" s="22">
        <v>0</v>
      </c>
      <c r="M885" s="22">
        <v>0</v>
      </c>
      <c r="N885" s="22">
        <f t="shared" si="133"/>
        <v>4487344.8</v>
      </c>
      <c r="O885" s="22">
        <v>0</v>
      </c>
      <c r="P885" s="22">
        <f t="shared" si="134"/>
        <v>4728</v>
      </c>
      <c r="Q885" s="22">
        <f>'Форма 2'!K3000</f>
        <v>4728</v>
      </c>
      <c r="R885" s="38" t="s">
        <v>498</v>
      </c>
      <c r="S885" s="172">
        <v>1</v>
      </c>
    </row>
    <row r="886" spans="1:19" ht="15.75" customHeight="1" x14ac:dyDescent="0.35">
      <c r="A886" s="246" t="s">
        <v>36</v>
      </c>
      <c r="B886" s="246"/>
      <c r="C886" s="246"/>
      <c r="D886" s="23" t="s">
        <v>13</v>
      </c>
      <c r="E886" s="22" t="s">
        <v>13</v>
      </c>
      <c r="F886" s="22" t="s">
        <v>13</v>
      </c>
      <c r="G886" s="25">
        <f>G887</f>
        <v>711.71</v>
      </c>
      <c r="H886" s="25">
        <f t="shared" ref="H886:O886" si="135">H887</f>
        <v>650.34</v>
      </c>
      <c r="I886" s="101">
        <f t="shared" si="135"/>
        <v>23</v>
      </c>
      <c r="J886" s="25">
        <f t="shared" si="135"/>
        <v>3708774.72</v>
      </c>
      <c r="K886" s="25">
        <f t="shared" si="135"/>
        <v>0</v>
      </c>
      <c r="L886" s="25">
        <f t="shared" si="135"/>
        <v>0</v>
      </c>
      <c r="M886" s="25">
        <f t="shared" si="135"/>
        <v>0</v>
      </c>
      <c r="N886" s="25">
        <f t="shared" si="135"/>
        <v>3708774.72</v>
      </c>
      <c r="O886" s="25">
        <f t="shared" si="135"/>
        <v>0</v>
      </c>
      <c r="P886" s="22" t="s">
        <v>13</v>
      </c>
      <c r="Q886" s="22" t="s">
        <v>13</v>
      </c>
      <c r="R886" s="22" t="s">
        <v>13</v>
      </c>
      <c r="S886" s="26" t="s">
        <v>13</v>
      </c>
    </row>
    <row r="887" spans="1:19" x14ac:dyDescent="0.35">
      <c r="A887" s="39">
        <v>1</v>
      </c>
      <c r="B887" s="39">
        <v>4837</v>
      </c>
      <c r="C887" s="50" t="s">
        <v>664</v>
      </c>
      <c r="D887" s="41">
        <v>1969</v>
      </c>
      <c r="E887" s="42" t="s">
        <v>75</v>
      </c>
      <c r="F887" s="42" t="s">
        <v>158</v>
      </c>
      <c r="G887" s="25">
        <v>711.71</v>
      </c>
      <c r="H887" s="22">
        <v>650.34</v>
      </c>
      <c r="I887" s="103">
        <v>23</v>
      </c>
      <c r="J887" s="22">
        <f>'Форма 2'!I3004</f>
        <v>3708774.72</v>
      </c>
      <c r="K887" s="22">
        <v>0</v>
      </c>
      <c r="L887" s="22">
        <v>0</v>
      </c>
      <c r="M887" s="22">
        <v>0</v>
      </c>
      <c r="N887" s="22">
        <f>J887-O887</f>
        <v>3708774.72</v>
      </c>
      <c r="O887" s="22">
        <v>0</v>
      </c>
      <c r="P887" s="22">
        <f>J887/H887</f>
        <v>5702.82</v>
      </c>
      <c r="Q887" s="22">
        <f>'Форма 2'!K3004</f>
        <v>7066</v>
      </c>
      <c r="R887" s="34" t="s">
        <v>498</v>
      </c>
      <c r="S887" s="172">
        <v>1</v>
      </c>
    </row>
    <row r="888" spans="1:19" ht="15.75" customHeight="1" x14ac:dyDescent="0.35">
      <c r="A888" s="246" t="s">
        <v>37</v>
      </c>
      <c r="B888" s="246"/>
      <c r="C888" s="246"/>
      <c r="D888" s="23" t="s">
        <v>13</v>
      </c>
      <c r="E888" s="22" t="s">
        <v>13</v>
      </c>
      <c r="F888" s="22" t="s">
        <v>13</v>
      </c>
      <c r="G888" s="25">
        <f>G889</f>
        <v>595.89</v>
      </c>
      <c r="H888" s="25">
        <f t="shared" ref="H888:O888" si="136">H889</f>
        <v>527.49</v>
      </c>
      <c r="I888" s="101">
        <f t="shared" si="136"/>
        <v>28</v>
      </c>
      <c r="J888" s="25">
        <f t="shared" si="136"/>
        <v>5006935.08</v>
      </c>
      <c r="K888" s="25">
        <f t="shared" si="136"/>
        <v>0</v>
      </c>
      <c r="L888" s="25">
        <f t="shared" si="136"/>
        <v>0</v>
      </c>
      <c r="M888" s="25">
        <f t="shared" si="136"/>
        <v>0</v>
      </c>
      <c r="N888" s="25">
        <f t="shared" si="136"/>
        <v>5006935.08</v>
      </c>
      <c r="O888" s="25">
        <f t="shared" si="136"/>
        <v>0</v>
      </c>
      <c r="P888" s="22" t="s">
        <v>13</v>
      </c>
      <c r="Q888" s="22" t="s">
        <v>13</v>
      </c>
      <c r="R888" s="22" t="s">
        <v>13</v>
      </c>
      <c r="S888" s="26" t="s">
        <v>13</v>
      </c>
    </row>
    <row r="889" spans="1:19" x14ac:dyDescent="0.35">
      <c r="A889" s="146">
        <v>1</v>
      </c>
      <c r="B889" s="123">
        <v>7309</v>
      </c>
      <c r="C889" s="117" t="s">
        <v>621</v>
      </c>
      <c r="D889" s="97">
        <v>1975</v>
      </c>
      <c r="E889" s="97" t="s">
        <v>439</v>
      </c>
      <c r="F889" s="97" t="s">
        <v>158</v>
      </c>
      <c r="G889" s="25">
        <v>595.89</v>
      </c>
      <c r="H889" s="25">
        <v>527.49</v>
      </c>
      <c r="I889" s="101">
        <v>28</v>
      </c>
      <c r="J889" s="25">
        <f>'Форма 2'!I3008</f>
        <v>5006935.08</v>
      </c>
      <c r="K889" s="25">
        <v>0</v>
      </c>
      <c r="L889" s="25">
        <v>0</v>
      </c>
      <c r="M889" s="25">
        <v>0</v>
      </c>
      <c r="N889" s="25">
        <f>J889</f>
        <v>5006935.08</v>
      </c>
      <c r="O889" s="22">
        <v>0</v>
      </c>
      <c r="P889" s="22">
        <f>J889/H889</f>
        <v>9492</v>
      </c>
      <c r="Q889" s="22">
        <f>'Форма 2'!K3008</f>
        <v>9492</v>
      </c>
      <c r="R889" s="38" t="s">
        <v>498</v>
      </c>
      <c r="S889" s="26">
        <v>1</v>
      </c>
    </row>
    <row r="890" spans="1:19" ht="15.75" customHeight="1" x14ac:dyDescent="0.35">
      <c r="A890" s="246" t="s">
        <v>39</v>
      </c>
      <c r="B890" s="246"/>
      <c r="C890" s="246"/>
      <c r="D890" s="23" t="s">
        <v>13</v>
      </c>
      <c r="E890" s="22" t="s">
        <v>13</v>
      </c>
      <c r="F890" s="22" t="s">
        <v>13</v>
      </c>
      <c r="G890" s="25">
        <f>G891</f>
        <v>426.2</v>
      </c>
      <c r="H890" s="25">
        <f t="shared" ref="H890:O890" si="137">H891</f>
        <v>401.2</v>
      </c>
      <c r="I890" s="101">
        <f t="shared" si="137"/>
        <v>15</v>
      </c>
      <c r="J890" s="25">
        <f t="shared" si="137"/>
        <v>2834879.2</v>
      </c>
      <c r="K890" s="25">
        <f t="shared" si="137"/>
        <v>0</v>
      </c>
      <c r="L890" s="25">
        <f t="shared" si="137"/>
        <v>0</v>
      </c>
      <c r="M890" s="25">
        <f t="shared" si="137"/>
        <v>0</v>
      </c>
      <c r="N890" s="25">
        <f t="shared" si="137"/>
        <v>2834879.2</v>
      </c>
      <c r="O890" s="25">
        <f t="shared" si="137"/>
        <v>0</v>
      </c>
      <c r="P890" s="22" t="s">
        <v>13</v>
      </c>
      <c r="Q890" s="22" t="s">
        <v>13</v>
      </c>
      <c r="R890" s="22" t="s">
        <v>13</v>
      </c>
      <c r="S890" s="26" t="s">
        <v>13</v>
      </c>
    </row>
    <row r="891" spans="1:19" x14ac:dyDescent="0.35">
      <c r="A891" s="39">
        <v>1</v>
      </c>
      <c r="B891" s="39">
        <v>6736</v>
      </c>
      <c r="C891" s="52" t="s">
        <v>622</v>
      </c>
      <c r="D891" s="141">
        <v>1963</v>
      </c>
      <c r="E891" s="110" t="s">
        <v>75</v>
      </c>
      <c r="F891" s="110" t="s">
        <v>158</v>
      </c>
      <c r="G891" s="53">
        <v>426.2</v>
      </c>
      <c r="H891" s="86">
        <v>401.2</v>
      </c>
      <c r="I891" s="150">
        <v>15</v>
      </c>
      <c r="J891" s="22">
        <f>'Форма 2'!I3014</f>
        <v>2834879.2</v>
      </c>
      <c r="K891" s="22">
        <v>0</v>
      </c>
      <c r="L891" s="22">
        <v>0</v>
      </c>
      <c r="M891" s="22">
        <v>0</v>
      </c>
      <c r="N891" s="22">
        <f>J891-O891</f>
        <v>2834879.2</v>
      </c>
      <c r="O891" s="22">
        <v>0</v>
      </c>
      <c r="P891" s="22">
        <f>N891/H891</f>
        <v>7066</v>
      </c>
      <c r="Q891" s="19">
        <f>'Форма 2'!K3014</f>
        <v>7066</v>
      </c>
      <c r="R891" s="34" t="s">
        <v>498</v>
      </c>
      <c r="S891" s="172">
        <v>1</v>
      </c>
    </row>
    <row r="892" spans="1:19" ht="15.75" customHeight="1" x14ac:dyDescent="0.35">
      <c r="A892" s="246" t="s">
        <v>40</v>
      </c>
      <c r="B892" s="246"/>
      <c r="C892" s="246"/>
      <c r="D892" s="23" t="s">
        <v>13</v>
      </c>
      <c r="E892" s="22" t="s">
        <v>13</v>
      </c>
      <c r="F892" s="22" t="s">
        <v>13</v>
      </c>
      <c r="G892" s="22">
        <f>SUM(G893:G899)</f>
        <v>9831.27</v>
      </c>
      <c r="H892" s="22">
        <f t="shared" ref="H892:O892" si="138">SUM(H893:H899)</f>
        <v>7537.6</v>
      </c>
      <c r="I892" s="26">
        <f t="shared" si="138"/>
        <v>267</v>
      </c>
      <c r="J892" s="22">
        <f t="shared" si="138"/>
        <v>28631492.379999999</v>
      </c>
      <c r="K892" s="22">
        <f t="shared" si="138"/>
        <v>0</v>
      </c>
      <c r="L892" s="22">
        <f t="shared" si="138"/>
        <v>0</v>
      </c>
      <c r="M892" s="22">
        <f t="shared" si="138"/>
        <v>0</v>
      </c>
      <c r="N892" s="22">
        <f t="shared" si="138"/>
        <v>28631492.379999999</v>
      </c>
      <c r="O892" s="22">
        <f t="shared" si="138"/>
        <v>0</v>
      </c>
      <c r="P892" s="22" t="s">
        <v>13</v>
      </c>
      <c r="Q892" s="22" t="s">
        <v>13</v>
      </c>
      <c r="R892" s="22" t="s">
        <v>13</v>
      </c>
      <c r="S892" s="26" t="s">
        <v>13</v>
      </c>
    </row>
    <row r="893" spans="1:19" ht="15.75" customHeight="1" x14ac:dyDescent="0.35">
      <c r="A893" s="54">
        <v>1</v>
      </c>
      <c r="B893" s="55">
        <v>5598</v>
      </c>
      <c r="C893" s="56" t="s">
        <v>624</v>
      </c>
      <c r="D893" s="57">
        <v>1958</v>
      </c>
      <c r="E893" s="42" t="s">
        <v>75</v>
      </c>
      <c r="F893" s="42" t="s">
        <v>486</v>
      </c>
      <c r="G893" s="25">
        <v>454.4</v>
      </c>
      <c r="H893" s="22">
        <v>430.4</v>
      </c>
      <c r="I893" s="103">
        <v>14</v>
      </c>
      <c r="J893" s="58">
        <f>'Форма 2'!I3018</f>
        <v>2291750.88</v>
      </c>
      <c r="K893" s="25">
        <v>0</v>
      </c>
      <c r="L893" s="25">
        <v>0</v>
      </c>
      <c r="M893" s="25">
        <v>0</v>
      </c>
      <c r="N893" s="22">
        <f t="shared" ref="N893:N898" si="139">J893-K893-L893-M893-O893</f>
        <v>2291750.88</v>
      </c>
      <c r="O893" s="25">
        <v>0</v>
      </c>
      <c r="P893" s="22">
        <f t="shared" ref="P893:P899" si="140">J893/H893</f>
        <v>5324.7</v>
      </c>
      <c r="Q893" s="58">
        <f>'Форма 2'!K3018</f>
        <v>7539</v>
      </c>
      <c r="R893" s="34" t="s">
        <v>498</v>
      </c>
      <c r="S893" s="172">
        <v>1</v>
      </c>
    </row>
    <row r="894" spans="1:19" ht="15.75" customHeight="1" x14ac:dyDescent="0.35">
      <c r="A894" s="54">
        <f t="shared" ref="A894:A899" si="141">A893+1</f>
        <v>2</v>
      </c>
      <c r="B894" s="55">
        <v>5398</v>
      </c>
      <c r="C894" s="59" t="s">
        <v>625</v>
      </c>
      <c r="D894" s="60">
        <v>1958</v>
      </c>
      <c r="E894" s="42" t="s">
        <v>75</v>
      </c>
      <c r="F894" s="42" t="s">
        <v>158</v>
      </c>
      <c r="G894" s="25">
        <v>482.6</v>
      </c>
      <c r="H894" s="22">
        <v>474.6</v>
      </c>
      <c r="I894" s="103">
        <v>15</v>
      </c>
      <c r="J894" s="58">
        <f>'Форма 2'!I3021</f>
        <v>3578009.4</v>
      </c>
      <c r="K894" s="22">
        <v>0</v>
      </c>
      <c r="L894" s="22">
        <v>0</v>
      </c>
      <c r="M894" s="22">
        <v>0</v>
      </c>
      <c r="N894" s="22">
        <f t="shared" si="139"/>
        <v>3578009.4</v>
      </c>
      <c r="O894" s="22">
        <v>0</v>
      </c>
      <c r="P894" s="22">
        <f t="shared" si="140"/>
        <v>7539</v>
      </c>
      <c r="Q894" s="58">
        <f>'Форма 2'!K3021</f>
        <v>7539</v>
      </c>
      <c r="R894" s="34" t="s">
        <v>498</v>
      </c>
      <c r="S894" s="172">
        <v>1</v>
      </c>
    </row>
    <row r="895" spans="1:19" ht="15.75" customHeight="1" x14ac:dyDescent="0.35">
      <c r="A895" s="54">
        <f t="shared" si="141"/>
        <v>3</v>
      </c>
      <c r="B895" s="39">
        <v>5399</v>
      </c>
      <c r="C895" s="40" t="s">
        <v>626</v>
      </c>
      <c r="D895" s="42">
        <v>1958</v>
      </c>
      <c r="E895" s="42" t="s">
        <v>75</v>
      </c>
      <c r="F895" s="42" t="s">
        <v>486</v>
      </c>
      <c r="G895" s="25">
        <v>447.2</v>
      </c>
      <c r="H895" s="22">
        <v>413</v>
      </c>
      <c r="I895" s="105">
        <v>13</v>
      </c>
      <c r="J895" s="22">
        <f>'Форма 2'!I3024</f>
        <v>2199101.1</v>
      </c>
      <c r="K895" s="22">
        <v>0</v>
      </c>
      <c r="L895" s="22">
        <v>0</v>
      </c>
      <c r="M895" s="22">
        <v>0</v>
      </c>
      <c r="N895" s="22">
        <f t="shared" si="139"/>
        <v>2199101.1</v>
      </c>
      <c r="O895" s="22">
        <v>0</v>
      </c>
      <c r="P895" s="22">
        <f t="shared" si="140"/>
        <v>5324.7</v>
      </c>
      <c r="Q895" s="22">
        <f>'Форма 2'!K3024</f>
        <v>7539</v>
      </c>
      <c r="R895" s="34" t="s">
        <v>498</v>
      </c>
      <c r="S895" s="172">
        <v>1</v>
      </c>
    </row>
    <row r="896" spans="1:19" ht="15.75" customHeight="1" x14ac:dyDescent="0.35">
      <c r="A896" s="54">
        <f t="shared" si="141"/>
        <v>4</v>
      </c>
      <c r="B896" s="55">
        <v>5412</v>
      </c>
      <c r="C896" s="59" t="s">
        <v>627</v>
      </c>
      <c r="D896" s="60">
        <v>1958</v>
      </c>
      <c r="E896" s="42" t="s">
        <v>75</v>
      </c>
      <c r="F896" s="42" t="s">
        <v>158</v>
      </c>
      <c r="G896" s="25">
        <v>462.5</v>
      </c>
      <c r="H896" s="22">
        <v>442</v>
      </c>
      <c r="I896" s="105">
        <v>30</v>
      </c>
      <c r="J896" s="58">
        <f>'Форма 2'!I3027</f>
        <v>3332238</v>
      </c>
      <c r="K896" s="22">
        <v>0</v>
      </c>
      <c r="L896" s="22">
        <v>0</v>
      </c>
      <c r="M896" s="22">
        <v>0</v>
      </c>
      <c r="N896" s="22">
        <f t="shared" si="139"/>
        <v>3332238</v>
      </c>
      <c r="O896" s="22">
        <v>0</v>
      </c>
      <c r="P896" s="22">
        <f t="shared" si="140"/>
        <v>7539</v>
      </c>
      <c r="Q896" s="58">
        <f>'Форма 2'!K3027</f>
        <v>7539</v>
      </c>
      <c r="R896" s="34" t="s">
        <v>498</v>
      </c>
      <c r="S896" s="172">
        <v>1</v>
      </c>
    </row>
    <row r="897" spans="1:19" ht="15.75" customHeight="1" x14ac:dyDescent="0.35">
      <c r="A897" s="54">
        <f t="shared" si="141"/>
        <v>5</v>
      </c>
      <c r="B897" s="55">
        <v>5423</v>
      </c>
      <c r="C897" s="59" t="s">
        <v>628</v>
      </c>
      <c r="D897" s="60">
        <v>1974</v>
      </c>
      <c r="E897" s="42" t="s">
        <v>75</v>
      </c>
      <c r="F897" s="42" t="s">
        <v>158</v>
      </c>
      <c r="G897" s="25">
        <v>4287.87</v>
      </c>
      <c r="H897" s="22">
        <v>2954.3</v>
      </c>
      <c r="I897" s="105">
        <v>95</v>
      </c>
      <c r="J897" s="58">
        <f>'Форма 2'!I3030</f>
        <v>9060838.0999999996</v>
      </c>
      <c r="K897" s="22">
        <v>0</v>
      </c>
      <c r="L897" s="22">
        <v>0</v>
      </c>
      <c r="M897" s="22">
        <v>0</v>
      </c>
      <c r="N897" s="22">
        <f t="shared" si="139"/>
        <v>9060838.0999999996</v>
      </c>
      <c r="O897" s="22">
        <v>0</v>
      </c>
      <c r="P897" s="22">
        <f t="shared" si="140"/>
        <v>3067</v>
      </c>
      <c r="Q897" s="58">
        <f>'Форма 2'!K3030</f>
        <v>3067</v>
      </c>
      <c r="R897" s="34" t="s">
        <v>498</v>
      </c>
      <c r="S897" s="172">
        <v>1</v>
      </c>
    </row>
    <row r="898" spans="1:19" ht="15.75" customHeight="1" x14ac:dyDescent="0.35">
      <c r="A898" s="54">
        <f t="shared" si="141"/>
        <v>6</v>
      </c>
      <c r="B898" s="55">
        <v>5488</v>
      </c>
      <c r="C898" s="59" t="s">
        <v>633</v>
      </c>
      <c r="D898" s="41">
        <v>1993</v>
      </c>
      <c r="E898" s="42" t="s">
        <v>233</v>
      </c>
      <c r="F898" s="42" t="s">
        <v>158</v>
      </c>
      <c r="G898" s="25">
        <v>2250.1999999999998</v>
      </c>
      <c r="H898" s="22">
        <v>1543.3</v>
      </c>
      <c r="I898" s="105">
        <v>50</v>
      </c>
      <c r="J898" s="58">
        <f>'Форма 2'!I3033</f>
        <v>1316434.8999999999</v>
      </c>
      <c r="K898" s="22">
        <v>0</v>
      </c>
      <c r="L898" s="22">
        <v>0</v>
      </c>
      <c r="M898" s="22">
        <v>0</v>
      </c>
      <c r="N898" s="22">
        <f t="shared" si="139"/>
        <v>1316434.8999999999</v>
      </c>
      <c r="O898" s="22">
        <v>0</v>
      </c>
      <c r="P898" s="22">
        <f t="shared" si="140"/>
        <v>853</v>
      </c>
      <c r="Q898" s="58">
        <f>'Форма 2'!K3033</f>
        <v>853</v>
      </c>
      <c r="R898" s="34" t="s">
        <v>498</v>
      </c>
      <c r="S898" s="172">
        <v>1</v>
      </c>
    </row>
    <row r="899" spans="1:19" x14ac:dyDescent="0.35">
      <c r="A899" s="54">
        <f t="shared" si="141"/>
        <v>7</v>
      </c>
      <c r="B899" s="54">
        <v>5778</v>
      </c>
      <c r="C899" s="117" t="s">
        <v>636</v>
      </c>
      <c r="D899" s="57">
        <v>1982</v>
      </c>
      <c r="E899" s="42" t="s">
        <v>75</v>
      </c>
      <c r="F899" s="42" t="s">
        <v>158</v>
      </c>
      <c r="G899" s="25">
        <v>1446.5</v>
      </c>
      <c r="H899" s="22">
        <v>1280</v>
      </c>
      <c r="I899" s="105">
        <v>50</v>
      </c>
      <c r="J899" s="61">
        <f>'Форма 2'!I3036</f>
        <v>6853120</v>
      </c>
      <c r="K899" s="22">
        <v>0</v>
      </c>
      <c r="L899" s="22">
        <v>0</v>
      </c>
      <c r="M899" s="22">
        <v>0</v>
      </c>
      <c r="N899" s="22">
        <f>J899-K899-L899-M899-O899</f>
        <v>6853120</v>
      </c>
      <c r="O899" s="61">
        <v>0</v>
      </c>
      <c r="P899" s="22">
        <f t="shared" si="140"/>
        <v>5354</v>
      </c>
      <c r="Q899" s="61">
        <f>'Форма 2'!K3036</f>
        <v>5354</v>
      </c>
      <c r="R899" s="34" t="s">
        <v>498</v>
      </c>
      <c r="S899" s="172">
        <v>1</v>
      </c>
    </row>
    <row r="900" spans="1:19" ht="15.75" customHeight="1" x14ac:dyDescent="0.35">
      <c r="A900" s="246" t="s">
        <v>53</v>
      </c>
      <c r="B900" s="246"/>
      <c r="C900" s="246"/>
      <c r="D900" s="23" t="s">
        <v>13</v>
      </c>
      <c r="E900" s="22" t="s">
        <v>13</v>
      </c>
      <c r="F900" s="22" t="s">
        <v>13</v>
      </c>
      <c r="G900" s="22">
        <f>G901</f>
        <v>441</v>
      </c>
      <c r="H900" s="22">
        <f t="shared" ref="H900:O900" si="142">H901</f>
        <v>400</v>
      </c>
      <c r="I900" s="26">
        <f t="shared" si="142"/>
        <v>15</v>
      </c>
      <c r="J900" s="22">
        <f t="shared" si="142"/>
        <v>3015600</v>
      </c>
      <c r="K900" s="22">
        <f t="shared" si="142"/>
        <v>0</v>
      </c>
      <c r="L900" s="22">
        <f t="shared" si="142"/>
        <v>0</v>
      </c>
      <c r="M900" s="22">
        <f t="shared" si="142"/>
        <v>0</v>
      </c>
      <c r="N900" s="22">
        <f t="shared" si="142"/>
        <v>3015600</v>
      </c>
      <c r="O900" s="22">
        <f t="shared" si="142"/>
        <v>0</v>
      </c>
      <c r="P900" s="22" t="s">
        <v>13</v>
      </c>
      <c r="Q900" s="22" t="s">
        <v>13</v>
      </c>
      <c r="R900" s="22" t="s">
        <v>13</v>
      </c>
      <c r="S900" s="26" t="s">
        <v>13</v>
      </c>
    </row>
    <row r="901" spans="1:19" x14ac:dyDescent="0.35">
      <c r="A901" s="141">
        <v>1</v>
      </c>
      <c r="B901" s="66">
        <v>6812</v>
      </c>
      <c r="C901" s="148" t="s">
        <v>637</v>
      </c>
      <c r="D901" s="141">
        <v>1955</v>
      </c>
      <c r="E901" s="110" t="s">
        <v>75</v>
      </c>
      <c r="F901" s="110" t="s">
        <v>158</v>
      </c>
      <c r="G901" s="53">
        <v>441</v>
      </c>
      <c r="H901" s="22">
        <v>400</v>
      </c>
      <c r="I901" s="150">
        <v>15</v>
      </c>
      <c r="J901" s="58">
        <f>'Форма 2'!I3040</f>
        <v>3015600</v>
      </c>
      <c r="K901" s="19">
        <f>K902</f>
        <v>0</v>
      </c>
      <c r="L901" s="19">
        <f>L902</f>
        <v>0</v>
      </c>
      <c r="M901" s="19">
        <f>M902</f>
        <v>0</v>
      </c>
      <c r="N901" s="19">
        <f>J901-L901-M901-O901</f>
        <v>3015600</v>
      </c>
      <c r="O901" s="19">
        <f>O902</f>
        <v>0</v>
      </c>
      <c r="P901" s="27">
        <f>J901/H901</f>
        <v>7539</v>
      </c>
      <c r="Q901" s="27">
        <f>'Форма 2'!K3040</f>
        <v>7539</v>
      </c>
      <c r="R901" s="34" t="s">
        <v>498</v>
      </c>
      <c r="S901" s="172">
        <v>1</v>
      </c>
    </row>
    <row r="902" spans="1:19" x14ac:dyDescent="0.35">
      <c r="A902" s="229" t="s">
        <v>43</v>
      </c>
      <c r="B902" s="229"/>
      <c r="C902" s="229"/>
      <c r="D902" s="23" t="s">
        <v>13</v>
      </c>
      <c r="E902" s="22" t="s">
        <v>13</v>
      </c>
      <c r="F902" s="22" t="s">
        <v>13</v>
      </c>
      <c r="G902" s="27">
        <f>G903</f>
        <v>685.5</v>
      </c>
      <c r="H902" s="27">
        <f t="shared" ref="H902:O902" si="143">H903</f>
        <v>436.6</v>
      </c>
      <c r="I902" s="104">
        <f t="shared" si="143"/>
        <v>10</v>
      </c>
      <c r="J902" s="27">
        <f t="shared" si="143"/>
        <v>2978485.2</v>
      </c>
      <c r="K902" s="27">
        <f t="shared" si="143"/>
        <v>0</v>
      </c>
      <c r="L902" s="27">
        <f t="shared" si="143"/>
        <v>0</v>
      </c>
      <c r="M902" s="27">
        <f t="shared" si="143"/>
        <v>0</v>
      </c>
      <c r="N902" s="27">
        <f t="shared" si="143"/>
        <v>2978485.2</v>
      </c>
      <c r="O902" s="27">
        <f t="shared" si="143"/>
        <v>0</v>
      </c>
      <c r="P902" s="22" t="s">
        <v>13</v>
      </c>
      <c r="Q902" s="22" t="s">
        <v>13</v>
      </c>
      <c r="R902" s="22" t="s">
        <v>13</v>
      </c>
      <c r="S902" s="26" t="s">
        <v>13</v>
      </c>
    </row>
    <row r="903" spans="1:19" x14ac:dyDescent="0.35">
      <c r="A903" s="146">
        <v>1</v>
      </c>
      <c r="B903" s="79">
        <v>4971</v>
      </c>
      <c r="C903" s="140" t="s">
        <v>639</v>
      </c>
      <c r="D903" s="42">
        <v>1967</v>
      </c>
      <c r="E903" s="42" t="s">
        <v>439</v>
      </c>
      <c r="F903" s="42" t="s">
        <v>158</v>
      </c>
      <c r="G903" s="25">
        <v>685.5</v>
      </c>
      <c r="H903" s="25">
        <v>436.6</v>
      </c>
      <c r="I903" s="101">
        <v>10</v>
      </c>
      <c r="J903" s="22">
        <f>'Форма 2'!I3044</f>
        <v>2978485.2</v>
      </c>
      <c r="K903" s="22">
        <v>0</v>
      </c>
      <c r="L903" s="22">
        <v>0</v>
      </c>
      <c r="M903" s="22">
        <v>0</v>
      </c>
      <c r="N903" s="25">
        <f>J903-K903-L903-M903-O903</f>
        <v>2978485.2</v>
      </c>
      <c r="O903" s="22">
        <v>0</v>
      </c>
      <c r="P903" s="22">
        <f>J903/H903</f>
        <v>6822</v>
      </c>
      <c r="Q903" s="22">
        <f>'Форма 2'!K3044</f>
        <v>6822</v>
      </c>
      <c r="R903" s="34" t="s">
        <v>498</v>
      </c>
      <c r="S903" s="172">
        <v>1</v>
      </c>
    </row>
    <row r="904" spans="1:19" ht="15.75" customHeight="1" x14ac:dyDescent="0.35">
      <c r="A904" s="245" t="s">
        <v>56</v>
      </c>
      <c r="B904" s="245"/>
      <c r="C904" s="245"/>
      <c r="D904" s="23" t="s">
        <v>13</v>
      </c>
      <c r="E904" s="22" t="s">
        <v>13</v>
      </c>
      <c r="F904" s="22" t="s">
        <v>13</v>
      </c>
      <c r="G904" s="25">
        <f>G905</f>
        <v>1636.05</v>
      </c>
      <c r="H904" s="25">
        <f t="shared" ref="H904:O904" si="144">H905</f>
        <v>1541.55</v>
      </c>
      <c r="I904" s="101">
        <f t="shared" si="144"/>
        <v>57</v>
      </c>
      <c r="J904" s="25">
        <f t="shared" si="144"/>
        <v>7288448.4000000004</v>
      </c>
      <c r="K904" s="25">
        <f t="shared" si="144"/>
        <v>0</v>
      </c>
      <c r="L904" s="25">
        <f t="shared" si="144"/>
        <v>0</v>
      </c>
      <c r="M904" s="25">
        <f t="shared" si="144"/>
        <v>0</v>
      </c>
      <c r="N904" s="25">
        <f t="shared" si="144"/>
        <v>7288448.4000000004</v>
      </c>
      <c r="O904" s="25">
        <f t="shared" si="144"/>
        <v>0</v>
      </c>
      <c r="P904" s="22" t="s">
        <v>13</v>
      </c>
      <c r="Q904" s="22" t="s">
        <v>13</v>
      </c>
      <c r="R904" s="22" t="s">
        <v>13</v>
      </c>
      <c r="S904" s="26" t="s">
        <v>13</v>
      </c>
    </row>
    <row r="905" spans="1:19" x14ac:dyDescent="0.35">
      <c r="A905" s="39">
        <v>1</v>
      </c>
      <c r="B905" s="39">
        <v>7383</v>
      </c>
      <c r="C905" s="40" t="s">
        <v>468</v>
      </c>
      <c r="D905" s="42">
        <v>1982</v>
      </c>
      <c r="E905" s="42" t="s">
        <v>75</v>
      </c>
      <c r="F905" s="42" t="s">
        <v>158</v>
      </c>
      <c r="G905" s="25">
        <v>1636.05</v>
      </c>
      <c r="H905" s="22">
        <v>1541.55</v>
      </c>
      <c r="I905" s="101">
        <v>57</v>
      </c>
      <c r="J905" s="22">
        <f>'Форма 2'!I3050</f>
        <v>7288448.4000000004</v>
      </c>
      <c r="K905" s="22">
        <v>0</v>
      </c>
      <c r="L905" s="22">
        <v>0</v>
      </c>
      <c r="M905" s="22">
        <v>0</v>
      </c>
      <c r="N905" s="22">
        <f>J905-K905-L905-M905-O905</f>
        <v>7288448.4000000004</v>
      </c>
      <c r="O905" s="22">
        <v>0</v>
      </c>
      <c r="P905" s="22">
        <f>J905/H905</f>
        <v>4728</v>
      </c>
      <c r="Q905" s="22">
        <f>'Форма 2'!K3050</f>
        <v>4728</v>
      </c>
      <c r="R905" s="34" t="s">
        <v>498</v>
      </c>
      <c r="S905" s="172">
        <v>1</v>
      </c>
    </row>
    <row r="906" spans="1:19" ht="15.75" customHeight="1" x14ac:dyDescent="0.35">
      <c r="A906" s="246" t="s">
        <v>54</v>
      </c>
      <c r="B906" s="246"/>
      <c r="C906" s="246"/>
      <c r="D906" s="23" t="s">
        <v>13</v>
      </c>
      <c r="E906" s="22" t="s">
        <v>13</v>
      </c>
      <c r="F906" s="22" t="s">
        <v>13</v>
      </c>
      <c r="G906" s="22">
        <f>SUM(G907:G911)</f>
        <v>7792.31</v>
      </c>
      <c r="H906" s="22">
        <f t="shared" ref="H906:O906" si="145">SUM(H907:H911)</f>
        <v>7027.88</v>
      </c>
      <c r="I906" s="26">
        <f t="shared" si="145"/>
        <v>357</v>
      </c>
      <c r="J906" s="22">
        <f t="shared" si="145"/>
        <v>28779265.300000001</v>
      </c>
      <c r="K906" s="22">
        <f t="shared" si="145"/>
        <v>0</v>
      </c>
      <c r="L906" s="22">
        <f t="shared" si="145"/>
        <v>0</v>
      </c>
      <c r="M906" s="22">
        <f t="shared" si="145"/>
        <v>0</v>
      </c>
      <c r="N906" s="22">
        <f t="shared" si="145"/>
        <v>28779265.300000001</v>
      </c>
      <c r="O906" s="22">
        <f t="shared" si="145"/>
        <v>0</v>
      </c>
      <c r="P906" s="22" t="s">
        <v>13</v>
      </c>
      <c r="Q906" s="22" t="s">
        <v>13</v>
      </c>
      <c r="R906" s="22" t="s">
        <v>13</v>
      </c>
      <c r="S906" s="26" t="s">
        <v>13</v>
      </c>
    </row>
    <row r="907" spans="1:19" ht="15.75" customHeight="1" x14ac:dyDescent="0.35">
      <c r="A907" s="64">
        <v>1</v>
      </c>
      <c r="B907" s="137">
        <v>6870</v>
      </c>
      <c r="C907" s="117" t="s">
        <v>640</v>
      </c>
      <c r="D907" s="42">
        <v>1983</v>
      </c>
      <c r="E907" s="111" t="s">
        <v>75</v>
      </c>
      <c r="F907" s="42" t="s">
        <v>158</v>
      </c>
      <c r="G907" s="25">
        <v>2678.9</v>
      </c>
      <c r="H907" s="22">
        <v>2436</v>
      </c>
      <c r="I907" s="101">
        <v>139</v>
      </c>
      <c r="J907" s="48">
        <f>'Форма 2'!I3054</f>
        <v>6896316</v>
      </c>
      <c r="K907" s="48">
        <v>0</v>
      </c>
      <c r="L907" s="48">
        <v>0</v>
      </c>
      <c r="M907" s="48">
        <v>0</v>
      </c>
      <c r="N907" s="48">
        <f>J907-K907-L907-M907-O907</f>
        <v>6896316</v>
      </c>
      <c r="O907" s="22">
        <f>0</f>
        <v>0</v>
      </c>
      <c r="P907" s="22">
        <f>J907/H907</f>
        <v>2831</v>
      </c>
      <c r="Q907" s="22">
        <f>'Форма 2'!K3054</f>
        <v>2831</v>
      </c>
      <c r="R907" s="177" t="s">
        <v>498</v>
      </c>
      <c r="S907" s="172">
        <v>1</v>
      </c>
    </row>
    <row r="908" spans="1:19" ht="15.75" customHeight="1" x14ac:dyDescent="0.35">
      <c r="A908" s="39">
        <f>A907+1</f>
        <v>2</v>
      </c>
      <c r="B908" s="137">
        <v>6890</v>
      </c>
      <c r="C908" s="10" t="s">
        <v>800</v>
      </c>
      <c r="D908" s="42">
        <v>1985</v>
      </c>
      <c r="E908" s="42" t="s">
        <v>439</v>
      </c>
      <c r="F908" s="42" t="s">
        <v>158</v>
      </c>
      <c r="G908" s="25">
        <v>2952.38</v>
      </c>
      <c r="H908" s="22">
        <v>2688.38</v>
      </c>
      <c r="I908" s="101">
        <v>96</v>
      </c>
      <c r="J908" s="22">
        <f>'Форма 2'!I3057</f>
        <v>13535993.300000001</v>
      </c>
      <c r="K908" s="48">
        <v>0</v>
      </c>
      <c r="L908" s="48">
        <v>0</v>
      </c>
      <c r="M908" s="48">
        <v>0</v>
      </c>
      <c r="N908" s="48">
        <f>J908-K908-L908-M908-O908</f>
        <v>13535993.300000001</v>
      </c>
      <c r="O908" s="22">
        <f>0</f>
        <v>0</v>
      </c>
      <c r="P908" s="22">
        <f>J908/H908</f>
        <v>5035</v>
      </c>
      <c r="Q908" s="22">
        <f>'Форма 2'!K3057</f>
        <v>5035</v>
      </c>
      <c r="R908" s="177" t="s">
        <v>498</v>
      </c>
      <c r="S908" s="172">
        <v>1</v>
      </c>
    </row>
    <row r="909" spans="1:19" ht="15.75" customHeight="1" x14ac:dyDescent="0.35">
      <c r="A909" s="39">
        <f>A908+1</f>
        <v>3</v>
      </c>
      <c r="B909" s="136">
        <v>6834</v>
      </c>
      <c r="C909" s="10" t="s">
        <v>644</v>
      </c>
      <c r="D909" s="42">
        <v>1985</v>
      </c>
      <c r="E909" s="111" t="s">
        <v>75</v>
      </c>
      <c r="F909" s="42" t="s">
        <v>158</v>
      </c>
      <c r="G909" s="25">
        <v>382.7</v>
      </c>
      <c r="H909" s="22">
        <v>341.7</v>
      </c>
      <c r="I909" s="101">
        <v>28</v>
      </c>
      <c r="J909" s="22">
        <f>'Форма 2'!I3062</f>
        <v>2414452.2000000002</v>
      </c>
      <c r="K909" s="48">
        <v>0</v>
      </c>
      <c r="L909" s="48">
        <v>0</v>
      </c>
      <c r="M909" s="48">
        <v>0</v>
      </c>
      <c r="N909" s="48">
        <f>J909-K909-L909-M909-O909</f>
        <v>2414452.2000000002</v>
      </c>
      <c r="O909" s="22">
        <f>0</f>
        <v>0</v>
      </c>
      <c r="P909" s="22">
        <f>J909/H909</f>
        <v>7066</v>
      </c>
      <c r="Q909" s="22">
        <f>'Форма 2'!K3062</f>
        <v>7066</v>
      </c>
      <c r="R909" s="177" t="s">
        <v>498</v>
      </c>
      <c r="S909" s="172">
        <v>1</v>
      </c>
    </row>
    <row r="910" spans="1:19" ht="15.75" customHeight="1" x14ac:dyDescent="0.35">
      <c r="A910" s="39">
        <f>A909+1</f>
        <v>4</v>
      </c>
      <c r="B910" s="136">
        <v>6835</v>
      </c>
      <c r="C910" s="10" t="s">
        <v>645</v>
      </c>
      <c r="D910" s="42">
        <v>1992</v>
      </c>
      <c r="E910" s="111" t="s">
        <v>75</v>
      </c>
      <c r="F910" s="42" t="s">
        <v>158</v>
      </c>
      <c r="G910" s="25">
        <v>396.8</v>
      </c>
      <c r="H910" s="22">
        <v>356.8</v>
      </c>
      <c r="I910" s="101">
        <v>26</v>
      </c>
      <c r="J910" s="22">
        <f>'Форма 2'!I3065</f>
        <v>2521148.7999999998</v>
      </c>
      <c r="K910" s="48">
        <v>0</v>
      </c>
      <c r="L910" s="48">
        <v>0</v>
      </c>
      <c r="M910" s="48">
        <v>0</v>
      </c>
      <c r="N910" s="48">
        <f>J910-K910-L910-M910-O910</f>
        <v>2521148.7999999998</v>
      </c>
      <c r="O910" s="22">
        <f>0</f>
        <v>0</v>
      </c>
      <c r="P910" s="22">
        <f>J910/H910</f>
        <v>7066</v>
      </c>
      <c r="Q910" s="22">
        <f>'Форма 2'!K3065</f>
        <v>7066</v>
      </c>
      <c r="R910" s="177" t="s">
        <v>498</v>
      </c>
      <c r="S910" s="172">
        <v>1</v>
      </c>
    </row>
    <row r="911" spans="1:19" x14ac:dyDescent="0.35">
      <c r="A911" s="39">
        <f>A910+1</f>
        <v>5</v>
      </c>
      <c r="B911" s="114">
        <v>7095</v>
      </c>
      <c r="C911" s="10" t="s">
        <v>646</v>
      </c>
      <c r="D911" s="42">
        <v>1989</v>
      </c>
      <c r="E911" s="111" t="s">
        <v>75</v>
      </c>
      <c r="F911" s="42" t="s">
        <v>158</v>
      </c>
      <c r="G911" s="25">
        <v>1381.53</v>
      </c>
      <c r="H911" s="22">
        <v>1205</v>
      </c>
      <c r="I911" s="101">
        <v>68</v>
      </c>
      <c r="J911" s="22">
        <f>'Форма 2'!I3068</f>
        <v>3411355</v>
      </c>
      <c r="K911" s="48">
        <v>0</v>
      </c>
      <c r="L911" s="48">
        <v>0</v>
      </c>
      <c r="M911" s="48">
        <v>0</v>
      </c>
      <c r="N911" s="48">
        <f>J911-K911-L911-M911-O911</f>
        <v>3411355</v>
      </c>
      <c r="O911" s="22">
        <f>0</f>
        <v>0</v>
      </c>
      <c r="P911" s="22">
        <f>J911/H911</f>
        <v>2831</v>
      </c>
      <c r="Q911" s="22">
        <f>'Форма 2'!K3068</f>
        <v>2831</v>
      </c>
      <c r="R911" s="177" t="s">
        <v>498</v>
      </c>
      <c r="S911" s="172">
        <v>1</v>
      </c>
    </row>
    <row r="912" spans="1:19" ht="15.75" customHeight="1" x14ac:dyDescent="0.35">
      <c r="A912" s="245" t="s">
        <v>55</v>
      </c>
      <c r="B912" s="245"/>
      <c r="C912" s="245"/>
      <c r="D912" s="23" t="s">
        <v>13</v>
      </c>
      <c r="E912" s="22" t="s">
        <v>13</v>
      </c>
      <c r="F912" s="22" t="s">
        <v>13</v>
      </c>
      <c r="G912" s="25">
        <f>G913</f>
        <v>694.4</v>
      </c>
      <c r="H912" s="25">
        <f t="shared" ref="H912:O912" si="146">H913</f>
        <v>620.70000000000005</v>
      </c>
      <c r="I912" s="101">
        <f t="shared" si="146"/>
        <v>27</v>
      </c>
      <c r="J912" s="25">
        <f t="shared" si="146"/>
        <v>4385866.2</v>
      </c>
      <c r="K912" s="25">
        <f t="shared" si="146"/>
        <v>0</v>
      </c>
      <c r="L912" s="25">
        <f t="shared" si="146"/>
        <v>0</v>
      </c>
      <c r="M912" s="25">
        <f t="shared" si="146"/>
        <v>0</v>
      </c>
      <c r="N912" s="25">
        <f t="shared" si="146"/>
        <v>4385866.2</v>
      </c>
      <c r="O912" s="25">
        <f t="shared" si="146"/>
        <v>0</v>
      </c>
      <c r="P912" s="22" t="s">
        <v>13</v>
      </c>
      <c r="Q912" s="22" t="s">
        <v>13</v>
      </c>
      <c r="R912" s="22" t="s">
        <v>13</v>
      </c>
      <c r="S912" s="26" t="s">
        <v>13</v>
      </c>
    </row>
    <row r="913" spans="1:19" x14ac:dyDescent="0.35">
      <c r="A913" s="39">
        <v>1</v>
      </c>
      <c r="B913" s="110">
        <v>7203</v>
      </c>
      <c r="C913" s="40" t="s">
        <v>650</v>
      </c>
      <c r="D913" s="42">
        <v>1965</v>
      </c>
      <c r="E913" s="42" t="s">
        <v>75</v>
      </c>
      <c r="F913" s="42" t="s">
        <v>158</v>
      </c>
      <c r="G913" s="25">
        <v>694.4</v>
      </c>
      <c r="H913" s="22">
        <v>620.70000000000005</v>
      </c>
      <c r="I913" s="101">
        <v>27</v>
      </c>
      <c r="J913" s="22">
        <f>'Форма 2'!I3072</f>
        <v>4385866.2</v>
      </c>
      <c r="K913" s="22">
        <v>0</v>
      </c>
      <c r="L913" s="22">
        <v>0</v>
      </c>
      <c r="M913" s="22">
        <v>0</v>
      </c>
      <c r="N913" s="25">
        <f>J913-O913</f>
        <v>4385866.2</v>
      </c>
      <c r="O913" s="25">
        <v>0</v>
      </c>
      <c r="P913" s="22">
        <f>J913/H913</f>
        <v>7066</v>
      </c>
      <c r="Q913" s="22">
        <f>'Форма 2'!K3072</f>
        <v>7066</v>
      </c>
      <c r="R913" s="34" t="s">
        <v>498</v>
      </c>
      <c r="S913" s="172">
        <v>1</v>
      </c>
    </row>
    <row r="914" spans="1:19" ht="15.75" customHeight="1" x14ac:dyDescent="0.35"/>
    <row r="915" spans="1:19" ht="15.75" customHeight="1" x14ac:dyDescent="0.35"/>
    <row r="916" spans="1:19" ht="15.75" customHeight="1" x14ac:dyDescent="0.35"/>
    <row r="917" spans="1:19" ht="15.75" customHeight="1" x14ac:dyDescent="0.35"/>
    <row r="918" spans="1:19" ht="15.75" customHeight="1" x14ac:dyDescent="0.35"/>
    <row r="919" spans="1:19" ht="15.75" customHeight="1" x14ac:dyDescent="0.35"/>
    <row r="920" spans="1:19" ht="15.75" customHeight="1" x14ac:dyDescent="0.35"/>
    <row r="921" spans="1:19" ht="15.75" customHeight="1" x14ac:dyDescent="0.35"/>
    <row r="922" spans="1:19" ht="15.75" customHeight="1" x14ac:dyDescent="0.35"/>
    <row r="923" spans="1:19" ht="15.75" customHeight="1" x14ac:dyDescent="0.35"/>
    <row r="924" spans="1:19" ht="15.75" customHeight="1" x14ac:dyDescent="0.35"/>
    <row r="925" spans="1:19" ht="15.75" customHeight="1" x14ac:dyDescent="0.35"/>
    <row r="926" spans="1:19" ht="15.75" customHeight="1" x14ac:dyDescent="0.35"/>
    <row r="927" spans="1:19" ht="15.75" customHeight="1" x14ac:dyDescent="0.35"/>
    <row r="928" spans="1:19"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sheetData>
  <autoFilter ref="A8:BG913"/>
  <customSheetViews>
    <customSheetView guid="{3511D8A4-2A8D-4563-8DF1-C381EEDBF68F}" scale="80" showPageBreaks="1" fitToPage="1" printArea="1" filter="1" showAutoFilter="1" view="pageBreakPreview">
      <selection activeCell="B4" sqref="A4:M65"/>
      <pageMargins left="0.19685039370078741" right="0.19685039370078741" top="0.78740157480314965" bottom="0.39370078740157483" header="0.31496062992125984" footer="0.31496062992125984"/>
      <printOptions horizontalCentered="1"/>
      <pageSetup paperSize="9" scale="47" fitToHeight="0" orientation="landscape" r:id="rId1"/>
      <autoFilter ref="B1:Y1">
        <filterColumn colId="7">
          <filters>
            <filter val="Х"/>
          </filters>
        </filterColumn>
      </autoFilter>
    </customSheetView>
    <customSheetView guid="{CC3EEC02-30D2-4905-AE21-71EA71520321}" scale="80" showPageBreaks="1" fitToPage="1" filter="1" showAutoFilter="1" view="pageBreakPreview" topLeftCell="A97">
      <selection activeCell="U113" sqref="U113"/>
      <pageMargins left="0.19685039370078741" right="0.19685039370078741" top="0.78740157480314965" bottom="0.39370078740157483" header="0.31496062992125984" footer="0.31496062992125984"/>
      <printOptions horizontalCentered="1"/>
      <pageSetup paperSize="9" scale="44" fitToHeight="0" orientation="landscape" r:id="rId2"/>
      <autoFilter ref="B1:Y1">
        <filterColumn colId="7">
          <filters>
            <filter val="Х"/>
          </filters>
        </filterColumn>
      </autoFilter>
    </customSheetView>
    <customSheetView guid="{114D0552-1D3C-4C9A-AF28-55BD1176DD7C}" scale="80" showPageBreaks="1" fitToPage="1" printArea="1" showAutoFilter="1" view="pageBreakPreview" topLeftCell="A28">
      <selection activeCell="A52" sqref="A52:IV52"/>
      <pageMargins left="0.19685039370078741" right="0.19685039370078741" top="0.78740157480314965" bottom="0.39370078740157483" header="0.31496062992125984" footer="0.31496062992125984"/>
      <printOptions horizontalCentered="1"/>
      <pageSetup paperSize="9" scale="46" fitToHeight="0" orientation="landscape" r:id="rId3"/>
      <autoFilter ref="B1:Z1"/>
    </customSheetView>
  </customSheetViews>
  <mergeCells count="84">
    <mergeCell ref="A769:C769"/>
    <mergeCell ref="A751:C751"/>
    <mergeCell ref="A757:C757"/>
    <mergeCell ref="A760:C760"/>
    <mergeCell ref="A767:C767"/>
    <mergeCell ref="A765:C765"/>
    <mergeCell ref="A756:C756"/>
    <mergeCell ref="A697:C697"/>
    <mergeCell ref="A700:C700"/>
    <mergeCell ref="A411:C411"/>
    <mergeCell ref="A693:C693"/>
    <mergeCell ref="A433:C433"/>
    <mergeCell ref="A691:C691"/>
    <mergeCell ref="A558:C558"/>
    <mergeCell ref="A644:C644"/>
    <mergeCell ref="A434:C434"/>
    <mergeCell ref="A510:C510"/>
    <mergeCell ref="A749:C749"/>
    <mergeCell ref="A724:C724"/>
    <mergeCell ref="A726:C726"/>
    <mergeCell ref="A730:C730"/>
    <mergeCell ref="A733:C733"/>
    <mergeCell ref="A912:C912"/>
    <mergeCell ref="A796:C796"/>
    <mergeCell ref="A886:C886"/>
    <mergeCell ref="A888:C888"/>
    <mergeCell ref="A892:C892"/>
    <mergeCell ref="A902:C902"/>
    <mergeCell ref="A900:C900"/>
    <mergeCell ref="A904:C904"/>
    <mergeCell ref="A906:C906"/>
    <mergeCell ref="A890:C890"/>
    <mergeCell ref="A843:C843"/>
    <mergeCell ref="A867:C867"/>
    <mergeCell ref="A809:C809"/>
    <mergeCell ref="A810:C810"/>
    <mergeCell ref="A831:C831"/>
    <mergeCell ref="S4:S7"/>
    <mergeCell ref="J4:O4"/>
    <mergeCell ref="K5:O5"/>
    <mergeCell ref="Q4:Q6"/>
    <mergeCell ref="P4:P6"/>
    <mergeCell ref="R4:R7"/>
    <mergeCell ref="J5:J6"/>
    <mergeCell ref="A3:R3"/>
    <mergeCell ref="A35:C35"/>
    <mergeCell ref="A85:C85"/>
    <mergeCell ref="A263:C263"/>
    <mergeCell ref="A265:C265"/>
    <mergeCell ref="H4:H6"/>
    <mergeCell ref="G4:G6"/>
    <mergeCell ref="I4:I6"/>
    <mergeCell ref="B4:B7"/>
    <mergeCell ref="E4:E7"/>
    <mergeCell ref="F4:F7"/>
    <mergeCell ref="D4:D7"/>
    <mergeCell ref="A103:C103"/>
    <mergeCell ref="A163:C163"/>
    <mergeCell ref="A10:C10"/>
    <mergeCell ref="C4:C7"/>
    <mergeCell ref="A300:C300"/>
    <mergeCell ref="A340:C340"/>
    <mergeCell ref="A316:C316"/>
    <mergeCell ref="A11:C11"/>
    <mergeCell ref="A14:C14"/>
    <mergeCell ref="A32:C32"/>
    <mergeCell ref="A28:C28"/>
    <mergeCell ref="A102:C102"/>
    <mergeCell ref="A343:C343"/>
    <mergeCell ref="A323:C323"/>
    <mergeCell ref="A338:C338"/>
    <mergeCell ref="O1:S1"/>
    <mergeCell ref="A2:S2"/>
    <mergeCell ref="A229:C229"/>
    <mergeCell ref="A269:C269"/>
    <mergeCell ref="A272:C272"/>
    <mergeCell ref="A319:C319"/>
    <mergeCell ref="A303:C303"/>
    <mergeCell ref="A297:C297"/>
    <mergeCell ref="A291:C291"/>
    <mergeCell ref="A294:C294"/>
    <mergeCell ref="A314:C314"/>
    <mergeCell ref="A197:C197"/>
    <mergeCell ref="A4:A7"/>
  </mergeCells>
  <dataValidations count="1">
    <dataValidation type="decimal" allowBlank="1" showInputMessage="1" showErrorMessage="1" sqref="WJA372 G709:G710 WSW372 GK372 QG372 AAC372 AJY372 ATU372 BDQ372 BNM372 BXI372 CHE372 CRA372 DAW372 DKS372 DUO372 EEK372 EOG372 EYC372 FHY372 FRU372 GBQ372 GLM372 GVI372 HFE372 HPA372 HYW372 IIS372 ISO372 JCK372 JMG372 JWC372 KFY372 KPU372 KZQ372 LJM372 LTI372 MDE372 MNA372 MWW372 NGS372 NQO372 OAK372 OKG372 OUC372 PDY372 PNU372 PXQ372 QHM372 QRI372 RBE372 RLA372 RUW372 SES372 SOO372 SYK372 TIG372 TSC372 UBY372 ULU372 UVQ372 VFM372 VPI372 VZE372 G286:G287">
      <formula1>-1000000</formula1>
      <formula2>1000000</formula2>
    </dataValidation>
  </dataValidations>
  <printOptions horizontalCentered="1"/>
  <pageMargins left="0.19685039370078741" right="0.19685039370078741" top="0.78740157480314965" bottom="0.39370078740157483" header="0.31496062992125984" footer="0.31496062992125984"/>
  <pageSetup paperSize="9" scale="51" fitToHeight="16" orientation="landscape" r:id="rId4"/>
  <rowBreaks count="2" manualBreakCount="2">
    <brk id="410" max="18" man="1"/>
    <brk id="76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R3187"/>
  <sheetViews>
    <sheetView view="pageBreakPreview" zoomScale="90" zoomScaleNormal="69" zoomScaleSheetLayoutView="90" workbookViewId="0">
      <pane xSplit="3" ySplit="4" topLeftCell="E5" activePane="bottomRight" state="frozen"/>
      <selection pane="topRight" activeCell="D1" sqref="D1"/>
      <selection pane="bottomLeft" activeCell="A5" sqref="A5"/>
      <selection pane="bottomRight" activeCell="A5" sqref="A5"/>
    </sheetView>
  </sheetViews>
  <sheetFormatPr defaultColWidth="9.1796875" defaultRowHeight="15.5" x14ac:dyDescent="0.35"/>
  <cols>
    <col min="1" max="1" width="7.453125" style="94" customWidth="1"/>
    <col min="2" max="2" width="7.453125" style="7" customWidth="1"/>
    <col min="3" max="3" width="47.54296875" style="7" customWidth="1"/>
    <col min="4" max="4" width="15.1796875" style="7" customWidth="1"/>
    <col min="5" max="5" width="10.54296875" style="95" customWidth="1"/>
    <col min="6" max="6" width="13" style="95" customWidth="1"/>
    <col min="7" max="7" width="33.453125" style="7" customWidth="1"/>
    <col min="8" max="8" width="60.26953125" style="169" customWidth="1"/>
    <col min="9" max="9" width="24.1796875" style="7" customWidth="1"/>
    <col min="10" max="11" width="16.1796875" style="7" customWidth="1"/>
    <col min="12" max="23" width="9.1796875" style="9"/>
    <col min="24" max="16384" width="9.1796875" style="7"/>
  </cols>
  <sheetData>
    <row r="1" spans="1:23" ht="31.5" customHeight="1" x14ac:dyDescent="0.35">
      <c r="A1" s="332" t="s">
        <v>62</v>
      </c>
      <c r="B1" s="332"/>
      <c r="C1" s="332"/>
      <c r="D1" s="332"/>
      <c r="E1" s="332"/>
      <c r="F1" s="332"/>
      <c r="G1" s="332"/>
      <c r="H1" s="332"/>
      <c r="I1" s="332"/>
      <c r="J1" s="332"/>
      <c r="K1" s="332"/>
    </row>
    <row r="2" spans="1:23" x14ac:dyDescent="0.35">
      <c r="A2" s="3"/>
      <c r="B2" s="2"/>
      <c r="C2" s="2"/>
      <c r="D2" s="3"/>
      <c r="E2" s="30"/>
      <c r="F2" s="30"/>
      <c r="G2" s="2"/>
      <c r="H2" s="4"/>
      <c r="I2" s="4"/>
      <c r="J2" s="3"/>
      <c r="K2" s="3"/>
    </row>
    <row r="3" spans="1:23" s="201" customFormat="1" ht="77.5" x14ac:dyDescent="0.35">
      <c r="A3" s="197" t="s">
        <v>25</v>
      </c>
      <c r="B3" s="197" t="s">
        <v>32</v>
      </c>
      <c r="C3" s="196" t="s">
        <v>1</v>
      </c>
      <c r="D3" s="196" t="s">
        <v>19</v>
      </c>
      <c r="E3" s="199" t="s">
        <v>61</v>
      </c>
      <c r="F3" s="199" t="s">
        <v>2</v>
      </c>
      <c r="G3" s="196" t="s">
        <v>20</v>
      </c>
      <c r="H3" s="196" t="s">
        <v>21</v>
      </c>
      <c r="I3" s="198" t="s">
        <v>22</v>
      </c>
      <c r="J3" s="198" t="s">
        <v>23</v>
      </c>
      <c r="K3" s="198" t="s">
        <v>24</v>
      </c>
      <c r="L3" s="200"/>
      <c r="M3" s="200"/>
      <c r="N3" s="200"/>
      <c r="O3" s="200"/>
      <c r="P3" s="200"/>
      <c r="Q3" s="200"/>
      <c r="R3" s="200"/>
      <c r="S3" s="200"/>
      <c r="T3" s="200"/>
      <c r="U3" s="200"/>
      <c r="V3" s="200"/>
      <c r="W3" s="200"/>
    </row>
    <row r="4" spans="1:23" x14ac:dyDescent="0.35">
      <c r="A4" s="123">
        <v>1</v>
      </c>
      <c r="B4" s="123">
        <v>2</v>
      </c>
      <c r="C4" s="123">
        <v>3</v>
      </c>
      <c r="D4" s="123">
        <v>4</v>
      </c>
      <c r="E4" s="122">
        <v>5</v>
      </c>
      <c r="F4" s="122">
        <v>6</v>
      </c>
      <c r="G4" s="122">
        <v>7</v>
      </c>
      <c r="H4" s="157">
        <v>8</v>
      </c>
      <c r="I4" s="123">
        <v>9</v>
      </c>
      <c r="J4" s="123">
        <v>10</v>
      </c>
      <c r="K4" s="123">
        <v>11</v>
      </c>
    </row>
    <row r="5" spans="1:23" s="9" customFormat="1" ht="15.75" customHeight="1" x14ac:dyDescent="0.35">
      <c r="A5" s="68" t="s">
        <v>28</v>
      </c>
      <c r="B5" s="69"/>
      <c r="C5" s="91"/>
      <c r="D5" s="142">
        <f>D6+D12+D48+D56+D63+D277+D377+D1050+D1054+D1066+D1072+D1131+D1137+D1143+D1149+D1155+D1188+D1192</f>
        <v>860470.56</v>
      </c>
      <c r="E5" s="31"/>
      <c r="F5" s="31"/>
      <c r="G5" s="159"/>
      <c r="H5" s="159"/>
      <c r="I5" s="158">
        <f>I6+I12+I48+I56+I63+I277+I377+I1050+I1054+I1066+I1072+I1131+I1137+I1143+I1149+I1155+I1188+I1192</f>
        <v>893868402.92999995</v>
      </c>
      <c r="J5" s="158"/>
      <c r="K5" s="158"/>
    </row>
    <row r="6" spans="1:23" s="9" customFormat="1" ht="15.75" customHeight="1" x14ac:dyDescent="0.35">
      <c r="A6" s="209" t="s">
        <v>16</v>
      </c>
      <c r="B6" s="210"/>
      <c r="C6" s="211"/>
      <c r="D6" s="142">
        <f>D7+D9</f>
        <v>1011.4</v>
      </c>
      <c r="E6" s="142"/>
      <c r="F6" s="142"/>
      <c r="G6" s="159"/>
      <c r="H6" s="159"/>
      <c r="I6" s="158">
        <f>I7+I9</f>
        <v>1910632</v>
      </c>
      <c r="J6" s="158"/>
      <c r="K6" s="158"/>
    </row>
    <row r="7" spans="1:23" s="9" customFormat="1" ht="15.75" customHeight="1" x14ac:dyDescent="0.35">
      <c r="A7" s="256">
        <v>1</v>
      </c>
      <c r="B7" s="302">
        <v>4743</v>
      </c>
      <c r="C7" s="259" t="s">
        <v>154</v>
      </c>
      <c r="D7" s="262">
        <v>498</v>
      </c>
      <c r="E7" s="268" t="s">
        <v>665</v>
      </c>
      <c r="F7" s="268">
        <v>2</v>
      </c>
      <c r="G7" s="256" t="s">
        <v>72</v>
      </c>
      <c r="H7" s="159" t="s">
        <v>73</v>
      </c>
      <c r="I7" s="158">
        <f>SUM(I8:I8)</f>
        <v>88146</v>
      </c>
      <c r="J7" s="158">
        <f>SUM(J8:J8)</f>
        <v>177</v>
      </c>
      <c r="K7" s="158">
        <f>SUM(K8:K8)</f>
        <v>177</v>
      </c>
    </row>
    <row r="8" spans="1:23" s="9" customFormat="1" ht="48.75" customHeight="1" x14ac:dyDescent="0.35">
      <c r="A8" s="257">
        <v>5</v>
      </c>
      <c r="B8" s="303"/>
      <c r="C8" s="260"/>
      <c r="D8" s="264"/>
      <c r="E8" s="273"/>
      <c r="F8" s="273"/>
      <c r="G8" s="257"/>
      <c r="H8" s="159" t="s">
        <v>705</v>
      </c>
      <c r="I8" s="158">
        <f>D7*K8</f>
        <v>88146</v>
      </c>
      <c r="J8" s="158">
        <f>I8/D7</f>
        <v>177</v>
      </c>
      <c r="K8" s="158">
        <f>163+14</f>
        <v>177</v>
      </c>
    </row>
    <row r="9" spans="1:23" s="9" customFormat="1" ht="15.75" customHeight="1" x14ac:dyDescent="0.35">
      <c r="A9" s="256">
        <f>A7+1</f>
        <v>2</v>
      </c>
      <c r="B9" s="302">
        <v>4745</v>
      </c>
      <c r="C9" s="259" t="s">
        <v>157</v>
      </c>
      <c r="D9" s="262">
        <v>513.4</v>
      </c>
      <c r="E9" s="268" t="s">
        <v>665</v>
      </c>
      <c r="F9" s="268">
        <v>2</v>
      </c>
      <c r="G9" s="256" t="s">
        <v>72</v>
      </c>
      <c r="H9" s="159" t="s">
        <v>73</v>
      </c>
      <c r="I9" s="158">
        <f>SUM(I10:I11)</f>
        <v>1822486</v>
      </c>
      <c r="J9" s="158">
        <f>SUM(J10:J11)</f>
        <v>3549.84</v>
      </c>
      <c r="K9" s="158">
        <f>SUM(K10:K11)</f>
        <v>7539</v>
      </c>
    </row>
    <row r="10" spans="1:23" s="9" customFormat="1" ht="15.75" customHeight="1" x14ac:dyDescent="0.35">
      <c r="A10" s="257">
        <v>5</v>
      </c>
      <c r="B10" s="303"/>
      <c r="C10" s="260"/>
      <c r="D10" s="263"/>
      <c r="E10" s="269"/>
      <c r="F10" s="269"/>
      <c r="G10" s="257"/>
      <c r="H10" s="159" t="s">
        <v>667</v>
      </c>
      <c r="I10" s="158">
        <v>1784301.94</v>
      </c>
      <c r="J10" s="158">
        <f>I10/D9+0.01</f>
        <v>3475.47</v>
      </c>
      <c r="K10" s="158">
        <v>7381</v>
      </c>
    </row>
    <row r="11" spans="1:23" s="9" customFormat="1" ht="15.75" customHeight="1" x14ac:dyDescent="0.35">
      <c r="A11" s="258">
        <v>6</v>
      </c>
      <c r="B11" s="304"/>
      <c r="C11" s="261"/>
      <c r="D11" s="264"/>
      <c r="E11" s="273"/>
      <c r="F11" s="273"/>
      <c r="G11" s="258"/>
      <c r="H11" s="159" t="s">
        <v>76</v>
      </c>
      <c r="I11" s="158">
        <f>I10*0.0214</f>
        <v>38184.06</v>
      </c>
      <c r="J11" s="158">
        <f>I11/D9</f>
        <v>74.37</v>
      </c>
      <c r="K11" s="158">
        <v>158</v>
      </c>
    </row>
    <row r="12" spans="1:23" ht="15.75" customHeight="1" x14ac:dyDescent="0.35">
      <c r="A12" s="215" t="s">
        <v>33</v>
      </c>
      <c r="B12" s="207"/>
      <c r="C12" s="152"/>
      <c r="D12" s="125">
        <f>D13+D15+D18+D21+D24+D26+D28+D31+D34+D37+D39+D42+D45</f>
        <v>17526.62</v>
      </c>
      <c r="E12" s="122"/>
      <c r="F12" s="122"/>
      <c r="G12" s="125"/>
      <c r="H12" s="158"/>
      <c r="I12" s="158">
        <f>I13+I15+I18+I21+I24+I26+I28+I31+I34+I37+I39+I42+I45</f>
        <v>25094106.350000001</v>
      </c>
      <c r="J12" s="158"/>
      <c r="K12" s="158"/>
    </row>
    <row r="13" spans="1:23" s="1" customFormat="1" ht="15.75" customHeight="1" x14ac:dyDescent="0.3">
      <c r="A13" s="256">
        <v>1</v>
      </c>
      <c r="B13" s="302">
        <v>4395</v>
      </c>
      <c r="C13" s="259" t="s">
        <v>159</v>
      </c>
      <c r="D13" s="262">
        <v>846</v>
      </c>
      <c r="E13" s="262" t="s">
        <v>80</v>
      </c>
      <c r="F13" s="265">
        <v>2</v>
      </c>
      <c r="G13" s="256" t="s">
        <v>72</v>
      </c>
      <c r="H13" s="159" t="s">
        <v>73</v>
      </c>
      <c r="I13" s="158">
        <f>I14</f>
        <v>85404.68</v>
      </c>
      <c r="J13" s="158">
        <f>J14</f>
        <v>100.95</v>
      </c>
      <c r="K13" s="158">
        <f>K14</f>
        <v>178</v>
      </c>
    </row>
    <row r="14" spans="1:23" s="1" customFormat="1" ht="49.5" customHeight="1" x14ac:dyDescent="0.3">
      <c r="A14" s="257">
        <v>29</v>
      </c>
      <c r="B14" s="303"/>
      <c r="C14" s="260"/>
      <c r="D14" s="263"/>
      <c r="E14" s="263"/>
      <c r="F14" s="266"/>
      <c r="G14" s="257"/>
      <c r="H14" s="159" t="s">
        <v>705</v>
      </c>
      <c r="I14" s="158">
        <f>74406.68+D13*13</f>
        <v>85404.68</v>
      </c>
      <c r="J14" s="158">
        <f>I14/D13</f>
        <v>100.95</v>
      </c>
      <c r="K14" s="158">
        <f>164+14</f>
        <v>178</v>
      </c>
    </row>
    <row r="15" spans="1:23" s="1" customFormat="1" ht="15.75" customHeight="1" x14ac:dyDescent="0.3">
      <c r="A15" s="256">
        <v>2</v>
      </c>
      <c r="B15" s="302">
        <v>4504</v>
      </c>
      <c r="C15" s="259" t="s">
        <v>668</v>
      </c>
      <c r="D15" s="262">
        <v>988.9</v>
      </c>
      <c r="E15" s="262" t="s">
        <v>75</v>
      </c>
      <c r="F15" s="265">
        <v>2</v>
      </c>
      <c r="G15" s="256" t="s">
        <v>72</v>
      </c>
      <c r="H15" s="159" t="s">
        <v>73</v>
      </c>
      <c r="I15" s="158">
        <f>I16+I17</f>
        <v>5224890.63</v>
      </c>
      <c r="J15" s="158">
        <f>J16+J17</f>
        <v>5283.54</v>
      </c>
      <c r="K15" s="158">
        <f>K16+K17</f>
        <v>7066</v>
      </c>
    </row>
    <row r="16" spans="1:23" s="1" customFormat="1" x14ac:dyDescent="0.3">
      <c r="A16" s="257">
        <v>9</v>
      </c>
      <c r="B16" s="303"/>
      <c r="C16" s="260"/>
      <c r="D16" s="263"/>
      <c r="E16" s="263"/>
      <c r="F16" s="266"/>
      <c r="G16" s="257"/>
      <c r="H16" s="159" t="s">
        <v>74</v>
      </c>
      <c r="I16" s="158">
        <v>5141947.66</v>
      </c>
      <c r="J16" s="158">
        <f>I16/D15+0.01</f>
        <v>5199.67</v>
      </c>
      <c r="K16" s="158">
        <v>6918</v>
      </c>
    </row>
    <row r="17" spans="1:11" s="1" customFormat="1" x14ac:dyDescent="0.3">
      <c r="A17" s="258">
        <v>10</v>
      </c>
      <c r="B17" s="304"/>
      <c r="C17" s="261"/>
      <c r="D17" s="264"/>
      <c r="E17" s="264"/>
      <c r="F17" s="267"/>
      <c r="G17" s="258"/>
      <c r="H17" s="159" t="s">
        <v>76</v>
      </c>
      <c r="I17" s="158">
        <v>82942.97</v>
      </c>
      <c r="J17" s="158">
        <f>I17/D15</f>
        <v>83.87</v>
      </c>
      <c r="K17" s="158">
        <v>148</v>
      </c>
    </row>
    <row r="18" spans="1:11" s="1" customFormat="1" ht="15.75" customHeight="1" x14ac:dyDescent="0.3">
      <c r="A18" s="256">
        <f>A15+1</f>
        <v>3</v>
      </c>
      <c r="B18" s="302">
        <v>4559</v>
      </c>
      <c r="C18" s="259" t="s">
        <v>161</v>
      </c>
      <c r="D18" s="262">
        <v>887.4</v>
      </c>
      <c r="E18" s="262" t="s">
        <v>75</v>
      </c>
      <c r="F18" s="265">
        <v>2</v>
      </c>
      <c r="G18" s="256" t="s">
        <v>72</v>
      </c>
      <c r="H18" s="159" t="s">
        <v>73</v>
      </c>
      <c r="I18" s="158">
        <f>I19+I20</f>
        <v>3994513.54</v>
      </c>
      <c r="J18" s="158">
        <f>J19+J20</f>
        <v>4501.37</v>
      </c>
      <c r="K18" s="158">
        <f>K19+K20</f>
        <v>7066</v>
      </c>
    </row>
    <row r="19" spans="1:11" s="1" customFormat="1" x14ac:dyDescent="0.3">
      <c r="A19" s="257">
        <v>15</v>
      </c>
      <c r="B19" s="303"/>
      <c r="C19" s="260"/>
      <c r="D19" s="263"/>
      <c r="E19" s="263"/>
      <c r="F19" s="266"/>
      <c r="G19" s="257"/>
      <c r="H19" s="159" t="s">
        <v>74</v>
      </c>
      <c r="I19" s="158">
        <v>3922562.54</v>
      </c>
      <c r="J19" s="158">
        <f>I19/D18</f>
        <v>4420.29</v>
      </c>
      <c r="K19" s="158">
        <v>6918</v>
      </c>
    </row>
    <row r="20" spans="1:11" s="1" customFormat="1" x14ac:dyDescent="0.3">
      <c r="A20" s="258">
        <v>16</v>
      </c>
      <c r="B20" s="304"/>
      <c r="C20" s="261"/>
      <c r="D20" s="264"/>
      <c r="E20" s="264"/>
      <c r="F20" s="267"/>
      <c r="G20" s="258"/>
      <c r="H20" s="159" t="s">
        <v>76</v>
      </c>
      <c r="I20" s="158">
        <v>71951</v>
      </c>
      <c r="J20" s="158">
        <f>I20/D18</f>
        <v>81.08</v>
      </c>
      <c r="K20" s="158">
        <v>148</v>
      </c>
    </row>
    <row r="21" spans="1:11" s="1" customFormat="1" ht="15.75" customHeight="1" x14ac:dyDescent="0.3">
      <c r="A21" s="256">
        <f>A18+1</f>
        <v>4</v>
      </c>
      <c r="B21" s="313">
        <v>4560</v>
      </c>
      <c r="C21" s="259" t="s">
        <v>162</v>
      </c>
      <c r="D21" s="262">
        <v>1535.88</v>
      </c>
      <c r="E21" s="262" t="s">
        <v>75</v>
      </c>
      <c r="F21" s="265">
        <v>3</v>
      </c>
      <c r="G21" s="256" t="s">
        <v>72</v>
      </c>
      <c r="H21" s="159" t="s">
        <v>73</v>
      </c>
      <c r="I21" s="158">
        <f>I22+I23</f>
        <v>2306895.33</v>
      </c>
      <c r="J21" s="158">
        <f>J22+J23</f>
        <v>1502</v>
      </c>
      <c r="K21" s="158">
        <f>K22+K23</f>
        <v>4793</v>
      </c>
    </row>
    <row r="22" spans="1:11" s="1" customFormat="1" ht="46.5" x14ac:dyDescent="0.3">
      <c r="A22" s="257"/>
      <c r="B22" s="314"/>
      <c r="C22" s="260"/>
      <c r="D22" s="263"/>
      <c r="E22" s="263"/>
      <c r="F22" s="266"/>
      <c r="G22" s="257"/>
      <c r="H22" s="159" t="s">
        <v>705</v>
      </c>
      <c r="I22" s="158">
        <f>154052.33+D21*13</f>
        <v>174018.77</v>
      </c>
      <c r="J22" s="158">
        <f>I22/D21</f>
        <v>113.3</v>
      </c>
      <c r="K22" s="158">
        <f>151+13</f>
        <v>164</v>
      </c>
    </row>
    <row r="23" spans="1:11" s="1" customFormat="1" x14ac:dyDescent="0.3">
      <c r="A23" s="257"/>
      <c r="B23" s="314"/>
      <c r="C23" s="260"/>
      <c r="D23" s="263"/>
      <c r="E23" s="263"/>
      <c r="F23" s="266"/>
      <c r="G23" s="257"/>
      <c r="H23" s="159" t="s">
        <v>667</v>
      </c>
      <c r="I23" s="158">
        <f>K23*D21*0.3</f>
        <v>2132876.56</v>
      </c>
      <c r="J23" s="158">
        <f>I23/D21</f>
        <v>1388.7</v>
      </c>
      <c r="K23" s="158">
        <v>4629</v>
      </c>
    </row>
    <row r="24" spans="1:11" s="1" customFormat="1" ht="15.75" customHeight="1" x14ac:dyDescent="0.3">
      <c r="A24" s="256">
        <f>A21+1</f>
        <v>5</v>
      </c>
      <c r="B24" s="302">
        <v>4405</v>
      </c>
      <c r="C24" s="259" t="s">
        <v>165</v>
      </c>
      <c r="D24" s="262">
        <v>1765.93</v>
      </c>
      <c r="E24" s="262" t="s">
        <v>75</v>
      </c>
      <c r="F24" s="265">
        <v>3</v>
      </c>
      <c r="G24" s="256" t="s">
        <v>72</v>
      </c>
      <c r="H24" s="159" t="s">
        <v>73</v>
      </c>
      <c r="I24" s="158">
        <f>I25</f>
        <v>155158.57</v>
      </c>
      <c r="J24" s="158">
        <f>J25</f>
        <v>87.86</v>
      </c>
      <c r="K24" s="158">
        <f>K25</f>
        <v>164</v>
      </c>
    </row>
    <row r="25" spans="1:11" s="1" customFormat="1" ht="49.5" customHeight="1" x14ac:dyDescent="0.3">
      <c r="A25" s="257">
        <v>29</v>
      </c>
      <c r="B25" s="303"/>
      <c r="C25" s="260"/>
      <c r="D25" s="263"/>
      <c r="E25" s="263"/>
      <c r="F25" s="266"/>
      <c r="G25" s="257"/>
      <c r="H25" s="159" t="s">
        <v>705</v>
      </c>
      <c r="I25" s="158">
        <f>132201.48+D24*13</f>
        <v>155158.57</v>
      </c>
      <c r="J25" s="158">
        <f>I25/D24</f>
        <v>87.86</v>
      </c>
      <c r="K25" s="158">
        <f>151+13</f>
        <v>164</v>
      </c>
    </row>
    <row r="26" spans="1:11" s="1" customFormat="1" ht="15.75" customHeight="1" x14ac:dyDescent="0.3">
      <c r="A26" s="256">
        <f>A24+1</f>
        <v>6</v>
      </c>
      <c r="B26" s="302">
        <v>4569</v>
      </c>
      <c r="C26" s="259" t="s">
        <v>166</v>
      </c>
      <c r="D26" s="262">
        <v>4033.01</v>
      </c>
      <c r="E26" s="262" t="s">
        <v>75</v>
      </c>
      <c r="F26" s="265">
        <v>5</v>
      </c>
      <c r="G26" s="256" t="s">
        <v>72</v>
      </c>
      <c r="H26" s="159" t="s">
        <v>73</v>
      </c>
      <c r="I26" s="158">
        <f>I27</f>
        <v>259929.11</v>
      </c>
      <c r="J26" s="158">
        <f>J27</f>
        <v>64.45</v>
      </c>
      <c r="K26" s="158">
        <f>K27</f>
        <v>164</v>
      </c>
    </row>
    <row r="27" spans="1:11" s="1" customFormat="1" ht="46.5" x14ac:dyDescent="0.3">
      <c r="A27" s="257">
        <v>29</v>
      </c>
      <c r="B27" s="303"/>
      <c r="C27" s="260"/>
      <c r="D27" s="263"/>
      <c r="E27" s="263"/>
      <c r="F27" s="266"/>
      <c r="G27" s="257"/>
      <c r="H27" s="159" t="s">
        <v>705</v>
      </c>
      <c r="I27" s="158">
        <f>207499.98+D26*13</f>
        <v>259929.11</v>
      </c>
      <c r="J27" s="158">
        <f>I27/D26</f>
        <v>64.45</v>
      </c>
      <c r="K27" s="158">
        <f>151+13</f>
        <v>164</v>
      </c>
    </row>
    <row r="28" spans="1:11" s="1" customFormat="1" ht="15.75" customHeight="1" x14ac:dyDescent="0.3">
      <c r="A28" s="256">
        <f>A26+1</f>
        <v>7</v>
      </c>
      <c r="B28" s="302">
        <v>4590</v>
      </c>
      <c r="C28" s="259" t="s">
        <v>167</v>
      </c>
      <c r="D28" s="262">
        <v>429.9</v>
      </c>
      <c r="E28" s="262" t="s">
        <v>80</v>
      </c>
      <c r="F28" s="265">
        <v>2</v>
      </c>
      <c r="G28" s="256" t="s">
        <v>72</v>
      </c>
      <c r="H28" s="159" t="s">
        <v>73</v>
      </c>
      <c r="I28" s="158">
        <f>I29+I30</f>
        <v>2389740.4900000002</v>
      </c>
      <c r="J28" s="158">
        <f>J29+J30</f>
        <v>5558.83</v>
      </c>
      <c r="K28" s="158">
        <f>K29+K30</f>
        <v>7066</v>
      </c>
    </row>
    <row r="29" spans="1:11" s="1" customFormat="1" x14ac:dyDescent="0.3">
      <c r="A29" s="257">
        <v>25</v>
      </c>
      <c r="B29" s="303"/>
      <c r="C29" s="260"/>
      <c r="D29" s="263"/>
      <c r="E29" s="263"/>
      <c r="F29" s="266"/>
      <c r="G29" s="257"/>
      <c r="H29" s="159" t="s">
        <v>74</v>
      </c>
      <c r="I29" s="158">
        <v>2351804.35</v>
      </c>
      <c r="J29" s="158">
        <f>I29/D28+0.01</f>
        <v>5470.59</v>
      </c>
      <c r="K29" s="158">
        <v>6918</v>
      </c>
    </row>
    <row r="30" spans="1:11" s="1" customFormat="1" x14ac:dyDescent="0.3">
      <c r="A30" s="258">
        <v>26</v>
      </c>
      <c r="B30" s="304"/>
      <c r="C30" s="261"/>
      <c r="D30" s="264"/>
      <c r="E30" s="264"/>
      <c r="F30" s="267"/>
      <c r="G30" s="258"/>
      <c r="H30" s="159" t="s">
        <v>76</v>
      </c>
      <c r="I30" s="158">
        <v>37936.14</v>
      </c>
      <c r="J30" s="158">
        <f>I30/D28</f>
        <v>88.24</v>
      </c>
      <c r="K30" s="158">
        <v>148</v>
      </c>
    </row>
    <row r="31" spans="1:11" s="1" customFormat="1" x14ac:dyDescent="0.3">
      <c r="A31" s="256">
        <f>A28+1</f>
        <v>8</v>
      </c>
      <c r="B31" s="302">
        <v>4433</v>
      </c>
      <c r="C31" s="259" t="s">
        <v>669</v>
      </c>
      <c r="D31" s="262">
        <v>493.5</v>
      </c>
      <c r="E31" s="262" t="s">
        <v>665</v>
      </c>
      <c r="F31" s="265">
        <v>2</v>
      </c>
      <c r="G31" s="149"/>
      <c r="H31" s="159" t="s">
        <v>73</v>
      </c>
      <c r="I31" s="158">
        <f>I32+I33</f>
        <v>2209136.2000000002</v>
      </c>
      <c r="J31" s="158">
        <f>J32+J33</f>
        <v>4476.47</v>
      </c>
      <c r="K31" s="158">
        <f>K32+K33</f>
        <v>7066</v>
      </c>
    </row>
    <row r="32" spans="1:11" s="1" customFormat="1" ht="15.75" customHeight="1" x14ac:dyDescent="0.3">
      <c r="A32" s="257">
        <v>29</v>
      </c>
      <c r="B32" s="303"/>
      <c r="C32" s="260"/>
      <c r="D32" s="263"/>
      <c r="E32" s="263"/>
      <c r="F32" s="266"/>
      <c r="G32" s="251" t="s">
        <v>72</v>
      </c>
      <c r="H32" s="159" t="s">
        <v>74</v>
      </c>
      <c r="I32" s="158">
        <v>2175876.38</v>
      </c>
      <c r="J32" s="158">
        <f>I32/D31</f>
        <v>4409.07</v>
      </c>
      <c r="K32" s="158">
        <v>6918</v>
      </c>
    </row>
    <row r="33" spans="1:11" s="1" customFormat="1" x14ac:dyDescent="0.3">
      <c r="A33" s="257"/>
      <c r="B33" s="303"/>
      <c r="C33" s="260"/>
      <c r="D33" s="263"/>
      <c r="E33" s="263"/>
      <c r="F33" s="266"/>
      <c r="G33" s="251"/>
      <c r="H33" s="159" t="s">
        <v>76</v>
      </c>
      <c r="I33" s="158">
        <v>33259.82</v>
      </c>
      <c r="J33" s="158">
        <f>I33/D31</f>
        <v>67.400000000000006</v>
      </c>
      <c r="K33" s="158">
        <v>148</v>
      </c>
    </row>
    <row r="34" spans="1:11" s="1" customFormat="1" x14ac:dyDescent="0.3">
      <c r="A34" s="256">
        <f>A31+1</f>
        <v>9</v>
      </c>
      <c r="B34" s="302">
        <v>4588</v>
      </c>
      <c r="C34" s="259" t="s">
        <v>670</v>
      </c>
      <c r="D34" s="262">
        <v>517.29999999999995</v>
      </c>
      <c r="E34" s="262" t="s">
        <v>80</v>
      </c>
      <c r="F34" s="265">
        <v>2</v>
      </c>
      <c r="G34" s="256" t="s">
        <v>72</v>
      </c>
      <c r="H34" s="159" t="s">
        <v>73</v>
      </c>
      <c r="I34" s="158">
        <f>I35+I36</f>
        <v>2453590.9300000002</v>
      </c>
      <c r="J34" s="158">
        <f>J35+J36</f>
        <v>4743.07</v>
      </c>
      <c r="K34" s="158">
        <f>K35+K36</f>
        <v>7066</v>
      </c>
    </row>
    <row r="35" spans="1:11" s="1" customFormat="1" ht="15.75" customHeight="1" x14ac:dyDescent="0.3">
      <c r="A35" s="257">
        <v>43</v>
      </c>
      <c r="B35" s="303"/>
      <c r="C35" s="260"/>
      <c r="D35" s="263"/>
      <c r="E35" s="263"/>
      <c r="F35" s="266"/>
      <c r="G35" s="257"/>
      <c r="H35" s="159" t="s">
        <v>74</v>
      </c>
      <c r="I35" s="158">
        <v>2416650.7000000002</v>
      </c>
      <c r="J35" s="158">
        <f>I35/D34</f>
        <v>4671.66</v>
      </c>
      <c r="K35" s="158">
        <v>6918</v>
      </c>
    </row>
    <row r="36" spans="1:11" s="1" customFormat="1" x14ac:dyDescent="0.3">
      <c r="A36" s="258">
        <v>44</v>
      </c>
      <c r="B36" s="304"/>
      <c r="C36" s="261"/>
      <c r="D36" s="264"/>
      <c r="E36" s="264"/>
      <c r="F36" s="267"/>
      <c r="G36" s="258"/>
      <c r="H36" s="159" t="s">
        <v>76</v>
      </c>
      <c r="I36" s="158">
        <v>36940.230000000003</v>
      </c>
      <c r="J36" s="158">
        <f>I36/D34</f>
        <v>71.41</v>
      </c>
      <c r="K36" s="158">
        <v>148</v>
      </c>
    </row>
    <row r="37" spans="1:11" s="1" customFormat="1" ht="15.75" customHeight="1" x14ac:dyDescent="0.3">
      <c r="A37" s="256">
        <f>A34+1</f>
        <v>10</v>
      </c>
      <c r="B37" s="313">
        <v>4589</v>
      </c>
      <c r="C37" s="259" t="s">
        <v>170</v>
      </c>
      <c r="D37" s="262">
        <v>4046.4</v>
      </c>
      <c r="E37" s="262" t="s">
        <v>75</v>
      </c>
      <c r="F37" s="265">
        <v>5</v>
      </c>
      <c r="G37" s="256" t="s">
        <v>72</v>
      </c>
      <c r="H37" s="159" t="s">
        <v>73</v>
      </c>
      <c r="I37" s="158">
        <f>I38</f>
        <v>270106.13</v>
      </c>
      <c r="J37" s="158">
        <f>J38</f>
        <v>66.75</v>
      </c>
      <c r="K37" s="158">
        <f>K38</f>
        <v>164</v>
      </c>
    </row>
    <row r="38" spans="1:11" s="1" customFormat="1" ht="48" customHeight="1" x14ac:dyDescent="0.3">
      <c r="A38" s="257"/>
      <c r="B38" s="314"/>
      <c r="C38" s="260"/>
      <c r="D38" s="263"/>
      <c r="E38" s="263"/>
      <c r="F38" s="266"/>
      <c r="G38" s="257"/>
      <c r="H38" s="159" t="s">
        <v>705</v>
      </c>
      <c r="I38" s="158">
        <f>217502.93+D37*13</f>
        <v>270106.13</v>
      </c>
      <c r="J38" s="158">
        <f>I38/D37</f>
        <v>66.75</v>
      </c>
      <c r="K38" s="158">
        <f>151+13</f>
        <v>164</v>
      </c>
    </row>
    <row r="39" spans="1:11" s="1" customFormat="1" ht="15.75" customHeight="1" x14ac:dyDescent="0.3">
      <c r="A39" s="256">
        <f>A37+1</f>
        <v>11</v>
      </c>
      <c r="B39" s="313">
        <v>4540</v>
      </c>
      <c r="C39" s="259" t="s">
        <v>171</v>
      </c>
      <c r="D39" s="262">
        <v>892.04</v>
      </c>
      <c r="E39" s="262" t="s">
        <v>75</v>
      </c>
      <c r="F39" s="265">
        <v>2</v>
      </c>
      <c r="G39" s="256" t="s">
        <v>72</v>
      </c>
      <c r="H39" s="159" t="s">
        <v>73</v>
      </c>
      <c r="I39" s="158">
        <f>I40+I41</f>
        <v>1942612.46</v>
      </c>
      <c r="J39" s="158">
        <f>J40+J41</f>
        <v>2177.7199999999998</v>
      </c>
      <c r="K39" s="158">
        <f>K40+K41</f>
        <v>7082</v>
      </c>
    </row>
    <row r="40" spans="1:11" s="1" customFormat="1" ht="46.5" x14ac:dyDescent="0.3">
      <c r="A40" s="257"/>
      <c r="B40" s="314"/>
      <c r="C40" s="260"/>
      <c r="D40" s="263"/>
      <c r="E40" s="263"/>
      <c r="F40" s="266"/>
      <c r="G40" s="257"/>
      <c r="H40" s="159" t="s">
        <v>705</v>
      </c>
      <c r="I40" s="158">
        <f>79676.12+D39*13</f>
        <v>91272.639999999999</v>
      </c>
      <c r="J40" s="158">
        <f>I40/D39</f>
        <v>102.32</v>
      </c>
      <c r="K40" s="158">
        <f>151+13</f>
        <v>164</v>
      </c>
    </row>
    <row r="41" spans="1:11" s="1" customFormat="1" x14ac:dyDescent="0.3">
      <c r="A41" s="257"/>
      <c r="B41" s="314"/>
      <c r="C41" s="260"/>
      <c r="D41" s="263"/>
      <c r="E41" s="263"/>
      <c r="F41" s="266"/>
      <c r="G41" s="257"/>
      <c r="H41" s="159" t="s">
        <v>667</v>
      </c>
      <c r="I41" s="158">
        <f>K41*D39*0.3</f>
        <v>1851339.82</v>
      </c>
      <c r="J41" s="158">
        <f>I41/D39</f>
        <v>2075.4</v>
      </c>
      <c r="K41" s="158">
        <v>6918</v>
      </c>
    </row>
    <row r="42" spans="1:11" s="1" customFormat="1" ht="15.75" customHeight="1" x14ac:dyDescent="0.3">
      <c r="A42" s="256">
        <f>A39+1</f>
        <v>12</v>
      </c>
      <c r="B42" s="302">
        <v>4625</v>
      </c>
      <c r="C42" s="259" t="s">
        <v>671</v>
      </c>
      <c r="D42" s="262">
        <v>368.98</v>
      </c>
      <c r="E42" s="262" t="s">
        <v>75</v>
      </c>
      <c r="F42" s="265">
        <v>2</v>
      </c>
      <c r="G42" s="256" t="s">
        <v>72</v>
      </c>
      <c r="H42" s="159" t="s">
        <v>73</v>
      </c>
      <c r="I42" s="158">
        <f>I43+I44</f>
        <v>2215557.98</v>
      </c>
      <c r="J42" s="158">
        <f>J43+J44</f>
        <v>6004.55</v>
      </c>
      <c r="K42" s="158">
        <f>K43+K44</f>
        <v>7066</v>
      </c>
    </row>
    <row r="43" spans="1:11" s="1" customFormat="1" x14ac:dyDescent="0.3">
      <c r="A43" s="257">
        <v>47</v>
      </c>
      <c r="B43" s="303"/>
      <c r="C43" s="260"/>
      <c r="D43" s="263"/>
      <c r="E43" s="263"/>
      <c r="F43" s="266"/>
      <c r="G43" s="257"/>
      <c r="H43" s="159" t="s">
        <v>74</v>
      </c>
      <c r="I43" s="158">
        <v>2186171</v>
      </c>
      <c r="J43" s="158">
        <f>I43/D42+0.01</f>
        <v>5924.91</v>
      </c>
      <c r="K43" s="158">
        <v>6918</v>
      </c>
    </row>
    <row r="44" spans="1:11" s="1" customFormat="1" x14ac:dyDescent="0.3">
      <c r="A44" s="258">
        <v>48</v>
      </c>
      <c r="B44" s="304"/>
      <c r="C44" s="261"/>
      <c r="D44" s="264"/>
      <c r="E44" s="264"/>
      <c r="F44" s="267"/>
      <c r="G44" s="258"/>
      <c r="H44" s="159" t="s">
        <v>76</v>
      </c>
      <c r="I44" s="158">
        <v>29386.98</v>
      </c>
      <c r="J44" s="158">
        <f>I44/D42</f>
        <v>79.64</v>
      </c>
      <c r="K44" s="158">
        <v>148</v>
      </c>
    </row>
    <row r="45" spans="1:11" s="1" customFormat="1" ht="15.75" customHeight="1" x14ac:dyDescent="0.3">
      <c r="A45" s="256">
        <f>A42+1</f>
        <v>13</v>
      </c>
      <c r="B45" s="313">
        <v>4641</v>
      </c>
      <c r="C45" s="260" t="s">
        <v>173</v>
      </c>
      <c r="D45" s="262">
        <v>721.38</v>
      </c>
      <c r="E45" s="262" t="s">
        <v>75</v>
      </c>
      <c r="F45" s="265">
        <v>2</v>
      </c>
      <c r="G45" s="256" t="s">
        <v>72</v>
      </c>
      <c r="H45" s="159" t="s">
        <v>73</v>
      </c>
      <c r="I45" s="158">
        <f>SUM(I46:I47)</f>
        <v>1586570.3</v>
      </c>
      <c r="J45" s="158">
        <f>SUM(J46:J47)</f>
        <v>2199.35</v>
      </c>
      <c r="K45" s="158">
        <f>SUM(K46:K47)</f>
        <v>7082</v>
      </c>
    </row>
    <row r="46" spans="1:11" s="1" customFormat="1" ht="47.25" customHeight="1" x14ac:dyDescent="0.3">
      <c r="A46" s="257"/>
      <c r="B46" s="314"/>
      <c r="C46" s="260"/>
      <c r="D46" s="263"/>
      <c r="E46" s="263"/>
      <c r="F46" s="266"/>
      <c r="G46" s="257"/>
      <c r="H46" s="159" t="s">
        <v>705</v>
      </c>
      <c r="I46" s="158">
        <f>80040.31+D45*13</f>
        <v>89418.25</v>
      </c>
      <c r="J46" s="158">
        <f>I46/D45</f>
        <v>123.95</v>
      </c>
      <c r="K46" s="158">
        <f>151+13</f>
        <v>164</v>
      </c>
    </row>
    <row r="47" spans="1:11" s="1" customFormat="1" ht="17.25" customHeight="1" x14ac:dyDescent="0.3">
      <c r="A47" s="257"/>
      <c r="B47" s="314"/>
      <c r="C47" s="260"/>
      <c r="D47" s="263"/>
      <c r="E47" s="263"/>
      <c r="F47" s="266"/>
      <c r="G47" s="258"/>
      <c r="H47" s="159" t="s">
        <v>667</v>
      </c>
      <c r="I47" s="158">
        <f>D45*K47*0.3</f>
        <v>1497152.05</v>
      </c>
      <c r="J47" s="158">
        <f>I47/D45</f>
        <v>2075.4</v>
      </c>
      <c r="K47" s="158">
        <v>6918</v>
      </c>
    </row>
    <row r="48" spans="1:11" s="9" customFormat="1" ht="15.75" customHeight="1" x14ac:dyDescent="0.35">
      <c r="A48" s="215" t="s">
        <v>35</v>
      </c>
      <c r="B48" s="207"/>
      <c r="C48" s="152"/>
      <c r="D48" s="125">
        <f>D49+D51+D53</f>
        <v>1873</v>
      </c>
      <c r="E48" s="122"/>
      <c r="F48" s="122"/>
      <c r="G48" s="125"/>
      <c r="H48" s="158"/>
      <c r="I48" s="158">
        <f>I49+I51+I53</f>
        <v>4205719.07</v>
      </c>
      <c r="J48" s="158"/>
      <c r="K48" s="158"/>
    </row>
    <row r="49" spans="1:11" s="9" customFormat="1" ht="15.75" customHeight="1" x14ac:dyDescent="0.35">
      <c r="A49" s="256">
        <v>1</v>
      </c>
      <c r="B49" s="302">
        <v>6680</v>
      </c>
      <c r="C49" s="259" t="s">
        <v>174</v>
      </c>
      <c r="D49" s="262">
        <v>329.1</v>
      </c>
      <c r="E49" s="265" t="s">
        <v>665</v>
      </c>
      <c r="F49" s="265">
        <v>2</v>
      </c>
      <c r="G49" s="256" t="s">
        <v>72</v>
      </c>
      <c r="H49" s="159" t="s">
        <v>73</v>
      </c>
      <c r="I49" s="158">
        <f>I50</f>
        <v>58250.7</v>
      </c>
      <c r="J49" s="158">
        <f>J50</f>
        <v>177</v>
      </c>
      <c r="K49" s="158">
        <f>K50</f>
        <v>177</v>
      </c>
    </row>
    <row r="50" spans="1:11" s="9" customFormat="1" ht="47.25" customHeight="1" x14ac:dyDescent="0.35">
      <c r="A50" s="257">
        <v>55</v>
      </c>
      <c r="B50" s="303"/>
      <c r="C50" s="260"/>
      <c r="D50" s="263"/>
      <c r="E50" s="266"/>
      <c r="F50" s="267"/>
      <c r="G50" s="257"/>
      <c r="H50" s="159" t="s">
        <v>705</v>
      </c>
      <c r="I50" s="158">
        <f>K50*D49</f>
        <v>58250.7</v>
      </c>
      <c r="J50" s="158">
        <f>I50/D49</f>
        <v>177</v>
      </c>
      <c r="K50" s="158">
        <f>163+14</f>
        <v>177</v>
      </c>
    </row>
    <row r="51" spans="1:11" s="9" customFormat="1" ht="15.75" customHeight="1" x14ac:dyDescent="0.35">
      <c r="A51" s="256">
        <f>A49+1</f>
        <v>2</v>
      </c>
      <c r="B51" s="302">
        <v>6692</v>
      </c>
      <c r="C51" s="259" t="s">
        <v>175</v>
      </c>
      <c r="D51" s="262">
        <v>329.6</v>
      </c>
      <c r="E51" s="265" t="s">
        <v>665</v>
      </c>
      <c r="F51" s="265">
        <v>2</v>
      </c>
      <c r="G51" s="256" t="s">
        <v>72</v>
      </c>
      <c r="H51" s="159" t="s">
        <v>73</v>
      </c>
      <c r="I51" s="158">
        <f>I52</f>
        <v>58339.199999999997</v>
      </c>
      <c r="J51" s="158">
        <f>J52</f>
        <v>177</v>
      </c>
      <c r="K51" s="158">
        <f>K52</f>
        <v>177</v>
      </c>
    </row>
    <row r="52" spans="1:11" s="9" customFormat="1" ht="47.25" customHeight="1" x14ac:dyDescent="0.35">
      <c r="A52" s="257">
        <v>55</v>
      </c>
      <c r="B52" s="303"/>
      <c r="C52" s="260"/>
      <c r="D52" s="263"/>
      <c r="E52" s="266"/>
      <c r="F52" s="267"/>
      <c r="G52" s="257"/>
      <c r="H52" s="159" t="s">
        <v>705</v>
      </c>
      <c r="I52" s="158">
        <f>K52*D51</f>
        <v>58339.199999999997</v>
      </c>
      <c r="J52" s="158">
        <f>I52/D51</f>
        <v>177</v>
      </c>
      <c r="K52" s="158">
        <f>163+14</f>
        <v>177</v>
      </c>
    </row>
    <row r="53" spans="1:11" s="9" customFormat="1" ht="15.75" customHeight="1" x14ac:dyDescent="0.35">
      <c r="A53" s="256">
        <f>A51+1</f>
        <v>3</v>
      </c>
      <c r="B53" s="302">
        <v>6704</v>
      </c>
      <c r="C53" s="259" t="s">
        <v>176</v>
      </c>
      <c r="D53" s="262">
        <v>1214.3</v>
      </c>
      <c r="E53" s="265" t="s">
        <v>75</v>
      </c>
      <c r="F53" s="265">
        <v>3</v>
      </c>
      <c r="G53" s="256" t="s">
        <v>72</v>
      </c>
      <c r="H53" s="159" t="s">
        <v>73</v>
      </c>
      <c r="I53" s="158">
        <f>I54+I55</f>
        <v>4089129.17</v>
      </c>
      <c r="J53" s="158">
        <f>J54+J55</f>
        <v>3367.48</v>
      </c>
      <c r="K53" s="158">
        <f>K54+K55</f>
        <v>5354</v>
      </c>
    </row>
    <row r="54" spans="1:11" s="9" customFormat="1" ht="15.75" customHeight="1" x14ac:dyDescent="0.35">
      <c r="A54" s="257">
        <v>55</v>
      </c>
      <c r="B54" s="303"/>
      <c r="C54" s="260"/>
      <c r="D54" s="263"/>
      <c r="E54" s="266"/>
      <c r="F54" s="266"/>
      <c r="G54" s="257"/>
      <c r="H54" s="159" t="s">
        <v>74</v>
      </c>
      <c r="I54" s="158">
        <v>4033137.34</v>
      </c>
      <c r="J54" s="158">
        <f>I54/D53</f>
        <v>3321.37</v>
      </c>
      <c r="K54" s="158">
        <v>5242</v>
      </c>
    </row>
    <row r="55" spans="1:11" s="9" customFormat="1" ht="15.75" customHeight="1" x14ac:dyDescent="0.35">
      <c r="A55" s="258">
        <v>56</v>
      </c>
      <c r="B55" s="304"/>
      <c r="C55" s="261"/>
      <c r="D55" s="264"/>
      <c r="E55" s="267"/>
      <c r="F55" s="267"/>
      <c r="G55" s="258"/>
      <c r="H55" s="159" t="s">
        <v>76</v>
      </c>
      <c r="I55" s="158">
        <v>55991.83</v>
      </c>
      <c r="J55" s="158">
        <f>I55/D53</f>
        <v>46.11</v>
      </c>
      <c r="K55" s="158">
        <v>112</v>
      </c>
    </row>
    <row r="56" spans="1:11" ht="15.75" customHeight="1" x14ac:dyDescent="0.35">
      <c r="A56" s="215" t="s">
        <v>38</v>
      </c>
      <c r="B56" s="207"/>
      <c r="C56" s="152"/>
      <c r="D56" s="125">
        <f>D57+D60</f>
        <v>958.8</v>
      </c>
      <c r="E56" s="122"/>
      <c r="F56" s="122"/>
      <c r="G56" s="123"/>
      <c r="H56" s="157"/>
      <c r="I56" s="158">
        <f>I57+I60</f>
        <v>3338631.39</v>
      </c>
      <c r="J56" s="158"/>
      <c r="K56" s="158"/>
    </row>
    <row r="57" spans="1:11" ht="15.75" customHeight="1" x14ac:dyDescent="0.35">
      <c r="A57" s="256">
        <v>1</v>
      </c>
      <c r="B57" s="256">
        <v>5035</v>
      </c>
      <c r="C57" s="259" t="s">
        <v>177</v>
      </c>
      <c r="D57" s="262">
        <v>473.5</v>
      </c>
      <c r="E57" s="265" t="s">
        <v>665</v>
      </c>
      <c r="F57" s="265">
        <v>2</v>
      </c>
      <c r="G57" s="256" t="s">
        <v>72</v>
      </c>
      <c r="H57" s="159" t="s">
        <v>73</v>
      </c>
      <c r="I57" s="158">
        <f>I58+I59</f>
        <v>2178133.5</v>
      </c>
      <c r="J57" s="158">
        <f>J58+J59</f>
        <v>4600.07</v>
      </c>
      <c r="K57" s="158">
        <f>K58+K59</f>
        <v>7539</v>
      </c>
    </row>
    <row r="58" spans="1:11" ht="15.75" customHeight="1" x14ac:dyDescent="0.35">
      <c r="A58" s="257">
        <v>61</v>
      </c>
      <c r="B58" s="257"/>
      <c r="C58" s="260"/>
      <c r="D58" s="263"/>
      <c r="E58" s="266"/>
      <c r="F58" s="266"/>
      <c r="G58" s="257"/>
      <c r="H58" s="159" t="s">
        <v>74</v>
      </c>
      <c r="I58" s="158">
        <v>2145531.46</v>
      </c>
      <c r="J58" s="158">
        <f>I58/D57</f>
        <v>4531.22</v>
      </c>
      <c r="K58" s="158">
        <v>7381</v>
      </c>
    </row>
    <row r="59" spans="1:11" ht="15.75" customHeight="1" x14ac:dyDescent="0.35">
      <c r="A59" s="258">
        <v>62</v>
      </c>
      <c r="B59" s="258"/>
      <c r="C59" s="261"/>
      <c r="D59" s="264"/>
      <c r="E59" s="267"/>
      <c r="F59" s="267"/>
      <c r="G59" s="258"/>
      <c r="H59" s="159" t="s">
        <v>76</v>
      </c>
      <c r="I59" s="158">
        <v>32602.04</v>
      </c>
      <c r="J59" s="158">
        <f>I59/D57</f>
        <v>68.849999999999994</v>
      </c>
      <c r="K59" s="158">
        <v>158</v>
      </c>
    </row>
    <row r="60" spans="1:11" ht="15.75" customHeight="1" x14ac:dyDescent="0.35">
      <c r="A60" s="251">
        <f>A57+1</f>
        <v>2</v>
      </c>
      <c r="B60" s="256">
        <v>5036</v>
      </c>
      <c r="C60" s="329" t="s">
        <v>178</v>
      </c>
      <c r="D60" s="262">
        <v>485.3</v>
      </c>
      <c r="E60" s="265" t="s">
        <v>665</v>
      </c>
      <c r="F60" s="265">
        <v>2</v>
      </c>
      <c r="G60" s="256" t="s">
        <v>72</v>
      </c>
      <c r="H60" s="159" t="s">
        <v>73</v>
      </c>
      <c r="I60" s="158">
        <f>I61+I62</f>
        <v>1160497.8899999999</v>
      </c>
      <c r="J60" s="158">
        <f>J61+J62</f>
        <v>2391.3000000000002</v>
      </c>
      <c r="K60" s="158">
        <f>K61+K62</f>
        <v>7558</v>
      </c>
    </row>
    <row r="61" spans="1:11" ht="48.75" customHeight="1" x14ac:dyDescent="0.35">
      <c r="A61" s="251"/>
      <c r="B61" s="257"/>
      <c r="C61" s="330"/>
      <c r="D61" s="263"/>
      <c r="E61" s="266"/>
      <c r="F61" s="266"/>
      <c r="G61" s="257"/>
      <c r="H61" s="159" t="s">
        <v>705</v>
      </c>
      <c r="I61" s="158">
        <f>D60*K61</f>
        <v>85898.1</v>
      </c>
      <c r="J61" s="158">
        <f>I61/D60</f>
        <v>177</v>
      </c>
      <c r="K61" s="158">
        <f>163+14</f>
        <v>177</v>
      </c>
    </row>
    <row r="62" spans="1:11" ht="15.75" customHeight="1" x14ac:dyDescent="0.35">
      <c r="A62" s="251"/>
      <c r="B62" s="258"/>
      <c r="C62" s="331"/>
      <c r="D62" s="264"/>
      <c r="E62" s="267"/>
      <c r="F62" s="267"/>
      <c r="G62" s="258"/>
      <c r="H62" s="159" t="s">
        <v>74</v>
      </c>
      <c r="I62" s="158">
        <f>D60*K62*30/100</f>
        <v>1074599.79</v>
      </c>
      <c r="J62" s="158">
        <f>I62/D60</f>
        <v>2214.3000000000002</v>
      </c>
      <c r="K62" s="158">
        <v>7381</v>
      </c>
    </row>
    <row r="63" spans="1:11" s="92" customFormat="1" x14ac:dyDescent="0.35">
      <c r="A63" s="71" t="s">
        <v>45</v>
      </c>
      <c r="B63" s="71"/>
      <c r="C63" s="71"/>
      <c r="D63" s="12">
        <f>D64+D67+D74+D77+D84+D88+D91+D94+D100+D102+D105+D108+D115+D118+D120+D123+D128+D131+D134+D137+D141+D144+D147+D150+D152+D155+D158+D162+D164+D168+D172+D179+D182+D210+D214+D218+D237+D239+D242+D246+D249+D252+D255+D258+D260+D263+D267+D271+D275</f>
        <v>125577.43</v>
      </c>
      <c r="E63" s="12"/>
      <c r="F63" s="75"/>
      <c r="G63" s="124"/>
      <c r="H63" s="116"/>
      <c r="I63" s="86">
        <f>I64+I67+I74+I77+I84+I88+I91+I94+I100+I102+I105+I108+I115+I118+I120+I123+I128+I131+I134+I137+I141+I144+I147+I150+I152+I155+I158+I162+I164+I168+I172+I179+I182+I210+I214+I218+I237+I239+I242+I246+I249+I252+I255+I258+I260+I263+I267+I271+I275</f>
        <v>151519126.25</v>
      </c>
      <c r="J63" s="86"/>
      <c r="K63" s="86"/>
    </row>
    <row r="64" spans="1:11" s="92" customFormat="1" ht="15.75" customHeight="1" x14ac:dyDescent="0.3">
      <c r="A64" s="308">
        <v>1</v>
      </c>
      <c r="B64" s="308">
        <v>5969</v>
      </c>
      <c r="C64" s="301" t="s">
        <v>672</v>
      </c>
      <c r="D64" s="274">
        <v>4710.6000000000004</v>
      </c>
      <c r="E64" s="274" t="s">
        <v>80</v>
      </c>
      <c r="F64" s="334">
        <v>3</v>
      </c>
      <c r="G64" s="308" t="s">
        <v>72</v>
      </c>
      <c r="H64" s="116" t="s">
        <v>73</v>
      </c>
      <c r="I64" s="86">
        <f>I65+I66</f>
        <v>9824964.8800000008</v>
      </c>
      <c r="J64" s="86">
        <f>J65+J66</f>
        <v>2085.71</v>
      </c>
      <c r="K64" s="86">
        <f>K65+K66</f>
        <v>4728</v>
      </c>
    </row>
    <row r="65" spans="1:11" s="92" customFormat="1" x14ac:dyDescent="0.3">
      <c r="A65" s="308">
        <v>65</v>
      </c>
      <c r="B65" s="308"/>
      <c r="C65" s="301"/>
      <c r="D65" s="274"/>
      <c r="E65" s="274"/>
      <c r="F65" s="334"/>
      <c r="G65" s="308"/>
      <c r="H65" s="116" t="s">
        <v>74</v>
      </c>
      <c r="I65" s="86">
        <v>9706017.6799999997</v>
      </c>
      <c r="J65" s="86">
        <f>I65/D64</f>
        <v>2060.46</v>
      </c>
      <c r="K65" s="86">
        <v>4629</v>
      </c>
    </row>
    <row r="66" spans="1:11" s="92" customFormat="1" x14ac:dyDescent="0.3">
      <c r="A66" s="308">
        <v>66</v>
      </c>
      <c r="B66" s="308"/>
      <c r="C66" s="301"/>
      <c r="D66" s="274"/>
      <c r="E66" s="274"/>
      <c r="F66" s="334"/>
      <c r="G66" s="308"/>
      <c r="H66" s="116" t="s">
        <v>76</v>
      </c>
      <c r="I66" s="86">
        <v>118947.2</v>
      </c>
      <c r="J66" s="86">
        <f>I66/D64</f>
        <v>25.25</v>
      </c>
      <c r="K66" s="86">
        <v>99</v>
      </c>
    </row>
    <row r="67" spans="1:11" s="92" customFormat="1" ht="15.75" customHeight="1" x14ac:dyDescent="0.3">
      <c r="A67" s="285">
        <f>A64+1</f>
        <v>2</v>
      </c>
      <c r="B67" s="285">
        <v>5981</v>
      </c>
      <c r="C67" s="295" t="s">
        <v>180</v>
      </c>
      <c r="D67" s="279">
        <v>3619.5</v>
      </c>
      <c r="E67" s="279" t="s">
        <v>75</v>
      </c>
      <c r="F67" s="335">
        <v>4</v>
      </c>
      <c r="G67" s="13"/>
      <c r="H67" s="116" t="s">
        <v>73</v>
      </c>
      <c r="I67" s="86">
        <f>SUM(I68:I73)</f>
        <v>3560356.34</v>
      </c>
      <c r="J67" s="86">
        <f>SUM(J68:J73)</f>
        <v>983.66</v>
      </c>
      <c r="K67" s="86">
        <f>SUM(K68:K73)</f>
        <v>3121</v>
      </c>
    </row>
    <row r="68" spans="1:11" s="92" customFormat="1" ht="31" x14ac:dyDescent="0.3">
      <c r="A68" s="286"/>
      <c r="B68" s="286"/>
      <c r="C68" s="296"/>
      <c r="D68" s="280"/>
      <c r="E68" s="280"/>
      <c r="F68" s="336"/>
      <c r="G68" s="285" t="s">
        <v>78</v>
      </c>
      <c r="H68" s="116" t="s">
        <v>666</v>
      </c>
      <c r="I68" s="86">
        <f>37495.98+D67*2</f>
        <v>44734.98</v>
      </c>
      <c r="J68" s="86">
        <f>I68/D67</f>
        <v>12.36</v>
      </c>
      <c r="K68" s="86">
        <f>19+2</f>
        <v>21</v>
      </c>
    </row>
    <row r="69" spans="1:11" s="92" customFormat="1" x14ac:dyDescent="0.3">
      <c r="A69" s="286"/>
      <c r="B69" s="286"/>
      <c r="C69" s="296"/>
      <c r="D69" s="280"/>
      <c r="E69" s="280"/>
      <c r="F69" s="336"/>
      <c r="G69" s="286"/>
      <c r="H69" s="116" t="s">
        <v>74</v>
      </c>
      <c r="I69" s="86">
        <f>D67*K69*30/100</f>
        <v>502748.55</v>
      </c>
      <c r="J69" s="86">
        <f>I69/D67</f>
        <v>138.9</v>
      </c>
      <c r="K69" s="86">
        <v>463</v>
      </c>
    </row>
    <row r="70" spans="1:11" s="92" customFormat="1" ht="31" x14ac:dyDescent="0.3">
      <c r="A70" s="286"/>
      <c r="B70" s="286"/>
      <c r="C70" s="296"/>
      <c r="D70" s="280"/>
      <c r="E70" s="280"/>
      <c r="F70" s="336"/>
      <c r="G70" s="285" t="s">
        <v>79</v>
      </c>
      <c r="H70" s="116" t="s">
        <v>666</v>
      </c>
      <c r="I70" s="86">
        <f>30678.53+D67*1</f>
        <v>34298.03</v>
      </c>
      <c r="J70" s="86">
        <f>I70/D67</f>
        <v>9.48</v>
      </c>
      <c r="K70" s="86">
        <f>16+1</f>
        <v>17</v>
      </c>
    </row>
    <row r="71" spans="1:11" s="92" customFormat="1" x14ac:dyDescent="0.3">
      <c r="A71" s="286"/>
      <c r="B71" s="286"/>
      <c r="C71" s="296"/>
      <c r="D71" s="280"/>
      <c r="E71" s="280"/>
      <c r="F71" s="336"/>
      <c r="G71" s="286"/>
      <c r="H71" s="116" t="s">
        <v>74</v>
      </c>
      <c r="I71" s="86">
        <f>D67*K71*30/100</f>
        <v>444112.65</v>
      </c>
      <c r="J71" s="86">
        <f>I71/D67</f>
        <v>122.7</v>
      </c>
      <c r="K71" s="86">
        <v>409</v>
      </c>
    </row>
    <row r="72" spans="1:11" s="92" customFormat="1" ht="31" x14ac:dyDescent="0.3">
      <c r="A72" s="286"/>
      <c r="B72" s="286"/>
      <c r="C72" s="296"/>
      <c r="D72" s="280"/>
      <c r="E72" s="280"/>
      <c r="F72" s="336"/>
      <c r="G72" s="285" t="s">
        <v>77</v>
      </c>
      <c r="H72" s="116" t="s">
        <v>666</v>
      </c>
      <c r="I72" s="86">
        <f>208209.48+D67*7</f>
        <v>233545.98</v>
      </c>
      <c r="J72" s="86">
        <f>I72/D67</f>
        <v>64.52</v>
      </c>
      <c r="K72" s="86">
        <f>85+7</f>
        <v>92</v>
      </c>
    </row>
    <row r="73" spans="1:11" s="92" customFormat="1" x14ac:dyDescent="0.3">
      <c r="A73" s="286"/>
      <c r="B73" s="286"/>
      <c r="C73" s="296"/>
      <c r="D73" s="280"/>
      <c r="E73" s="280"/>
      <c r="F73" s="336"/>
      <c r="G73" s="286"/>
      <c r="H73" s="116" t="s">
        <v>74</v>
      </c>
      <c r="I73" s="86">
        <f>D67*K73*30/100</f>
        <v>2300916.15</v>
      </c>
      <c r="J73" s="86">
        <f>I73/D67</f>
        <v>635.70000000000005</v>
      </c>
      <c r="K73" s="86">
        <v>2119</v>
      </c>
    </row>
    <row r="74" spans="1:11" s="92" customFormat="1" ht="15.75" customHeight="1" x14ac:dyDescent="0.3">
      <c r="A74" s="308">
        <f>A67+1</f>
        <v>3</v>
      </c>
      <c r="B74" s="308">
        <v>5996</v>
      </c>
      <c r="C74" s="301" t="s">
        <v>182</v>
      </c>
      <c r="D74" s="274">
        <v>4076.9</v>
      </c>
      <c r="E74" s="274" t="s">
        <v>75</v>
      </c>
      <c r="F74" s="334">
        <v>5</v>
      </c>
      <c r="G74" s="308" t="s">
        <v>72</v>
      </c>
      <c r="H74" s="116" t="s">
        <v>73</v>
      </c>
      <c r="I74" s="86">
        <f>I75+I76</f>
        <v>9245950.6999999993</v>
      </c>
      <c r="J74" s="86">
        <f>J75+J76</f>
        <v>2267.89</v>
      </c>
      <c r="K74" s="86">
        <f>K75+K76</f>
        <v>2831</v>
      </c>
    </row>
    <row r="75" spans="1:11" s="92" customFormat="1" x14ac:dyDescent="0.3">
      <c r="A75" s="308">
        <v>65</v>
      </c>
      <c r="B75" s="308"/>
      <c r="C75" s="301"/>
      <c r="D75" s="274"/>
      <c r="E75" s="274"/>
      <c r="F75" s="334"/>
      <c r="G75" s="308"/>
      <c r="H75" s="116" t="s">
        <v>74</v>
      </c>
      <c r="I75" s="86">
        <v>9137425.4900000002</v>
      </c>
      <c r="J75" s="86">
        <f>I75/D74</f>
        <v>2241.27</v>
      </c>
      <c r="K75" s="86">
        <v>2772</v>
      </c>
    </row>
    <row r="76" spans="1:11" s="92" customFormat="1" x14ac:dyDescent="0.3">
      <c r="A76" s="308">
        <v>66</v>
      </c>
      <c r="B76" s="308"/>
      <c r="C76" s="301"/>
      <c r="D76" s="274"/>
      <c r="E76" s="274"/>
      <c r="F76" s="334"/>
      <c r="G76" s="308"/>
      <c r="H76" s="116" t="s">
        <v>76</v>
      </c>
      <c r="I76" s="86">
        <v>108525.21</v>
      </c>
      <c r="J76" s="86">
        <f>I76/D74</f>
        <v>26.62</v>
      </c>
      <c r="K76" s="86">
        <v>59</v>
      </c>
    </row>
    <row r="77" spans="1:11" s="92" customFormat="1" ht="15.75" customHeight="1" x14ac:dyDescent="0.3">
      <c r="A77" s="285">
        <f>A74+1</f>
        <v>4</v>
      </c>
      <c r="B77" s="285">
        <v>6025</v>
      </c>
      <c r="C77" s="295" t="s">
        <v>183</v>
      </c>
      <c r="D77" s="279">
        <v>3396.7</v>
      </c>
      <c r="E77" s="285" t="s">
        <v>75</v>
      </c>
      <c r="F77" s="285">
        <v>5</v>
      </c>
      <c r="G77" s="13"/>
      <c r="H77" s="116" t="s">
        <v>73</v>
      </c>
      <c r="I77" s="86">
        <f>SUM(I78:I83)</f>
        <v>8550752.3300000001</v>
      </c>
      <c r="J77" s="86">
        <f>SUM(J78:J83)</f>
        <v>2517.37</v>
      </c>
      <c r="K77" s="86">
        <f>SUM(K78:K83)</f>
        <v>3055</v>
      </c>
    </row>
    <row r="78" spans="1:11" s="92" customFormat="1" x14ac:dyDescent="0.3">
      <c r="A78" s="286"/>
      <c r="B78" s="286"/>
      <c r="C78" s="296"/>
      <c r="D78" s="280"/>
      <c r="E78" s="286"/>
      <c r="F78" s="286"/>
      <c r="G78" s="285" t="s">
        <v>77</v>
      </c>
      <c r="H78" s="116" t="s">
        <v>74</v>
      </c>
      <c r="I78" s="86">
        <v>7148459.6399999997</v>
      </c>
      <c r="J78" s="86">
        <f>I78/D77+0.01</f>
        <v>2104.54</v>
      </c>
      <c r="K78" s="86">
        <v>2119</v>
      </c>
    </row>
    <row r="79" spans="1:11" s="92" customFormat="1" x14ac:dyDescent="0.3">
      <c r="A79" s="286"/>
      <c r="B79" s="286"/>
      <c r="C79" s="296"/>
      <c r="D79" s="280"/>
      <c r="E79" s="286"/>
      <c r="F79" s="286"/>
      <c r="G79" s="287"/>
      <c r="H79" s="116" t="s">
        <v>76</v>
      </c>
      <c r="I79" s="86">
        <v>0</v>
      </c>
      <c r="J79" s="86">
        <v>0</v>
      </c>
      <c r="K79" s="86">
        <v>45</v>
      </c>
    </row>
    <row r="80" spans="1:11" s="92" customFormat="1" x14ac:dyDescent="0.3">
      <c r="A80" s="286"/>
      <c r="B80" s="286"/>
      <c r="C80" s="296"/>
      <c r="D80" s="280"/>
      <c r="E80" s="286"/>
      <c r="F80" s="286"/>
      <c r="G80" s="285" t="s">
        <v>78</v>
      </c>
      <c r="H80" s="116" t="s">
        <v>74</v>
      </c>
      <c r="I80" s="86">
        <v>404393.95</v>
      </c>
      <c r="J80" s="86">
        <f>I80/D77</f>
        <v>119.05</v>
      </c>
      <c r="K80" s="86">
        <v>463</v>
      </c>
    </row>
    <row r="81" spans="1:11" s="92" customFormat="1" x14ac:dyDescent="0.3">
      <c r="A81" s="286"/>
      <c r="B81" s="286"/>
      <c r="C81" s="296"/>
      <c r="D81" s="280"/>
      <c r="E81" s="286"/>
      <c r="F81" s="286"/>
      <c r="G81" s="287"/>
      <c r="H81" s="116" t="s">
        <v>76</v>
      </c>
      <c r="I81" s="86">
        <v>0</v>
      </c>
      <c r="J81" s="86">
        <v>0</v>
      </c>
      <c r="K81" s="86">
        <v>10</v>
      </c>
    </row>
    <row r="82" spans="1:11" s="92" customFormat="1" x14ac:dyDescent="0.3">
      <c r="A82" s="286"/>
      <c r="B82" s="286"/>
      <c r="C82" s="296"/>
      <c r="D82" s="280"/>
      <c r="E82" s="286"/>
      <c r="F82" s="286"/>
      <c r="G82" s="285" t="s">
        <v>79</v>
      </c>
      <c r="H82" s="116" t="s">
        <v>74</v>
      </c>
      <c r="I82" s="86">
        <v>997898.74</v>
      </c>
      <c r="J82" s="86">
        <f>I82/D77</f>
        <v>293.77999999999997</v>
      </c>
      <c r="K82" s="86">
        <v>409</v>
      </c>
    </row>
    <row r="83" spans="1:11" s="92" customFormat="1" x14ac:dyDescent="0.3">
      <c r="A83" s="287"/>
      <c r="B83" s="287"/>
      <c r="C83" s="297"/>
      <c r="D83" s="281"/>
      <c r="E83" s="287"/>
      <c r="F83" s="287"/>
      <c r="G83" s="286"/>
      <c r="H83" s="160" t="s">
        <v>76</v>
      </c>
      <c r="I83" s="218">
        <v>0</v>
      </c>
      <c r="J83" s="218">
        <v>0</v>
      </c>
      <c r="K83" s="218">
        <v>9</v>
      </c>
    </row>
    <row r="84" spans="1:11" s="92" customFormat="1" ht="15.75" customHeight="1" x14ac:dyDescent="0.3">
      <c r="A84" s="285">
        <f>A77+1</f>
        <v>5</v>
      </c>
      <c r="B84" s="285">
        <v>6042</v>
      </c>
      <c r="C84" s="295" t="s">
        <v>184</v>
      </c>
      <c r="D84" s="279">
        <v>2322.8000000000002</v>
      </c>
      <c r="E84" s="285" t="s">
        <v>75</v>
      </c>
      <c r="F84" s="285">
        <v>9</v>
      </c>
      <c r="G84" s="285" t="s">
        <v>673</v>
      </c>
      <c r="H84" s="116" t="s">
        <v>73</v>
      </c>
      <c r="I84" s="86">
        <f>SUM(I85:I87)</f>
        <v>1733403</v>
      </c>
      <c r="J84" s="86">
        <f>SUM(J85:J87)</f>
        <v>746.26</v>
      </c>
      <c r="K84" s="86">
        <f>SUM(K85:K87)</f>
        <v>762</v>
      </c>
    </row>
    <row r="85" spans="1:11" s="92" customFormat="1" ht="31" x14ac:dyDescent="0.3">
      <c r="A85" s="286"/>
      <c r="B85" s="286"/>
      <c r="C85" s="296"/>
      <c r="D85" s="280"/>
      <c r="E85" s="286"/>
      <c r="F85" s="286"/>
      <c r="G85" s="286"/>
      <c r="H85" s="116" t="s">
        <v>666</v>
      </c>
      <c r="I85" s="86">
        <v>24580</v>
      </c>
      <c r="J85" s="86">
        <f>I85/D84</f>
        <v>10.58</v>
      </c>
      <c r="K85" s="86">
        <f>I85/D84</f>
        <v>10.58</v>
      </c>
    </row>
    <row r="86" spans="1:11" s="92" customFormat="1" x14ac:dyDescent="0.3">
      <c r="A86" s="286"/>
      <c r="B86" s="286"/>
      <c r="C86" s="296"/>
      <c r="D86" s="280"/>
      <c r="E86" s="286"/>
      <c r="F86" s="286"/>
      <c r="G86" s="286"/>
      <c r="H86" s="116" t="s">
        <v>674</v>
      </c>
      <c r="I86" s="86">
        <v>1708823</v>
      </c>
      <c r="J86" s="86">
        <f>I86/D84+0.01</f>
        <v>735.68</v>
      </c>
      <c r="K86" s="86">
        <f>1708823/D84+0.01</f>
        <v>735.68</v>
      </c>
    </row>
    <row r="87" spans="1:11" s="92" customFormat="1" x14ac:dyDescent="0.3">
      <c r="A87" s="287"/>
      <c r="B87" s="287"/>
      <c r="C87" s="297"/>
      <c r="D87" s="281"/>
      <c r="E87" s="287"/>
      <c r="F87" s="287"/>
      <c r="G87" s="287"/>
      <c r="H87" s="116" t="s">
        <v>76</v>
      </c>
      <c r="I87" s="86">
        <v>0</v>
      </c>
      <c r="J87" s="86">
        <v>0</v>
      </c>
      <c r="K87" s="86">
        <f>36569/D84</f>
        <v>15.74</v>
      </c>
    </row>
    <row r="88" spans="1:11" s="92" customFormat="1" ht="15.75" customHeight="1" x14ac:dyDescent="0.3">
      <c r="A88" s="285">
        <f>A84+1</f>
        <v>6</v>
      </c>
      <c r="B88" s="285">
        <v>5833</v>
      </c>
      <c r="C88" s="295" t="s">
        <v>187</v>
      </c>
      <c r="D88" s="279">
        <v>2041.3</v>
      </c>
      <c r="E88" s="279" t="s">
        <v>75</v>
      </c>
      <c r="F88" s="335">
        <v>4</v>
      </c>
      <c r="G88" s="285" t="s">
        <v>72</v>
      </c>
      <c r="H88" s="116" t="s">
        <v>73</v>
      </c>
      <c r="I88" s="86">
        <f>I89+I90</f>
        <v>3035853.05</v>
      </c>
      <c r="J88" s="86">
        <f>J89+J90</f>
        <v>1487.22</v>
      </c>
      <c r="K88" s="86">
        <f>K89+K90</f>
        <v>4793</v>
      </c>
    </row>
    <row r="89" spans="1:11" s="92" customFormat="1" ht="44.25" customHeight="1" x14ac:dyDescent="0.3">
      <c r="A89" s="286"/>
      <c r="B89" s="286"/>
      <c r="C89" s="296"/>
      <c r="D89" s="280"/>
      <c r="E89" s="280"/>
      <c r="F89" s="336"/>
      <c r="G89" s="286"/>
      <c r="H89" s="116" t="s">
        <v>705</v>
      </c>
      <c r="I89" s="86">
        <f>174562.84+D88*13</f>
        <v>201099.74</v>
      </c>
      <c r="J89" s="86">
        <f>I89/D88</f>
        <v>98.52</v>
      </c>
      <c r="K89" s="86">
        <f>151+13</f>
        <v>164</v>
      </c>
    </row>
    <row r="90" spans="1:11" s="92" customFormat="1" x14ac:dyDescent="0.3">
      <c r="A90" s="286"/>
      <c r="B90" s="286"/>
      <c r="C90" s="296"/>
      <c r="D90" s="280"/>
      <c r="E90" s="280"/>
      <c r="F90" s="336"/>
      <c r="G90" s="286"/>
      <c r="H90" s="116" t="s">
        <v>74</v>
      </c>
      <c r="I90" s="86">
        <f>D88*K90*30/100</f>
        <v>2834753.31</v>
      </c>
      <c r="J90" s="86">
        <f>I90/D88</f>
        <v>1388.7</v>
      </c>
      <c r="K90" s="86">
        <v>4629</v>
      </c>
    </row>
    <row r="91" spans="1:11" s="92" customFormat="1" x14ac:dyDescent="0.3">
      <c r="A91" s="285">
        <f>A88+1</f>
        <v>7</v>
      </c>
      <c r="B91" s="285">
        <v>5842</v>
      </c>
      <c r="C91" s="295" t="s">
        <v>188</v>
      </c>
      <c r="D91" s="279">
        <v>911.5</v>
      </c>
      <c r="E91" s="279" t="s">
        <v>80</v>
      </c>
      <c r="F91" s="335">
        <v>2</v>
      </c>
      <c r="G91" s="285" t="s">
        <v>72</v>
      </c>
      <c r="H91" s="116" t="s">
        <v>73</v>
      </c>
      <c r="I91" s="86">
        <f>I92+I93</f>
        <v>2000669.61</v>
      </c>
      <c r="J91" s="86">
        <f>J92+J93</f>
        <v>2194.92</v>
      </c>
      <c r="K91" s="86">
        <f>K92+K93</f>
        <v>7096</v>
      </c>
    </row>
    <row r="92" spans="1:11" s="92" customFormat="1" ht="48" customHeight="1" x14ac:dyDescent="0.3">
      <c r="A92" s="286"/>
      <c r="B92" s="286"/>
      <c r="C92" s="296"/>
      <c r="D92" s="280"/>
      <c r="E92" s="280"/>
      <c r="F92" s="336"/>
      <c r="G92" s="286"/>
      <c r="H92" s="116" t="s">
        <v>705</v>
      </c>
      <c r="I92" s="86">
        <f>96181.51+D91*14</f>
        <v>108942.51</v>
      </c>
      <c r="J92" s="86">
        <f>I92/D91</f>
        <v>119.52</v>
      </c>
      <c r="K92" s="86">
        <f>164+14</f>
        <v>178</v>
      </c>
    </row>
    <row r="93" spans="1:11" s="92" customFormat="1" x14ac:dyDescent="0.3">
      <c r="A93" s="287"/>
      <c r="B93" s="287"/>
      <c r="C93" s="297"/>
      <c r="D93" s="281"/>
      <c r="E93" s="281"/>
      <c r="F93" s="337"/>
      <c r="G93" s="287"/>
      <c r="H93" s="116" t="s">
        <v>74</v>
      </c>
      <c r="I93" s="86">
        <f>D91*K93*30/100</f>
        <v>1891727.1</v>
      </c>
      <c r="J93" s="86">
        <f>I93/D91</f>
        <v>2075.4</v>
      </c>
      <c r="K93" s="86">
        <v>6918</v>
      </c>
    </row>
    <row r="94" spans="1:11" s="92" customFormat="1" ht="15.75" customHeight="1" x14ac:dyDescent="0.3">
      <c r="A94" s="285">
        <f>A91+1</f>
        <v>8</v>
      </c>
      <c r="B94" s="285">
        <v>5862</v>
      </c>
      <c r="C94" s="295" t="s">
        <v>189</v>
      </c>
      <c r="D94" s="279">
        <v>2376.8000000000002</v>
      </c>
      <c r="E94" s="279" t="s">
        <v>75</v>
      </c>
      <c r="F94" s="335">
        <v>4</v>
      </c>
      <c r="G94" s="13"/>
      <c r="H94" s="116" t="s">
        <v>73</v>
      </c>
      <c r="I94" s="86">
        <f>SUM(I95:I99)</f>
        <v>315143.13</v>
      </c>
      <c r="J94" s="86">
        <f>SUM(J95:J99)</f>
        <v>132.59</v>
      </c>
      <c r="K94" s="86">
        <f>SUM(K95:K99)</f>
        <v>226</v>
      </c>
    </row>
    <row r="95" spans="1:11" s="92" customFormat="1" ht="31" x14ac:dyDescent="0.3">
      <c r="A95" s="286"/>
      <c r="B95" s="286"/>
      <c r="C95" s="296"/>
      <c r="D95" s="280"/>
      <c r="E95" s="280"/>
      <c r="F95" s="336"/>
      <c r="G95" s="119" t="s">
        <v>77</v>
      </c>
      <c r="H95" s="116" t="s">
        <v>666</v>
      </c>
      <c r="I95" s="86">
        <f>137167.74+D94*9</f>
        <v>158558.94</v>
      </c>
      <c r="J95" s="86">
        <f>I95/D94</f>
        <v>66.709999999999994</v>
      </c>
      <c r="K95" s="86">
        <f>108+9</f>
        <v>117</v>
      </c>
    </row>
    <row r="96" spans="1:11" s="92" customFormat="1" ht="31" x14ac:dyDescent="0.3">
      <c r="A96" s="286"/>
      <c r="B96" s="286"/>
      <c r="C96" s="296"/>
      <c r="D96" s="280"/>
      <c r="E96" s="280"/>
      <c r="F96" s="336"/>
      <c r="G96" s="119" t="s">
        <v>90</v>
      </c>
      <c r="H96" s="161" t="s">
        <v>666</v>
      </c>
      <c r="I96" s="86">
        <f>34755.38+D94*2</f>
        <v>39508.980000000003</v>
      </c>
      <c r="J96" s="86">
        <f>I96/D94</f>
        <v>16.62</v>
      </c>
      <c r="K96" s="86">
        <f>18+2</f>
        <v>20</v>
      </c>
    </row>
    <row r="97" spans="1:11" s="92" customFormat="1" ht="124" x14ac:dyDescent="0.3">
      <c r="A97" s="286"/>
      <c r="B97" s="286"/>
      <c r="C97" s="296"/>
      <c r="D97" s="280"/>
      <c r="E97" s="280"/>
      <c r="F97" s="336"/>
      <c r="G97" s="119" t="s">
        <v>675</v>
      </c>
      <c r="H97" s="161" t="s">
        <v>666</v>
      </c>
      <c r="I97" s="86">
        <f>40405.6+D94*4</f>
        <v>49912.800000000003</v>
      </c>
      <c r="J97" s="86">
        <f>I97/D94</f>
        <v>21</v>
      </c>
      <c r="K97" s="86">
        <f>47+4</f>
        <v>51</v>
      </c>
    </row>
    <row r="98" spans="1:11" s="92" customFormat="1" ht="46.5" x14ac:dyDescent="0.3">
      <c r="A98" s="286"/>
      <c r="B98" s="286"/>
      <c r="C98" s="296"/>
      <c r="D98" s="280"/>
      <c r="E98" s="280"/>
      <c r="F98" s="336"/>
      <c r="G98" s="119" t="s">
        <v>78</v>
      </c>
      <c r="H98" s="116" t="s">
        <v>666</v>
      </c>
      <c r="I98" s="86">
        <f>36335.16+D94*2</f>
        <v>41088.76</v>
      </c>
      <c r="J98" s="86">
        <f>I98/D94</f>
        <v>17.29</v>
      </c>
      <c r="K98" s="86">
        <f>19+2</f>
        <v>21</v>
      </c>
    </row>
    <row r="99" spans="1:11" s="92" customFormat="1" ht="31" x14ac:dyDescent="0.3">
      <c r="A99" s="286"/>
      <c r="B99" s="286"/>
      <c r="C99" s="296"/>
      <c r="D99" s="280"/>
      <c r="E99" s="280"/>
      <c r="F99" s="336"/>
      <c r="G99" s="124" t="s">
        <v>79</v>
      </c>
      <c r="H99" s="116" t="s">
        <v>666</v>
      </c>
      <c r="I99" s="86">
        <f>23696.85+D94*1</f>
        <v>26073.65</v>
      </c>
      <c r="J99" s="86">
        <f>I99/D94</f>
        <v>10.97</v>
      </c>
      <c r="K99" s="86">
        <f>16+1</f>
        <v>17</v>
      </c>
    </row>
    <row r="100" spans="1:11" s="92" customFormat="1" ht="15.75" customHeight="1" x14ac:dyDescent="0.3">
      <c r="A100" s="285">
        <f>A94+1</f>
        <v>9</v>
      </c>
      <c r="B100" s="285">
        <v>5869</v>
      </c>
      <c r="C100" s="295" t="s">
        <v>191</v>
      </c>
      <c r="D100" s="279">
        <v>2371.4299999999998</v>
      </c>
      <c r="E100" s="279" t="s">
        <v>75</v>
      </c>
      <c r="F100" s="335">
        <v>4</v>
      </c>
      <c r="G100" s="285" t="s">
        <v>79</v>
      </c>
      <c r="H100" s="116" t="s">
        <v>73</v>
      </c>
      <c r="I100" s="86">
        <f>I101</f>
        <v>179497.86</v>
      </c>
      <c r="J100" s="86">
        <f>J101</f>
        <v>75.69</v>
      </c>
      <c r="K100" s="86">
        <f>K101</f>
        <v>409</v>
      </c>
    </row>
    <row r="101" spans="1:11" s="92" customFormat="1" x14ac:dyDescent="0.3">
      <c r="A101" s="286"/>
      <c r="B101" s="286"/>
      <c r="C101" s="296"/>
      <c r="D101" s="280"/>
      <c r="E101" s="280"/>
      <c r="F101" s="336"/>
      <c r="G101" s="286"/>
      <c r="H101" s="116" t="s">
        <v>74</v>
      </c>
      <c r="I101" s="86">
        <f>598326.21*0.3</f>
        <v>179497.86</v>
      </c>
      <c r="J101" s="86">
        <f>I101/D100</f>
        <v>75.69</v>
      </c>
      <c r="K101" s="86">
        <v>409</v>
      </c>
    </row>
    <row r="102" spans="1:11" s="92" customFormat="1" ht="15.75" customHeight="1" x14ac:dyDescent="0.3">
      <c r="A102" s="285">
        <f>A100+1</f>
        <v>10</v>
      </c>
      <c r="B102" s="285">
        <v>5874</v>
      </c>
      <c r="C102" s="295" t="s">
        <v>193</v>
      </c>
      <c r="D102" s="279">
        <v>2947.8</v>
      </c>
      <c r="E102" s="279" t="s">
        <v>75</v>
      </c>
      <c r="F102" s="335">
        <v>4</v>
      </c>
      <c r="G102" s="285" t="s">
        <v>72</v>
      </c>
      <c r="H102" s="116" t="s">
        <v>73</v>
      </c>
      <c r="I102" s="86">
        <f>I103+I104</f>
        <v>4335978.1399999997</v>
      </c>
      <c r="J102" s="86">
        <f>J103+J104</f>
        <v>1470.92</v>
      </c>
      <c r="K102" s="86">
        <f>K103+K104</f>
        <v>4793</v>
      </c>
    </row>
    <row r="103" spans="1:11" s="92" customFormat="1" ht="46.5" x14ac:dyDescent="0.3">
      <c r="A103" s="286"/>
      <c r="B103" s="286"/>
      <c r="C103" s="296"/>
      <c r="D103" s="280"/>
      <c r="E103" s="280"/>
      <c r="F103" s="336"/>
      <c r="G103" s="286"/>
      <c r="H103" s="116" t="s">
        <v>705</v>
      </c>
      <c r="I103" s="86">
        <f>204046.88+D102*13</f>
        <v>242368.28</v>
      </c>
      <c r="J103" s="86">
        <f>I103/D102</f>
        <v>82.22</v>
      </c>
      <c r="K103" s="86">
        <f>151+13</f>
        <v>164</v>
      </c>
    </row>
    <row r="104" spans="1:11" s="92" customFormat="1" x14ac:dyDescent="0.3">
      <c r="A104" s="286"/>
      <c r="B104" s="286"/>
      <c r="C104" s="296"/>
      <c r="D104" s="280"/>
      <c r="E104" s="280"/>
      <c r="F104" s="336"/>
      <c r="G104" s="286"/>
      <c r="H104" s="116" t="s">
        <v>74</v>
      </c>
      <c r="I104" s="86">
        <f>D102*K104*30/100</f>
        <v>4093609.86</v>
      </c>
      <c r="J104" s="86">
        <f>I104/D102</f>
        <v>1388.7</v>
      </c>
      <c r="K104" s="86">
        <v>4629</v>
      </c>
    </row>
    <row r="105" spans="1:11" s="92" customFormat="1" ht="15.75" customHeight="1" x14ac:dyDescent="0.3">
      <c r="A105" s="285">
        <f>A102+1</f>
        <v>11</v>
      </c>
      <c r="B105" s="285">
        <v>5877</v>
      </c>
      <c r="C105" s="295" t="s">
        <v>676</v>
      </c>
      <c r="D105" s="279">
        <v>887.8</v>
      </c>
      <c r="E105" s="285" t="s">
        <v>80</v>
      </c>
      <c r="F105" s="285">
        <v>2</v>
      </c>
      <c r="G105" s="119"/>
      <c r="H105" s="116" t="s">
        <v>73</v>
      </c>
      <c r="I105" s="86">
        <f>I106+I107</f>
        <v>33736.400000000001</v>
      </c>
      <c r="J105" s="86">
        <f>J106+J107</f>
        <v>38</v>
      </c>
      <c r="K105" s="86">
        <f>K106+K107</f>
        <v>38</v>
      </c>
    </row>
    <row r="106" spans="1:11" s="92" customFormat="1" ht="46.5" x14ac:dyDescent="0.3">
      <c r="A106" s="286"/>
      <c r="B106" s="286"/>
      <c r="C106" s="296"/>
      <c r="D106" s="280"/>
      <c r="E106" s="286"/>
      <c r="F106" s="286"/>
      <c r="G106" s="119" t="s">
        <v>78</v>
      </c>
      <c r="H106" s="116" t="s">
        <v>666</v>
      </c>
      <c r="I106" s="86">
        <f>D105*K106</f>
        <v>17756</v>
      </c>
      <c r="J106" s="86">
        <f>I106/D105</f>
        <v>20</v>
      </c>
      <c r="K106" s="86">
        <f>18+2</f>
        <v>20</v>
      </c>
    </row>
    <row r="107" spans="1:11" s="92" customFormat="1" ht="31" x14ac:dyDescent="0.3">
      <c r="A107" s="287"/>
      <c r="B107" s="287"/>
      <c r="C107" s="297"/>
      <c r="D107" s="281"/>
      <c r="E107" s="287"/>
      <c r="F107" s="287"/>
      <c r="G107" s="119" t="s">
        <v>79</v>
      </c>
      <c r="H107" s="116" t="s">
        <v>666</v>
      </c>
      <c r="I107" s="86">
        <f>D105*K107</f>
        <v>15980.4</v>
      </c>
      <c r="J107" s="86">
        <f>I107/D105</f>
        <v>18</v>
      </c>
      <c r="K107" s="86">
        <f>17+1</f>
        <v>18</v>
      </c>
    </row>
    <row r="108" spans="1:11" s="92" customFormat="1" ht="15.75" customHeight="1" x14ac:dyDescent="0.3">
      <c r="A108" s="285">
        <f>A105+1</f>
        <v>12</v>
      </c>
      <c r="B108" s="285">
        <v>5881</v>
      </c>
      <c r="C108" s="295" t="s">
        <v>195</v>
      </c>
      <c r="D108" s="279">
        <v>5440.4</v>
      </c>
      <c r="E108" s="279" t="s">
        <v>75</v>
      </c>
      <c r="F108" s="291">
        <v>5</v>
      </c>
      <c r="G108" s="13"/>
      <c r="H108" s="116" t="s">
        <v>73</v>
      </c>
      <c r="I108" s="86">
        <f>I109+I110+I111+I112+I113+I114</f>
        <v>12437220.060000001</v>
      </c>
      <c r="J108" s="86">
        <f>J109+J110+J111+J112+J113+J114</f>
        <v>2286.09</v>
      </c>
      <c r="K108" s="86">
        <f>K109+K110+K111+K112+K113+K114</f>
        <v>3055</v>
      </c>
    </row>
    <row r="109" spans="1:11" s="92" customFormat="1" x14ac:dyDescent="0.3">
      <c r="A109" s="286"/>
      <c r="B109" s="286"/>
      <c r="C109" s="296"/>
      <c r="D109" s="280"/>
      <c r="E109" s="280"/>
      <c r="F109" s="292"/>
      <c r="G109" s="285" t="s">
        <v>77</v>
      </c>
      <c r="H109" s="116" t="s">
        <v>74</v>
      </c>
      <c r="I109" s="86">
        <v>9854710.9100000001</v>
      </c>
      <c r="J109" s="86">
        <f>I109/D108+0.01</f>
        <v>1811.4</v>
      </c>
      <c r="K109" s="86">
        <v>2119</v>
      </c>
    </row>
    <row r="110" spans="1:11" s="92" customFormat="1" x14ac:dyDescent="0.3">
      <c r="A110" s="286"/>
      <c r="B110" s="286"/>
      <c r="C110" s="296"/>
      <c r="D110" s="280"/>
      <c r="E110" s="280"/>
      <c r="F110" s="292"/>
      <c r="G110" s="287"/>
      <c r="H110" s="116" t="s">
        <v>76</v>
      </c>
      <c r="I110" s="86">
        <v>0</v>
      </c>
      <c r="J110" s="86">
        <v>0</v>
      </c>
      <c r="K110" s="86">
        <v>45</v>
      </c>
    </row>
    <row r="111" spans="1:11" s="92" customFormat="1" x14ac:dyDescent="0.3">
      <c r="A111" s="286"/>
      <c r="B111" s="286"/>
      <c r="C111" s="296"/>
      <c r="D111" s="280"/>
      <c r="E111" s="280"/>
      <c r="F111" s="292"/>
      <c r="G111" s="285" t="s">
        <v>78</v>
      </c>
      <c r="H111" s="116" t="s">
        <v>74</v>
      </c>
      <c r="I111" s="86">
        <v>651568.86</v>
      </c>
      <c r="J111" s="86">
        <f>I111/D108</f>
        <v>119.76</v>
      </c>
      <c r="K111" s="86">
        <v>463</v>
      </c>
    </row>
    <row r="112" spans="1:11" s="92" customFormat="1" x14ac:dyDescent="0.3">
      <c r="A112" s="286"/>
      <c r="B112" s="286"/>
      <c r="C112" s="296"/>
      <c r="D112" s="280"/>
      <c r="E112" s="280"/>
      <c r="F112" s="292"/>
      <c r="G112" s="287"/>
      <c r="H112" s="116" t="s">
        <v>76</v>
      </c>
      <c r="I112" s="86">
        <v>0</v>
      </c>
      <c r="J112" s="86">
        <v>0</v>
      </c>
      <c r="K112" s="86">
        <v>10</v>
      </c>
    </row>
    <row r="113" spans="1:11" s="92" customFormat="1" x14ac:dyDescent="0.3">
      <c r="A113" s="286"/>
      <c r="B113" s="286"/>
      <c r="C113" s="296"/>
      <c r="D113" s="280"/>
      <c r="E113" s="280"/>
      <c r="F113" s="292"/>
      <c r="G113" s="285" t="s">
        <v>79</v>
      </c>
      <c r="H113" s="116" t="s">
        <v>74</v>
      </c>
      <c r="I113" s="86">
        <v>1930940.29</v>
      </c>
      <c r="J113" s="86">
        <f>I113/D108</f>
        <v>354.93</v>
      </c>
      <c r="K113" s="86">
        <v>409</v>
      </c>
    </row>
    <row r="114" spans="1:11" s="92" customFormat="1" ht="26.25" customHeight="1" x14ac:dyDescent="0.3">
      <c r="A114" s="287"/>
      <c r="B114" s="287"/>
      <c r="C114" s="297"/>
      <c r="D114" s="281"/>
      <c r="E114" s="281"/>
      <c r="F114" s="294"/>
      <c r="G114" s="287"/>
      <c r="H114" s="116" t="s">
        <v>76</v>
      </c>
      <c r="I114" s="86">
        <v>0</v>
      </c>
      <c r="J114" s="86">
        <v>0</v>
      </c>
      <c r="K114" s="86">
        <v>9</v>
      </c>
    </row>
    <row r="115" spans="1:11" s="92" customFormat="1" x14ac:dyDescent="0.3">
      <c r="A115" s="285">
        <f>A108+1</f>
        <v>13</v>
      </c>
      <c r="B115" s="285">
        <v>5913</v>
      </c>
      <c r="C115" s="295" t="s">
        <v>196</v>
      </c>
      <c r="D115" s="279">
        <v>659.4</v>
      </c>
      <c r="E115" s="279" t="s">
        <v>75</v>
      </c>
      <c r="F115" s="335">
        <v>2</v>
      </c>
      <c r="G115" s="285" t="s">
        <v>72</v>
      </c>
      <c r="H115" s="116" t="s">
        <v>73</v>
      </c>
      <c r="I115" s="86">
        <f>I116+I117</f>
        <v>1465131.83</v>
      </c>
      <c r="J115" s="86">
        <f>J116+J117</f>
        <v>2221.92</v>
      </c>
      <c r="K115" s="86">
        <f>K116+K117</f>
        <v>7082</v>
      </c>
    </row>
    <row r="116" spans="1:11" s="92" customFormat="1" ht="47.25" customHeight="1" x14ac:dyDescent="0.3">
      <c r="A116" s="286"/>
      <c r="B116" s="286"/>
      <c r="C116" s="296"/>
      <c r="D116" s="280"/>
      <c r="E116" s="280"/>
      <c r="F116" s="336"/>
      <c r="G116" s="286"/>
      <c r="H116" s="116" t="s">
        <v>705</v>
      </c>
      <c r="I116" s="86">
        <f>88040.87+D115*13</f>
        <v>96613.07</v>
      </c>
      <c r="J116" s="86">
        <f>I116/D115</f>
        <v>146.52000000000001</v>
      </c>
      <c r="K116" s="86">
        <f>151+13</f>
        <v>164</v>
      </c>
    </row>
    <row r="117" spans="1:11" s="92" customFormat="1" x14ac:dyDescent="0.3">
      <c r="A117" s="287"/>
      <c r="B117" s="287"/>
      <c r="C117" s="297"/>
      <c r="D117" s="281"/>
      <c r="E117" s="281"/>
      <c r="F117" s="337"/>
      <c r="G117" s="287"/>
      <c r="H117" s="116" t="s">
        <v>74</v>
      </c>
      <c r="I117" s="86">
        <f>D115*K117*30/100</f>
        <v>1368518.76</v>
      </c>
      <c r="J117" s="86">
        <f>I117/D115</f>
        <v>2075.4</v>
      </c>
      <c r="K117" s="86">
        <v>6918</v>
      </c>
    </row>
    <row r="118" spans="1:11" s="92" customFormat="1" ht="15.75" customHeight="1" x14ac:dyDescent="0.3">
      <c r="A118" s="285">
        <f>A115+1</f>
        <v>14</v>
      </c>
      <c r="B118" s="285">
        <v>5941</v>
      </c>
      <c r="C118" s="295" t="s">
        <v>197</v>
      </c>
      <c r="D118" s="279">
        <v>527.29999999999995</v>
      </c>
      <c r="E118" s="279" t="s">
        <v>665</v>
      </c>
      <c r="F118" s="335">
        <v>2</v>
      </c>
      <c r="G118" s="285" t="s">
        <v>72</v>
      </c>
      <c r="H118" s="116" t="s">
        <v>73</v>
      </c>
      <c r="I118" s="86">
        <f>I119</f>
        <v>81882.490000000005</v>
      </c>
      <c r="J118" s="86">
        <f>J119</f>
        <v>155.29</v>
      </c>
      <c r="K118" s="86">
        <f>K119</f>
        <v>178</v>
      </c>
    </row>
    <row r="119" spans="1:11" s="92" customFormat="1" ht="47.25" customHeight="1" x14ac:dyDescent="0.3">
      <c r="A119" s="286"/>
      <c r="B119" s="286"/>
      <c r="C119" s="296"/>
      <c r="D119" s="280"/>
      <c r="E119" s="280"/>
      <c r="F119" s="336"/>
      <c r="G119" s="286"/>
      <c r="H119" s="116" t="s">
        <v>705</v>
      </c>
      <c r="I119" s="86">
        <v>81882.490000000005</v>
      </c>
      <c r="J119" s="86">
        <f>I119/D118</f>
        <v>155.29</v>
      </c>
      <c r="K119" s="86">
        <f>164+14</f>
        <v>178</v>
      </c>
    </row>
    <row r="120" spans="1:11" s="92" customFormat="1" ht="15.75" customHeight="1" x14ac:dyDescent="0.3">
      <c r="A120" s="285">
        <f>A118+1</f>
        <v>15</v>
      </c>
      <c r="B120" s="285">
        <v>5947</v>
      </c>
      <c r="C120" s="295" t="s">
        <v>198</v>
      </c>
      <c r="D120" s="279">
        <v>501.3</v>
      </c>
      <c r="E120" s="279" t="s">
        <v>665</v>
      </c>
      <c r="F120" s="335">
        <v>2</v>
      </c>
      <c r="G120" s="285" t="s">
        <v>72</v>
      </c>
      <c r="H120" s="116" t="s">
        <v>73</v>
      </c>
      <c r="I120" s="86">
        <f>I121+I122</f>
        <v>1129629.42</v>
      </c>
      <c r="J120" s="86">
        <f>J121+J122</f>
        <v>2253.4</v>
      </c>
      <c r="K120" s="86">
        <f>K121+K122</f>
        <v>7096</v>
      </c>
    </row>
    <row r="121" spans="1:11" s="92" customFormat="1" ht="49.5" customHeight="1" x14ac:dyDescent="0.3">
      <c r="A121" s="286"/>
      <c r="B121" s="286"/>
      <c r="C121" s="296"/>
      <c r="D121" s="280"/>
      <c r="E121" s="280"/>
      <c r="F121" s="336"/>
      <c r="G121" s="286"/>
      <c r="H121" s="116" t="s">
        <v>705</v>
      </c>
      <c r="I121" s="86">
        <f>K121*D120</f>
        <v>89231.4</v>
      </c>
      <c r="J121" s="86">
        <f>I121/D120</f>
        <v>178</v>
      </c>
      <c r="K121" s="86">
        <f>164+14</f>
        <v>178</v>
      </c>
    </row>
    <row r="122" spans="1:11" s="92" customFormat="1" x14ac:dyDescent="0.3">
      <c r="A122" s="287"/>
      <c r="B122" s="287"/>
      <c r="C122" s="297"/>
      <c r="D122" s="281"/>
      <c r="E122" s="281"/>
      <c r="F122" s="337"/>
      <c r="G122" s="287"/>
      <c r="H122" s="116" t="s">
        <v>74</v>
      </c>
      <c r="I122" s="86">
        <f>D120*K122*30/100</f>
        <v>1040398.02</v>
      </c>
      <c r="J122" s="86">
        <f>I122/D120</f>
        <v>2075.4</v>
      </c>
      <c r="K122" s="86">
        <v>6918</v>
      </c>
    </row>
    <row r="123" spans="1:11" s="92" customFormat="1" ht="15.75" customHeight="1" x14ac:dyDescent="0.3">
      <c r="A123" s="285">
        <f>A120+1</f>
        <v>16</v>
      </c>
      <c r="B123" s="285">
        <v>6071</v>
      </c>
      <c r="C123" s="295" t="s">
        <v>199</v>
      </c>
      <c r="D123" s="279">
        <v>615.65</v>
      </c>
      <c r="E123" s="279" t="s">
        <v>80</v>
      </c>
      <c r="F123" s="335">
        <v>2</v>
      </c>
      <c r="G123" s="13"/>
      <c r="H123" s="116" t="s">
        <v>73</v>
      </c>
      <c r="I123" s="86">
        <f>SUM(I124:I127)</f>
        <v>184818.13</v>
      </c>
      <c r="J123" s="86">
        <f>SUM(J124:J127)</f>
        <v>300.2</v>
      </c>
      <c r="K123" s="86">
        <f>SUM(K124:K127)</f>
        <v>912</v>
      </c>
    </row>
    <row r="124" spans="1:11" s="92" customFormat="1" ht="31" x14ac:dyDescent="0.3">
      <c r="A124" s="286"/>
      <c r="B124" s="286"/>
      <c r="C124" s="296"/>
      <c r="D124" s="280"/>
      <c r="E124" s="280"/>
      <c r="F124" s="336"/>
      <c r="G124" s="285" t="s">
        <v>78</v>
      </c>
      <c r="H124" s="116" t="s">
        <v>666</v>
      </c>
      <c r="I124" s="86">
        <f>D123*K124</f>
        <v>12313</v>
      </c>
      <c r="J124" s="86">
        <f>I124/D123</f>
        <v>20</v>
      </c>
      <c r="K124" s="86">
        <f>18+2</f>
        <v>20</v>
      </c>
    </row>
    <row r="125" spans="1:11" s="92" customFormat="1" x14ac:dyDescent="0.3">
      <c r="A125" s="286"/>
      <c r="B125" s="286"/>
      <c r="C125" s="296"/>
      <c r="D125" s="280"/>
      <c r="E125" s="280"/>
      <c r="F125" s="336"/>
      <c r="G125" s="287"/>
      <c r="H125" s="116" t="s">
        <v>74</v>
      </c>
      <c r="I125" s="86">
        <f>D123*K125*30/100</f>
        <v>83482.14</v>
      </c>
      <c r="J125" s="86">
        <f>I125/D123</f>
        <v>135.6</v>
      </c>
      <c r="K125" s="86">
        <v>452</v>
      </c>
    </row>
    <row r="126" spans="1:11" s="92" customFormat="1" ht="31" x14ac:dyDescent="0.3">
      <c r="A126" s="286"/>
      <c r="B126" s="286"/>
      <c r="C126" s="296"/>
      <c r="D126" s="280"/>
      <c r="E126" s="280"/>
      <c r="F126" s="336"/>
      <c r="G126" s="285" t="s">
        <v>79</v>
      </c>
      <c r="H126" s="116" t="s">
        <v>666</v>
      </c>
      <c r="I126" s="86">
        <f>D123*K126</f>
        <v>11081.7</v>
      </c>
      <c r="J126" s="86">
        <f>I126/D123</f>
        <v>18</v>
      </c>
      <c r="K126" s="86">
        <f>17+1</f>
        <v>18</v>
      </c>
    </row>
    <row r="127" spans="1:11" s="92" customFormat="1" x14ac:dyDescent="0.3">
      <c r="A127" s="287"/>
      <c r="B127" s="287"/>
      <c r="C127" s="297"/>
      <c r="D127" s="281"/>
      <c r="E127" s="281"/>
      <c r="F127" s="337"/>
      <c r="G127" s="287"/>
      <c r="H127" s="116" t="s">
        <v>74</v>
      </c>
      <c r="I127" s="86">
        <f>D123*K127*30/100</f>
        <v>77941.289999999994</v>
      </c>
      <c r="J127" s="86">
        <f>I127/D123</f>
        <v>126.6</v>
      </c>
      <c r="K127" s="86">
        <v>422</v>
      </c>
    </row>
    <row r="128" spans="1:11" s="92" customFormat="1" ht="15.75" customHeight="1" x14ac:dyDescent="0.3">
      <c r="A128" s="285">
        <f>A123+1</f>
        <v>17</v>
      </c>
      <c r="B128" s="285">
        <v>6072</v>
      </c>
      <c r="C128" s="295" t="s">
        <v>201</v>
      </c>
      <c r="D128" s="279">
        <v>534.9</v>
      </c>
      <c r="E128" s="279" t="s">
        <v>80</v>
      </c>
      <c r="F128" s="335">
        <v>2</v>
      </c>
      <c r="G128" s="285" t="s">
        <v>72</v>
      </c>
      <c r="H128" s="116" t="s">
        <v>73</v>
      </c>
      <c r="I128" s="86">
        <f>I129+I130</f>
        <v>1205343.6599999999</v>
      </c>
      <c r="J128" s="86">
        <f>J129+J130</f>
        <v>2253.4</v>
      </c>
      <c r="K128" s="86">
        <f>K129+K130</f>
        <v>7096</v>
      </c>
    </row>
    <row r="129" spans="1:11" s="92" customFormat="1" ht="52.5" customHeight="1" x14ac:dyDescent="0.3">
      <c r="A129" s="286"/>
      <c r="B129" s="286"/>
      <c r="C129" s="296"/>
      <c r="D129" s="280"/>
      <c r="E129" s="280"/>
      <c r="F129" s="336"/>
      <c r="G129" s="286"/>
      <c r="H129" s="116" t="s">
        <v>705</v>
      </c>
      <c r="I129" s="86">
        <f>87723.6+D128*14</f>
        <v>95212.2</v>
      </c>
      <c r="J129" s="86">
        <f>I129/D128</f>
        <v>178</v>
      </c>
      <c r="K129" s="86">
        <f>164+14</f>
        <v>178</v>
      </c>
    </row>
    <row r="130" spans="1:11" s="92" customFormat="1" x14ac:dyDescent="0.3">
      <c r="A130" s="287"/>
      <c r="B130" s="287"/>
      <c r="C130" s="297"/>
      <c r="D130" s="281"/>
      <c r="E130" s="281"/>
      <c r="F130" s="337"/>
      <c r="G130" s="287"/>
      <c r="H130" s="116" t="s">
        <v>74</v>
      </c>
      <c r="I130" s="86">
        <f>D128*K130*30/100</f>
        <v>1110131.46</v>
      </c>
      <c r="J130" s="86">
        <f>I130/D128</f>
        <v>2075.4</v>
      </c>
      <c r="K130" s="86">
        <v>6918</v>
      </c>
    </row>
    <row r="131" spans="1:11" s="92" customFormat="1" ht="15.75" customHeight="1" x14ac:dyDescent="0.3">
      <c r="A131" s="285">
        <f>A128+1</f>
        <v>18</v>
      </c>
      <c r="B131" s="285">
        <v>6074</v>
      </c>
      <c r="C131" s="295" t="s">
        <v>202</v>
      </c>
      <c r="D131" s="279">
        <v>599.02</v>
      </c>
      <c r="E131" s="279" t="s">
        <v>80</v>
      </c>
      <c r="F131" s="335">
        <v>2</v>
      </c>
      <c r="G131" s="285" t="s">
        <v>72</v>
      </c>
      <c r="H131" s="116" t="s">
        <v>73</v>
      </c>
      <c r="I131" s="86">
        <f>I132+I133</f>
        <v>1349831.67</v>
      </c>
      <c r="J131" s="86">
        <f>J132+J133</f>
        <v>2253.4</v>
      </c>
      <c r="K131" s="86">
        <f>K132+K133</f>
        <v>7096</v>
      </c>
    </row>
    <row r="132" spans="1:11" s="92" customFormat="1" ht="45" customHeight="1" x14ac:dyDescent="0.3">
      <c r="A132" s="286"/>
      <c r="B132" s="286"/>
      <c r="C132" s="296"/>
      <c r="D132" s="280"/>
      <c r="E132" s="280"/>
      <c r="F132" s="336"/>
      <c r="G132" s="286"/>
      <c r="H132" s="116" t="s">
        <v>705</v>
      </c>
      <c r="I132" s="86">
        <f>D131*K132</f>
        <v>106625.56</v>
      </c>
      <c r="J132" s="86">
        <f>I132/D131</f>
        <v>178</v>
      </c>
      <c r="K132" s="86">
        <f>164+14</f>
        <v>178</v>
      </c>
    </row>
    <row r="133" spans="1:11" s="92" customFormat="1" ht="20.25" customHeight="1" x14ac:dyDescent="0.3">
      <c r="A133" s="287"/>
      <c r="B133" s="287"/>
      <c r="C133" s="297"/>
      <c r="D133" s="281"/>
      <c r="E133" s="281"/>
      <c r="F133" s="337"/>
      <c r="G133" s="287"/>
      <c r="H133" s="116" t="s">
        <v>74</v>
      </c>
      <c r="I133" s="86">
        <f>D131*K133*30/100</f>
        <v>1243206.1100000001</v>
      </c>
      <c r="J133" s="86">
        <f>I133/D131</f>
        <v>2075.4</v>
      </c>
      <c r="K133" s="86">
        <v>6918</v>
      </c>
    </row>
    <row r="134" spans="1:11" s="92" customFormat="1" ht="15.75" customHeight="1" x14ac:dyDescent="0.3">
      <c r="A134" s="285">
        <f>A131+1</f>
        <v>19</v>
      </c>
      <c r="B134" s="285">
        <v>6076</v>
      </c>
      <c r="C134" s="295" t="s">
        <v>203</v>
      </c>
      <c r="D134" s="279">
        <v>529.9</v>
      </c>
      <c r="E134" s="279" t="s">
        <v>80</v>
      </c>
      <c r="F134" s="335">
        <v>2</v>
      </c>
      <c r="G134" s="285" t="s">
        <v>72</v>
      </c>
      <c r="H134" s="116" t="s">
        <v>73</v>
      </c>
      <c r="I134" s="86">
        <f>I135+I136</f>
        <v>1194076.6599999999</v>
      </c>
      <c r="J134" s="86">
        <f>J135+J136</f>
        <v>2253.4</v>
      </c>
      <c r="K134" s="86">
        <f>K135+K136</f>
        <v>7096</v>
      </c>
    </row>
    <row r="135" spans="1:11" s="92" customFormat="1" ht="51" customHeight="1" x14ac:dyDescent="0.3">
      <c r="A135" s="286"/>
      <c r="B135" s="286"/>
      <c r="C135" s="296"/>
      <c r="D135" s="280"/>
      <c r="E135" s="280"/>
      <c r="F135" s="336"/>
      <c r="G135" s="286"/>
      <c r="H135" s="116" t="s">
        <v>705</v>
      </c>
      <c r="I135" s="86">
        <f>D134*K135</f>
        <v>94322.2</v>
      </c>
      <c r="J135" s="86">
        <f>I135/D134</f>
        <v>178</v>
      </c>
      <c r="K135" s="86">
        <f>164+14</f>
        <v>178</v>
      </c>
    </row>
    <row r="136" spans="1:11" s="92" customFormat="1" x14ac:dyDescent="0.3">
      <c r="A136" s="287"/>
      <c r="B136" s="287"/>
      <c r="C136" s="297"/>
      <c r="D136" s="281"/>
      <c r="E136" s="281"/>
      <c r="F136" s="337"/>
      <c r="G136" s="287"/>
      <c r="H136" s="116" t="s">
        <v>74</v>
      </c>
      <c r="I136" s="86">
        <f>D134*K136*30/100</f>
        <v>1099754.46</v>
      </c>
      <c r="J136" s="86">
        <f>I136/D134</f>
        <v>2075.4</v>
      </c>
      <c r="K136" s="86">
        <v>6918</v>
      </c>
    </row>
    <row r="137" spans="1:11" s="92" customFormat="1" ht="15.75" customHeight="1" x14ac:dyDescent="0.3">
      <c r="A137" s="285">
        <f>A134+1</f>
        <v>20</v>
      </c>
      <c r="B137" s="285">
        <v>6087</v>
      </c>
      <c r="C137" s="295" t="s">
        <v>204</v>
      </c>
      <c r="D137" s="279">
        <v>2447.1999999999998</v>
      </c>
      <c r="E137" s="285" t="s">
        <v>75</v>
      </c>
      <c r="F137" s="335">
        <v>5</v>
      </c>
      <c r="G137" s="13"/>
      <c r="H137" s="116" t="s">
        <v>73</v>
      </c>
      <c r="I137" s="86">
        <f>I138+I139+I140</f>
        <v>141937.60000000001</v>
      </c>
      <c r="J137" s="86">
        <f>J138+J139+J140</f>
        <v>58</v>
      </c>
      <c r="K137" s="86">
        <f>K138+K139+K140</f>
        <v>58</v>
      </c>
    </row>
    <row r="138" spans="1:11" s="92" customFormat="1" ht="31" x14ac:dyDescent="0.3">
      <c r="A138" s="286"/>
      <c r="B138" s="286"/>
      <c r="C138" s="296"/>
      <c r="D138" s="280"/>
      <c r="E138" s="286"/>
      <c r="F138" s="336"/>
      <c r="G138" s="119" t="s">
        <v>90</v>
      </c>
      <c r="H138" s="116" t="s">
        <v>666</v>
      </c>
      <c r="I138" s="86">
        <f>D137*K138</f>
        <v>48944</v>
      </c>
      <c r="J138" s="86">
        <f>I138/D137</f>
        <v>20</v>
      </c>
      <c r="K138" s="86">
        <f>18+2</f>
        <v>20</v>
      </c>
    </row>
    <row r="139" spans="1:11" s="92" customFormat="1" ht="46.5" x14ac:dyDescent="0.3">
      <c r="A139" s="286"/>
      <c r="B139" s="286"/>
      <c r="C139" s="296"/>
      <c r="D139" s="280"/>
      <c r="E139" s="286"/>
      <c r="F139" s="336"/>
      <c r="G139" s="119" t="s">
        <v>78</v>
      </c>
      <c r="H139" s="116" t="s">
        <v>666</v>
      </c>
      <c r="I139" s="86">
        <f>D137*K139</f>
        <v>51391.199999999997</v>
      </c>
      <c r="J139" s="86">
        <f>I139/D137</f>
        <v>21</v>
      </c>
      <c r="K139" s="86">
        <f>19+2</f>
        <v>21</v>
      </c>
    </row>
    <row r="140" spans="1:11" s="92" customFormat="1" ht="31" x14ac:dyDescent="0.3">
      <c r="A140" s="286"/>
      <c r="B140" s="286"/>
      <c r="C140" s="296"/>
      <c r="D140" s="280"/>
      <c r="E140" s="286"/>
      <c r="F140" s="336"/>
      <c r="G140" s="119" t="s">
        <v>79</v>
      </c>
      <c r="H140" s="116" t="s">
        <v>666</v>
      </c>
      <c r="I140" s="86">
        <f>D137*K140</f>
        <v>41602.400000000001</v>
      </c>
      <c r="J140" s="86">
        <f>I140/D137</f>
        <v>17</v>
      </c>
      <c r="K140" s="86">
        <f>16+1</f>
        <v>17</v>
      </c>
    </row>
    <row r="141" spans="1:11" s="92" customFormat="1" ht="15.75" customHeight="1" x14ac:dyDescent="0.3">
      <c r="A141" s="285">
        <f>A137+1</f>
        <v>21</v>
      </c>
      <c r="B141" s="285">
        <v>6139</v>
      </c>
      <c r="C141" s="295" t="s">
        <v>206</v>
      </c>
      <c r="D141" s="279">
        <v>2152.6</v>
      </c>
      <c r="E141" s="279" t="s">
        <v>75</v>
      </c>
      <c r="F141" s="335">
        <v>3</v>
      </c>
      <c r="G141" s="285" t="s">
        <v>72</v>
      </c>
      <c r="H141" s="116" t="s">
        <v>73</v>
      </c>
      <c r="I141" s="86">
        <f>I142+I143</f>
        <v>3189866.53</v>
      </c>
      <c r="J141" s="86">
        <f>J142+J143</f>
        <v>1481.87</v>
      </c>
      <c r="K141" s="86">
        <f>K142+K143</f>
        <v>4793</v>
      </c>
    </row>
    <row r="142" spans="1:11" s="92" customFormat="1" ht="53.25" customHeight="1" x14ac:dyDescent="0.3">
      <c r="A142" s="286"/>
      <c r="B142" s="286"/>
      <c r="C142" s="296"/>
      <c r="D142" s="280"/>
      <c r="E142" s="280"/>
      <c r="F142" s="336"/>
      <c r="G142" s="286"/>
      <c r="H142" s="116" t="s">
        <v>705</v>
      </c>
      <c r="I142" s="86">
        <f>172567.11+D141*13</f>
        <v>200550.91</v>
      </c>
      <c r="J142" s="86">
        <f>I142/D141</f>
        <v>93.17</v>
      </c>
      <c r="K142" s="86">
        <f>151+13</f>
        <v>164</v>
      </c>
    </row>
    <row r="143" spans="1:11" s="92" customFormat="1" x14ac:dyDescent="0.3">
      <c r="A143" s="287"/>
      <c r="B143" s="287"/>
      <c r="C143" s="297"/>
      <c r="D143" s="281"/>
      <c r="E143" s="281"/>
      <c r="F143" s="337"/>
      <c r="G143" s="287"/>
      <c r="H143" s="116" t="s">
        <v>74</v>
      </c>
      <c r="I143" s="86">
        <f>D141*K143*30/100</f>
        <v>2989315.62</v>
      </c>
      <c r="J143" s="86">
        <f>I143/D141</f>
        <v>1388.7</v>
      </c>
      <c r="K143" s="86">
        <v>4629</v>
      </c>
    </row>
    <row r="144" spans="1:11" s="92" customFormat="1" ht="15.75" customHeight="1" x14ac:dyDescent="0.3">
      <c r="A144" s="308">
        <f>A141+1</f>
        <v>22</v>
      </c>
      <c r="B144" s="308">
        <v>6141</v>
      </c>
      <c r="C144" s="301" t="s">
        <v>207</v>
      </c>
      <c r="D144" s="274">
        <v>2033.7</v>
      </c>
      <c r="E144" s="274" t="s">
        <v>80</v>
      </c>
      <c r="F144" s="334">
        <v>3</v>
      </c>
      <c r="G144" s="308" t="s">
        <v>72</v>
      </c>
      <c r="H144" s="116" t="s">
        <v>73</v>
      </c>
      <c r="I144" s="86">
        <f>I145+I146</f>
        <v>7587549.9699999997</v>
      </c>
      <c r="J144" s="86">
        <f>J145+J146</f>
        <v>3730.91</v>
      </c>
      <c r="K144" s="86">
        <f>K145+K146</f>
        <v>4728</v>
      </c>
    </row>
    <row r="145" spans="1:11" s="92" customFormat="1" x14ac:dyDescent="0.3">
      <c r="A145" s="308">
        <v>75</v>
      </c>
      <c r="B145" s="308"/>
      <c r="C145" s="301"/>
      <c r="D145" s="274"/>
      <c r="E145" s="274"/>
      <c r="F145" s="334"/>
      <c r="G145" s="308"/>
      <c r="H145" s="116" t="s">
        <v>74</v>
      </c>
      <c r="I145" s="86">
        <v>7428578.3899999997</v>
      </c>
      <c r="J145" s="86">
        <f>I145/D144</f>
        <v>3652.74</v>
      </c>
      <c r="K145" s="86">
        <v>4629</v>
      </c>
    </row>
    <row r="146" spans="1:11" s="92" customFormat="1" x14ac:dyDescent="0.3">
      <c r="A146" s="308">
        <v>76</v>
      </c>
      <c r="B146" s="308"/>
      <c r="C146" s="301"/>
      <c r="D146" s="274"/>
      <c r="E146" s="274"/>
      <c r="F146" s="334"/>
      <c r="G146" s="308"/>
      <c r="H146" s="116" t="s">
        <v>76</v>
      </c>
      <c r="I146" s="86">
        <v>158971.57999999999</v>
      </c>
      <c r="J146" s="86">
        <f>I146/D144</f>
        <v>78.17</v>
      </c>
      <c r="K146" s="86">
        <v>99</v>
      </c>
    </row>
    <row r="147" spans="1:11" s="92" customFormat="1" x14ac:dyDescent="0.3">
      <c r="A147" s="285">
        <f>A144+1</f>
        <v>23</v>
      </c>
      <c r="B147" s="285">
        <v>6147</v>
      </c>
      <c r="C147" s="295" t="s">
        <v>208</v>
      </c>
      <c r="D147" s="279">
        <v>2345.3000000000002</v>
      </c>
      <c r="E147" s="279" t="s">
        <v>80</v>
      </c>
      <c r="F147" s="335">
        <v>4</v>
      </c>
      <c r="G147" s="285" t="s">
        <v>72</v>
      </c>
      <c r="H147" s="116" t="s">
        <v>73</v>
      </c>
      <c r="I147" s="86">
        <f>I148+I149</f>
        <v>3471742.85</v>
      </c>
      <c r="J147" s="86">
        <f>J148+J149</f>
        <v>1480.3</v>
      </c>
      <c r="K147" s="86">
        <f>K148+K149</f>
        <v>4807</v>
      </c>
    </row>
    <row r="148" spans="1:11" s="92" customFormat="1" ht="51.75" customHeight="1" x14ac:dyDescent="0.3">
      <c r="A148" s="286"/>
      <c r="B148" s="286"/>
      <c r="C148" s="296"/>
      <c r="D148" s="280"/>
      <c r="E148" s="280"/>
      <c r="F148" s="336"/>
      <c r="G148" s="286"/>
      <c r="H148" s="116" t="s">
        <v>705</v>
      </c>
      <c r="I148" s="86">
        <f>181990.54+D147*14</f>
        <v>214824.74</v>
      </c>
      <c r="J148" s="86">
        <f>I148/D147</f>
        <v>91.6</v>
      </c>
      <c r="K148" s="86">
        <f>164+14</f>
        <v>178</v>
      </c>
    </row>
    <row r="149" spans="1:11" s="92" customFormat="1" x14ac:dyDescent="0.3">
      <c r="A149" s="287"/>
      <c r="B149" s="287"/>
      <c r="C149" s="297"/>
      <c r="D149" s="281"/>
      <c r="E149" s="281"/>
      <c r="F149" s="337"/>
      <c r="G149" s="287"/>
      <c r="H149" s="116" t="s">
        <v>74</v>
      </c>
      <c r="I149" s="86">
        <f>D147*K149*30/100</f>
        <v>3256918.11</v>
      </c>
      <c r="J149" s="86">
        <f>I149/D147</f>
        <v>1388.7</v>
      </c>
      <c r="K149" s="86">
        <v>4629</v>
      </c>
    </row>
    <row r="150" spans="1:11" s="92" customFormat="1" ht="15.75" customHeight="1" x14ac:dyDescent="0.3">
      <c r="A150" s="285">
        <f>A147+1</f>
        <v>24</v>
      </c>
      <c r="B150" s="285">
        <v>6152</v>
      </c>
      <c r="C150" s="295" t="s">
        <v>209</v>
      </c>
      <c r="D150" s="279">
        <v>2611.6</v>
      </c>
      <c r="E150" s="279" t="s">
        <v>75</v>
      </c>
      <c r="F150" s="335">
        <v>4</v>
      </c>
      <c r="G150" s="285" t="s">
        <v>72</v>
      </c>
      <c r="H150" s="116" t="s">
        <v>73</v>
      </c>
      <c r="I150" s="86">
        <f>I151</f>
        <v>304691.3</v>
      </c>
      <c r="J150" s="86">
        <f>J151</f>
        <v>116.67</v>
      </c>
      <c r="K150" s="86">
        <f>K151</f>
        <v>164</v>
      </c>
    </row>
    <row r="151" spans="1:11" s="92" customFormat="1" ht="54.75" customHeight="1" x14ac:dyDescent="0.3">
      <c r="A151" s="286"/>
      <c r="B151" s="286"/>
      <c r="C151" s="296"/>
      <c r="D151" s="280"/>
      <c r="E151" s="280"/>
      <c r="F151" s="336"/>
      <c r="G151" s="287"/>
      <c r="H151" s="116" t="s">
        <v>705</v>
      </c>
      <c r="I151" s="86">
        <v>304691.3</v>
      </c>
      <c r="J151" s="86">
        <f>I151/D150</f>
        <v>116.67</v>
      </c>
      <c r="K151" s="86">
        <f>151+13</f>
        <v>164</v>
      </c>
    </row>
    <row r="152" spans="1:11" s="92" customFormat="1" ht="15.75" customHeight="1" x14ac:dyDescent="0.3">
      <c r="A152" s="308">
        <f>A150+1</f>
        <v>25</v>
      </c>
      <c r="B152" s="308">
        <v>6173</v>
      </c>
      <c r="C152" s="301" t="s">
        <v>210</v>
      </c>
      <c r="D152" s="274">
        <v>4411.3599999999997</v>
      </c>
      <c r="E152" s="274" t="s">
        <v>677</v>
      </c>
      <c r="F152" s="334">
        <v>5</v>
      </c>
      <c r="G152" s="308" t="s">
        <v>72</v>
      </c>
      <c r="H152" s="116" t="s">
        <v>73</v>
      </c>
      <c r="I152" s="86">
        <f>I153+I154</f>
        <v>9260390.3000000007</v>
      </c>
      <c r="J152" s="86">
        <f>J153+J154</f>
        <v>2099.21</v>
      </c>
      <c r="K152" s="86">
        <f>K153+K154</f>
        <v>2831</v>
      </c>
    </row>
    <row r="153" spans="1:11" s="92" customFormat="1" x14ac:dyDescent="0.3">
      <c r="A153" s="308">
        <v>75</v>
      </c>
      <c r="B153" s="308"/>
      <c r="C153" s="301"/>
      <c r="D153" s="274"/>
      <c r="E153" s="274"/>
      <c r="F153" s="334"/>
      <c r="G153" s="308"/>
      <c r="H153" s="116" t="s">
        <v>74</v>
      </c>
      <c r="I153" s="86">
        <v>9066369.9800000004</v>
      </c>
      <c r="J153" s="86">
        <f>I153/D152</f>
        <v>2055.23</v>
      </c>
      <c r="K153" s="86">
        <v>2772</v>
      </c>
    </row>
    <row r="154" spans="1:11" s="92" customFormat="1" x14ac:dyDescent="0.3">
      <c r="A154" s="308">
        <v>76</v>
      </c>
      <c r="B154" s="308"/>
      <c r="C154" s="301"/>
      <c r="D154" s="274"/>
      <c r="E154" s="274"/>
      <c r="F154" s="334"/>
      <c r="G154" s="308"/>
      <c r="H154" s="116" t="s">
        <v>76</v>
      </c>
      <c r="I154" s="86">
        <f>I153*0.0214</f>
        <v>194020.32</v>
      </c>
      <c r="J154" s="86">
        <f>I154/D152</f>
        <v>43.98</v>
      </c>
      <c r="K154" s="86">
        <v>59</v>
      </c>
    </row>
    <row r="155" spans="1:11" s="92" customFormat="1" ht="15.75" customHeight="1" x14ac:dyDescent="0.3">
      <c r="A155" s="308">
        <f>A152+1</f>
        <v>26</v>
      </c>
      <c r="B155" s="308">
        <v>6177</v>
      </c>
      <c r="C155" s="301" t="s">
        <v>211</v>
      </c>
      <c r="D155" s="274">
        <v>4412.43</v>
      </c>
      <c r="E155" s="274" t="s">
        <v>677</v>
      </c>
      <c r="F155" s="334">
        <v>5</v>
      </c>
      <c r="G155" s="308" t="s">
        <v>72</v>
      </c>
      <c r="H155" s="116" t="s">
        <v>73</v>
      </c>
      <c r="I155" s="86">
        <f>I156+I157</f>
        <v>8877422.7300000004</v>
      </c>
      <c r="J155" s="86">
        <f>J156+J157</f>
        <v>2011.91</v>
      </c>
      <c r="K155" s="86">
        <f>K156+K157</f>
        <v>2831</v>
      </c>
    </row>
    <row r="156" spans="1:11" s="92" customFormat="1" x14ac:dyDescent="0.3">
      <c r="A156" s="308">
        <v>75</v>
      </c>
      <c r="B156" s="308"/>
      <c r="C156" s="301"/>
      <c r="D156" s="274"/>
      <c r="E156" s="274"/>
      <c r="F156" s="334"/>
      <c r="G156" s="308"/>
      <c r="H156" s="116" t="s">
        <v>74</v>
      </c>
      <c r="I156" s="86">
        <v>8691426.2100000009</v>
      </c>
      <c r="J156" s="86">
        <f>I156/D155</f>
        <v>1969.76</v>
      </c>
      <c r="K156" s="86">
        <v>2772</v>
      </c>
    </row>
    <row r="157" spans="1:11" s="92" customFormat="1" x14ac:dyDescent="0.3">
      <c r="A157" s="308">
        <v>76</v>
      </c>
      <c r="B157" s="308"/>
      <c r="C157" s="301"/>
      <c r="D157" s="274"/>
      <c r="E157" s="274"/>
      <c r="F157" s="334"/>
      <c r="G157" s="308"/>
      <c r="H157" s="116" t="s">
        <v>76</v>
      </c>
      <c r="I157" s="86">
        <f>I156*0.0214</f>
        <v>185996.52</v>
      </c>
      <c r="J157" s="86">
        <f>I157/D155</f>
        <v>42.15</v>
      </c>
      <c r="K157" s="86">
        <v>59</v>
      </c>
    </row>
    <row r="158" spans="1:11" s="92" customFormat="1" ht="15.75" customHeight="1" x14ac:dyDescent="0.3">
      <c r="A158" s="285">
        <f>A155+1</f>
        <v>27</v>
      </c>
      <c r="B158" s="285">
        <v>6187</v>
      </c>
      <c r="C158" s="295" t="s">
        <v>212</v>
      </c>
      <c r="D158" s="279">
        <v>8136.8</v>
      </c>
      <c r="E158" s="279" t="s">
        <v>677</v>
      </c>
      <c r="F158" s="335">
        <v>6</v>
      </c>
      <c r="G158" s="285" t="s">
        <v>678</v>
      </c>
      <c r="H158" s="116" t="s">
        <v>73</v>
      </c>
      <c r="I158" s="86">
        <f>I160+I159+I161</f>
        <v>1587200.3</v>
      </c>
      <c r="J158" s="86">
        <f>J160+J159+J161</f>
        <v>195.06</v>
      </c>
      <c r="K158" s="86">
        <f>K160+K159+K161</f>
        <v>217.53</v>
      </c>
    </row>
    <row r="159" spans="1:11" s="92" customFormat="1" ht="30" customHeight="1" x14ac:dyDescent="0.3">
      <c r="A159" s="286"/>
      <c r="B159" s="286"/>
      <c r="C159" s="296"/>
      <c r="D159" s="280"/>
      <c r="E159" s="280"/>
      <c r="F159" s="336"/>
      <c r="G159" s="286"/>
      <c r="H159" s="116" t="s">
        <v>666</v>
      </c>
      <c r="I159" s="86">
        <v>0</v>
      </c>
      <c r="J159" s="158">
        <f>I159/D158</f>
        <v>0</v>
      </c>
      <c r="K159" s="158">
        <f>24580/D158</f>
        <v>3.02</v>
      </c>
    </row>
    <row r="160" spans="1:11" s="92" customFormat="1" x14ac:dyDescent="0.3">
      <c r="A160" s="286"/>
      <c r="B160" s="286"/>
      <c r="C160" s="296"/>
      <c r="D160" s="280"/>
      <c r="E160" s="280"/>
      <c r="F160" s="336"/>
      <c r="G160" s="286"/>
      <c r="H160" s="116" t="s">
        <v>674</v>
      </c>
      <c r="I160" s="86">
        <f>(59074+30904+1032799+222308)*1.18</f>
        <v>1587200.3</v>
      </c>
      <c r="J160" s="86">
        <f>I160/D158</f>
        <v>195.06</v>
      </c>
      <c r="K160" s="86">
        <f>1708823/D158+0.01</f>
        <v>210.02</v>
      </c>
    </row>
    <row r="161" spans="1:11" s="92" customFormat="1" x14ac:dyDescent="0.3">
      <c r="A161" s="287"/>
      <c r="B161" s="287"/>
      <c r="C161" s="297"/>
      <c r="D161" s="281"/>
      <c r="E161" s="281"/>
      <c r="F161" s="337"/>
      <c r="G161" s="287"/>
      <c r="H161" s="116" t="s">
        <v>76</v>
      </c>
      <c r="I161" s="86">
        <v>0</v>
      </c>
      <c r="J161" s="86">
        <v>0</v>
      </c>
      <c r="K161" s="86">
        <f>36569/D158</f>
        <v>4.49</v>
      </c>
    </row>
    <row r="162" spans="1:11" s="92" customFormat="1" ht="15.75" customHeight="1" x14ac:dyDescent="0.3">
      <c r="A162" s="285">
        <f>A158+1</f>
        <v>28</v>
      </c>
      <c r="B162" s="285">
        <v>6207</v>
      </c>
      <c r="C162" s="295" t="s">
        <v>213</v>
      </c>
      <c r="D162" s="279">
        <v>2063.3000000000002</v>
      </c>
      <c r="E162" s="279" t="s">
        <v>75</v>
      </c>
      <c r="F162" s="335">
        <v>4</v>
      </c>
      <c r="G162" s="285" t="s">
        <v>72</v>
      </c>
      <c r="H162" s="116" t="s">
        <v>73</v>
      </c>
      <c r="I162" s="86">
        <f>I163</f>
        <v>195621.91</v>
      </c>
      <c r="J162" s="86">
        <f>J163</f>
        <v>94.81</v>
      </c>
      <c r="K162" s="86">
        <f>K163</f>
        <v>164</v>
      </c>
    </row>
    <row r="163" spans="1:11" s="92" customFormat="1" ht="46.5" x14ac:dyDescent="0.3">
      <c r="A163" s="286"/>
      <c r="B163" s="286"/>
      <c r="C163" s="296"/>
      <c r="D163" s="280"/>
      <c r="E163" s="280"/>
      <c r="F163" s="336"/>
      <c r="G163" s="286"/>
      <c r="H163" s="116" t="s">
        <v>705</v>
      </c>
      <c r="I163" s="86">
        <f>168799.01+D162*13</f>
        <v>195621.91</v>
      </c>
      <c r="J163" s="86">
        <f>I163/D162</f>
        <v>94.81</v>
      </c>
      <c r="K163" s="86">
        <f>151+13</f>
        <v>164</v>
      </c>
    </row>
    <row r="164" spans="1:11" s="92" customFormat="1" ht="15.75" customHeight="1" x14ac:dyDescent="0.3">
      <c r="A164" s="285">
        <f>A162+1</f>
        <v>29</v>
      </c>
      <c r="B164" s="285">
        <v>6208</v>
      </c>
      <c r="C164" s="295" t="s">
        <v>214</v>
      </c>
      <c r="D164" s="279">
        <v>1569.5</v>
      </c>
      <c r="E164" s="285" t="s">
        <v>75</v>
      </c>
      <c r="F164" s="335">
        <v>3</v>
      </c>
      <c r="G164" s="13"/>
      <c r="H164" s="116" t="s">
        <v>73</v>
      </c>
      <c r="I164" s="86">
        <f>I165+I166+I167</f>
        <v>243272.5</v>
      </c>
      <c r="J164" s="86">
        <f>J165+J166+J167</f>
        <v>155</v>
      </c>
      <c r="K164" s="86">
        <f>K165+K166+K167</f>
        <v>155</v>
      </c>
    </row>
    <row r="165" spans="1:11" s="92" customFormat="1" ht="46.5" x14ac:dyDescent="0.3">
      <c r="A165" s="286"/>
      <c r="B165" s="286"/>
      <c r="C165" s="296"/>
      <c r="D165" s="280"/>
      <c r="E165" s="286"/>
      <c r="F165" s="336"/>
      <c r="G165" s="119" t="s">
        <v>78</v>
      </c>
      <c r="H165" s="116" t="s">
        <v>666</v>
      </c>
      <c r="I165" s="86">
        <f>D164*K165</f>
        <v>32959.5</v>
      </c>
      <c r="J165" s="86">
        <f>I165/D164</f>
        <v>21</v>
      </c>
      <c r="K165" s="86">
        <f>19+2</f>
        <v>21</v>
      </c>
    </row>
    <row r="166" spans="1:11" s="92" customFormat="1" ht="31" x14ac:dyDescent="0.3">
      <c r="A166" s="286"/>
      <c r="B166" s="286"/>
      <c r="C166" s="296"/>
      <c r="D166" s="280"/>
      <c r="E166" s="286"/>
      <c r="F166" s="336"/>
      <c r="G166" s="119" t="s">
        <v>79</v>
      </c>
      <c r="H166" s="116" t="s">
        <v>666</v>
      </c>
      <c r="I166" s="86">
        <f>D164*K166</f>
        <v>26681.5</v>
      </c>
      <c r="J166" s="86">
        <f>I166/D164</f>
        <v>17</v>
      </c>
      <c r="K166" s="86">
        <f>16+1</f>
        <v>17</v>
      </c>
    </row>
    <row r="167" spans="1:11" s="92" customFormat="1" ht="31" x14ac:dyDescent="0.3">
      <c r="A167" s="287"/>
      <c r="B167" s="287"/>
      <c r="C167" s="297"/>
      <c r="D167" s="281"/>
      <c r="E167" s="287"/>
      <c r="F167" s="337"/>
      <c r="G167" s="119" t="s">
        <v>77</v>
      </c>
      <c r="H167" s="116" t="s">
        <v>666</v>
      </c>
      <c r="I167" s="86">
        <f>D164*K167</f>
        <v>183631.5</v>
      </c>
      <c r="J167" s="86">
        <f>I167/D164</f>
        <v>117</v>
      </c>
      <c r="K167" s="86">
        <f>108+9</f>
        <v>117</v>
      </c>
    </row>
    <row r="168" spans="1:11" s="92" customFormat="1" ht="15.75" customHeight="1" x14ac:dyDescent="0.3">
      <c r="A168" s="285">
        <f>A164+1</f>
        <v>30</v>
      </c>
      <c r="B168" s="285">
        <v>6234</v>
      </c>
      <c r="C168" s="295" t="s">
        <v>215</v>
      </c>
      <c r="D168" s="279">
        <v>2118.1</v>
      </c>
      <c r="E168" s="285" t="s">
        <v>75</v>
      </c>
      <c r="F168" s="335">
        <v>4</v>
      </c>
      <c r="G168" s="13"/>
      <c r="H168" s="116" t="s">
        <v>73</v>
      </c>
      <c r="I168" s="86">
        <f>I169+I170+I171</f>
        <v>250553.61</v>
      </c>
      <c r="J168" s="86">
        <f>J169+J170+J171</f>
        <v>118.29</v>
      </c>
      <c r="K168" s="86">
        <f>K169+K170+K171</f>
        <v>155</v>
      </c>
    </row>
    <row r="169" spans="1:11" s="92" customFormat="1" ht="46.5" x14ac:dyDescent="0.3">
      <c r="A169" s="286"/>
      <c r="B169" s="286"/>
      <c r="C169" s="296"/>
      <c r="D169" s="280"/>
      <c r="E169" s="286"/>
      <c r="F169" s="336"/>
      <c r="G169" s="119" t="s">
        <v>78</v>
      </c>
      <c r="H169" s="116" t="s">
        <v>666</v>
      </c>
      <c r="I169" s="86">
        <f>33051.13+D168*2</f>
        <v>37287.33</v>
      </c>
      <c r="J169" s="86">
        <f>I169/D168</f>
        <v>17.600000000000001</v>
      </c>
      <c r="K169" s="86">
        <f>19+2</f>
        <v>21</v>
      </c>
    </row>
    <row r="170" spans="1:11" s="92" customFormat="1" ht="31" x14ac:dyDescent="0.3">
      <c r="A170" s="286"/>
      <c r="B170" s="286"/>
      <c r="C170" s="296"/>
      <c r="D170" s="280"/>
      <c r="E170" s="286"/>
      <c r="F170" s="336"/>
      <c r="G170" s="119" t="s">
        <v>79</v>
      </c>
      <c r="H170" s="116" t="s">
        <v>666</v>
      </c>
      <c r="I170" s="86">
        <f>27041.84+D168*1</f>
        <v>29159.94</v>
      </c>
      <c r="J170" s="86">
        <f>I170/D168</f>
        <v>13.77</v>
      </c>
      <c r="K170" s="86">
        <f>16+1</f>
        <v>17</v>
      </c>
    </row>
    <row r="171" spans="1:11" s="92" customFormat="1" ht="31" x14ac:dyDescent="0.3">
      <c r="A171" s="287"/>
      <c r="B171" s="287"/>
      <c r="C171" s="297"/>
      <c r="D171" s="281"/>
      <c r="E171" s="287"/>
      <c r="F171" s="337"/>
      <c r="G171" s="119" t="s">
        <v>77</v>
      </c>
      <c r="H171" s="116" t="s">
        <v>666</v>
      </c>
      <c r="I171" s="86">
        <f>165043.44+D168*9</f>
        <v>184106.34</v>
      </c>
      <c r="J171" s="86">
        <f>I171/D168</f>
        <v>86.92</v>
      </c>
      <c r="K171" s="86">
        <f>108+9</f>
        <v>117</v>
      </c>
    </row>
    <row r="172" spans="1:11" s="92" customFormat="1" ht="15.75" customHeight="1" x14ac:dyDescent="0.3">
      <c r="A172" s="285">
        <f>A168+1</f>
        <v>31</v>
      </c>
      <c r="B172" s="285">
        <v>6244</v>
      </c>
      <c r="C172" s="295" t="s">
        <v>216</v>
      </c>
      <c r="D172" s="279">
        <v>520.5</v>
      </c>
      <c r="E172" s="279" t="s">
        <v>80</v>
      </c>
      <c r="F172" s="335">
        <v>2</v>
      </c>
      <c r="G172" s="15"/>
      <c r="H172" s="116" t="s">
        <v>73</v>
      </c>
      <c r="I172" s="86">
        <f>I173+I174+I175+I176+I177+I178</f>
        <v>637352.25</v>
      </c>
      <c r="J172" s="86">
        <f>J173+J174+J175+J176+J177+J178</f>
        <v>1224.5</v>
      </c>
      <c r="K172" s="86">
        <f>K173+K174+K175+K176+K177+K178</f>
        <v>3720</v>
      </c>
    </row>
    <row r="173" spans="1:11" s="92" customFormat="1" ht="31" x14ac:dyDescent="0.3">
      <c r="A173" s="286"/>
      <c r="B173" s="286"/>
      <c r="C173" s="296"/>
      <c r="D173" s="280"/>
      <c r="E173" s="280"/>
      <c r="F173" s="336"/>
      <c r="G173" s="285" t="s">
        <v>77</v>
      </c>
      <c r="H173" s="116" t="s">
        <v>666</v>
      </c>
      <c r="I173" s="86">
        <f>D172*K173</f>
        <v>60898.5</v>
      </c>
      <c r="J173" s="86">
        <f>I173/D172</f>
        <v>117</v>
      </c>
      <c r="K173" s="86">
        <f>108+9</f>
        <v>117</v>
      </c>
    </row>
    <row r="174" spans="1:11" s="92" customFormat="1" x14ac:dyDescent="0.3">
      <c r="A174" s="286"/>
      <c r="B174" s="286"/>
      <c r="C174" s="296"/>
      <c r="D174" s="280"/>
      <c r="E174" s="280"/>
      <c r="F174" s="336"/>
      <c r="G174" s="286"/>
      <c r="H174" s="116" t="s">
        <v>74</v>
      </c>
      <c r="I174" s="86">
        <f>D172*K174*30/100</f>
        <v>420199.65</v>
      </c>
      <c r="J174" s="86">
        <f>I174/D172</f>
        <v>807.3</v>
      </c>
      <c r="K174" s="86">
        <v>2691</v>
      </c>
    </row>
    <row r="175" spans="1:11" s="92" customFormat="1" ht="33.75" customHeight="1" x14ac:dyDescent="0.3">
      <c r="A175" s="286"/>
      <c r="B175" s="286"/>
      <c r="C175" s="296"/>
      <c r="D175" s="280"/>
      <c r="E175" s="280"/>
      <c r="F175" s="336"/>
      <c r="G175" s="285" t="s">
        <v>78</v>
      </c>
      <c r="H175" s="116" t="s">
        <v>666</v>
      </c>
      <c r="I175" s="86">
        <f>D172*K175</f>
        <v>10410</v>
      </c>
      <c r="J175" s="86">
        <f>I175/D172</f>
        <v>20</v>
      </c>
      <c r="K175" s="86">
        <f>18+2</f>
        <v>20</v>
      </c>
    </row>
    <row r="176" spans="1:11" s="92" customFormat="1" x14ac:dyDescent="0.3">
      <c r="A176" s="286"/>
      <c r="B176" s="286"/>
      <c r="C176" s="296"/>
      <c r="D176" s="280"/>
      <c r="E176" s="280"/>
      <c r="F176" s="336"/>
      <c r="G176" s="287"/>
      <c r="H176" s="116" t="s">
        <v>74</v>
      </c>
      <c r="I176" s="86">
        <f>D172*K176*0.3</f>
        <v>70579.8</v>
      </c>
      <c r="J176" s="86">
        <f>I176/D172</f>
        <v>135.6</v>
      </c>
      <c r="K176" s="86">
        <v>452</v>
      </c>
    </row>
    <row r="177" spans="1:11" s="92" customFormat="1" ht="31" x14ac:dyDescent="0.3">
      <c r="A177" s="286"/>
      <c r="B177" s="286"/>
      <c r="C177" s="296"/>
      <c r="D177" s="280"/>
      <c r="E177" s="280"/>
      <c r="F177" s="336"/>
      <c r="G177" s="285" t="s">
        <v>79</v>
      </c>
      <c r="H177" s="116" t="s">
        <v>666</v>
      </c>
      <c r="I177" s="86">
        <f>D172*K177</f>
        <v>9369</v>
      </c>
      <c r="J177" s="86">
        <f>I177/D172</f>
        <v>18</v>
      </c>
      <c r="K177" s="86">
        <f>17+1</f>
        <v>18</v>
      </c>
    </row>
    <row r="178" spans="1:11" s="92" customFormat="1" x14ac:dyDescent="0.3">
      <c r="A178" s="287"/>
      <c r="B178" s="287"/>
      <c r="C178" s="297"/>
      <c r="D178" s="281"/>
      <c r="E178" s="281"/>
      <c r="F178" s="337"/>
      <c r="G178" s="287"/>
      <c r="H178" s="116" t="s">
        <v>74</v>
      </c>
      <c r="I178" s="86">
        <f>D172*K178*0.3</f>
        <v>65895.3</v>
      </c>
      <c r="J178" s="86">
        <f>I178/D172</f>
        <v>126.6</v>
      </c>
      <c r="K178" s="86">
        <v>422</v>
      </c>
    </row>
    <row r="179" spans="1:11" s="92" customFormat="1" ht="15.75" customHeight="1" x14ac:dyDescent="0.3">
      <c r="A179" s="285">
        <f>A172+1</f>
        <v>32</v>
      </c>
      <c r="B179" s="285">
        <v>6296</v>
      </c>
      <c r="C179" s="295" t="s">
        <v>217</v>
      </c>
      <c r="D179" s="279">
        <v>1473.9</v>
      </c>
      <c r="E179" s="279" t="s">
        <v>80</v>
      </c>
      <c r="F179" s="335">
        <v>3</v>
      </c>
      <c r="G179" s="285" t="s">
        <v>72</v>
      </c>
      <c r="H179" s="116" t="s">
        <v>73</v>
      </c>
      <c r="I179" s="86">
        <f>I180+I181</f>
        <v>2204492.2999999998</v>
      </c>
      <c r="J179" s="86">
        <f>J180+J181</f>
        <v>1495.69</v>
      </c>
      <c r="K179" s="86">
        <f>K180+K181</f>
        <v>4807</v>
      </c>
    </row>
    <row r="180" spans="1:11" s="92" customFormat="1" ht="46.5" x14ac:dyDescent="0.3">
      <c r="A180" s="286"/>
      <c r="B180" s="286"/>
      <c r="C180" s="296"/>
      <c r="D180" s="280"/>
      <c r="E180" s="280"/>
      <c r="F180" s="336"/>
      <c r="G180" s="286"/>
      <c r="H180" s="116" t="s">
        <v>705</v>
      </c>
      <c r="I180" s="86">
        <f>137052.77+D179*14</f>
        <v>157687.37</v>
      </c>
      <c r="J180" s="86">
        <f>I180/D179</f>
        <v>106.99</v>
      </c>
      <c r="K180" s="86">
        <f>164+14</f>
        <v>178</v>
      </c>
    </row>
    <row r="181" spans="1:11" s="92" customFormat="1" x14ac:dyDescent="0.3">
      <c r="A181" s="287"/>
      <c r="B181" s="287"/>
      <c r="C181" s="297"/>
      <c r="D181" s="281"/>
      <c r="E181" s="281"/>
      <c r="F181" s="337"/>
      <c r="G181" s="287"/>
      <c r="H181" s="116" t="s">
        <v>74</v>
      </c>
      <c r="I181" s="86">
        <f>D179*K181*30/100</f>
        <v>2046804.93</v>
      </c>
      <c r="J181" s="86">
        <f>I181/D179</f>
        <v>1388.7</v>
      </c>
      <c r="K181" s="86">
        <v>4629</v>
      </c>
    </row>
    <row r="182" spans="1:11" s="92" customFormat="1" ht="15.75" customHeight="1" x14ac:dyDescent="0.3">
      <c r="A182" s="335">
        <f>A179+1</f>
        <v>33</v>
      </c>
      <c r="B182" s="335">
        <v>6310</v>
      </c>
      <c r="C182" s="348" t="s">
        <v>218</v>
      </c>
      <c r="D182" s="279">
        <v>17228.8</v>
      </c>
      <c r="E182" s="335" t="s">
        <v>677</v>
      </c>
      <c r="F182" s="335">
        <v>9</v>
      </c>
      <c r="G182" s="124"/>
      <c r="H182" s="116" t="s">
        <v>73</v>
      </c>
      <c r="I182" s="86">
        <f>SUM(I183:I209)</f>
        <v>15600627</v>
      </c>
      <c r="J182" s="86">
        <f>SUM(J183:J209)</f>
        <v>905.5</v>
      </c>
      <c r="K182" s="86">
        <f>SUM(K183:K209)</f>
        <v>924.6</v>
      </c>
    </row>
    <row r="183" spans="1:11" s="92" customFormat="1" ht="31" x14ac:dyDescent="0.3">
      <c r="A183" s="336"/>
      <c r="B183" s="336"/>
      <c r="C183" s="349"/>
      <c r="D183" s="280"/>
      <c r="E183" s="336"/>
      <c r="F183" s="336"/>
      <c r="G183" s="285" t="s">
        <v>673</v>
      </c>
      <c r="H183" s="116" t="s">
        <v>666</v>
      </c>
      <c r="I183" s="86">
        <v>24580</v>
      </c>
      <c r="J183" s="86">
        <f>I183/D182</f>
        <v>1.43</v>
      </c>
      <c r="K183" s="86">
        <f>I183/D182</f>
        <v>1.43</v>
      </c>
    </row>
    <row r="184" spans="1:11" s="92" customFormat="1" x14ac:dyDescent="0.3">
      <c r="A184" s="336">
        <v>756</v>
      </c>
      <c r="B184" s="336"/>
      <c r="C184" s="349"/>
      <c r="D184" s="280"/>
      <c r="E184" s="336"/>
      <c r="F184" s="336"/>
      <c r="G184" s="286"/>
      <c r="H184" s="116" t="s">
        <v>674</v>
      </c>
      <c r="I184" s="86">
        <v>1708823</v>
      </c>
      <c r="J184" s="86">
        <f>I184/D182</f>
        <v>99.18</v>
      </c>
      <c r="K184" s="86">
        <f>1708823/D182+0.01</f>
        <v>99.19</v>
      </c>
    </row>
    <row r="185" spans="1:11" s="92" customFormat="1" x14ac:dyDescent="0.3">
      <c r="A185" s="336"/>
      <c r="B185" s="336"/>
      <c r="C185" s="349"/>
      <c r="D185" s="280"/>
      <c r="E185" s="336"/>
      <c r="F185" s="336"/>
      <c r="G185" s="287"/>
      <c r="H185" s="116" t="s">
        <v>76</v>
      </c>
      <c r="I185" s="86">
        <v>0</v>
      </c>
      <c r="J185" s="86">
        <v>0</v>
      </c>
      <c r="K185" s="86">
        <f>36569/D182-0.01</f>
        <v>2.11</v>
      </c>
    </row>
    <row r="186" spans="1:11" s="92" customFormat="1" ht="31" x14ac:dyDescent="0.3">
      <c r="A186" s="336"/>
      <c r="B186" s="336"/>
      <c r="C186" s="349"/>
      <c r="D186" s="280"/>
      <c r="E186" s="336"/>
      <c r="F186" s="336"/>
      <c r="G186" s="285" t="s">
        <v>679</v>
      </c>
      <c r="H186" s="116" t="s">
        <v>666</v>
      </c>
      <c r="I186" s="86">
        <v>24580</v>
      </c>
      <c r="J186" s="86">
        <f>I186/D182</f>
        <v>1.43</v>
      </c>
      <c r="K186" s="86">
        <f>J186</f>
        <v>1.43</v>
      </c>
    </row>
    <row r="187" spans="1:11" s="92" customFormat="1" x14ac:dyDescent="0.3">
      <c r="A187" s="336"/>
      <c r="B187" s="336"/>
      <c r="C187" s="349"/>
      <c r="D187" s="280"/>
      <c r="E187" s="336"/>
      <c r="F187" s="336"/>
      <c r="G187" s="286"/>
      <c r="H187" s="116" t="s">
        <v>674</v>
      </c>
      <c r="I187" s="86">
        <v>1708823</v>
      </c>
      <c r="J187" s="86">
        <f>I187/D182</f>
        <v>99.18</v>
      </c>
      <c r="K187" s="86">
        <f>1708823/D182+0.01</f>
        <v>99.19</v>
      </c>
    </row>
    <row r="188" spans="1:11" s="92" customFormat="1" x14ac:dyDescent="0.3">
      <c r="A188" s="336"/>
      <c r="B188" s="336"/>
      <c r="C188" s="349"/>
      <c r="D188" s="280"/>
      <c r="E188" s="336"/>
      <c r="F188" s="336"/>
      <c r="G188" s="287"/>
      <c r="H188" s="116" t="s">
        <v>76</v>
      </c>
      <c r="I188" s="86">
        <v>0</v>
      </c>
      <c r="J188" s="86">
        <v>0</v>
      </c>
      <c r="K188" s="86">
        <f>36569/D182</f>
        <v>2.12</v>
      </c>
    </row>
    <row r="189" spans="1:11" s="92" customFormat="1" ht="31" x14ac:dyDescent="0.3">
      <c r="A189" s="336"/>
      <c r="B189" s="336"/>
      <c r="C189" s="349"/>
      <c r="D189" s="280"/>
      <c r="E189" s="336"/>
      <c r="F189" s="336"/>
      <c r="G189" s="285" t="s">
        <v>680</v>
      </c>
      <c r="H189" s="116" t="s">
        <v>666</v>
      </c>
      <c r="I189" s="86">
        <v>24580</v>
      </c>
      <c r="J189" s="86">
        <f>I189/D182</f>
        <v>1.43</v>
      </c>
      <c r="K189" s="86">
        <f>J189</f>
        <v>1.43</v>
      </c>
    </row>
    <row r="190" spans="1:11" s="92" customFormat="1" x14ac:dyDescent="0.3">
      <c r="A190" s="336"/>
      <c r="B190" s="336"/>
      <c r="C190" s="349"/>
      <c r="D190" s="280"/>
      <c r="E190" s="336"/>
      <c r="F190" s="336"/>
      <c r="G190" s="286"/>
      <c r="H190" s="116" t="s">
        <v>674</v>
      </c>
      <c r="I190" s="86">
        <v>1708823</v>
      </c>
      <c r="J190" s="86">
        <f>I190/D182</f>
        <v>99.18</v>
      </c>
      <c r="K190" s="86">
        <f>1708823/D182+0.01</f>
        <v>99.19</v>
      </c>
    </row>
    <row r="191" spans="1:11" s="92" customFormat="1" x14ac:dyDescent="0.3">
      <c r="A191" s="336"/>
      <c r="B191" s="336"/>
      <c r="C191" s="349"/>
      <c r="D191" s="280"/>
      <c r="E191" s="336"/>
      <c r="F191" s="336"/>
      <c r="G191" s="287"/>
      <c r="H191" s="116" t="s">
        <v>76</v>
      </c>
      <c r="I191" s="86">
        <v>0</v>
      </c>
      <c r="J191" s="86">
        <v>0</v>
      </c>
      <c r="K191" s="86">
        <f>36569/D182</f>
        <v>2.12</v>
      </c>
    </row>
    <row r="192" spans="1:11" s="92" customFormat="1" ht="31" x14ac:dyDescent="0.3">
      <c r="A192" s="336"/>
      <c r="B192" s="336"/>
      <c r="C192" s="349"/>
      <c r="D192" s="280"/>
      <c r="E192" s="336"/>
      <c r="F192" s="336"/>
      <c r="G192" s="285" t="s">
        <v>681</v>
      </c>
      <c r="H192" s="116" t="s">
        <v>666</v>
      </c>
      <c r="I192" s="86">
        <v>24580</v>
      </c>
      <c r="J192" s="86">
        <f>I192/D182</f>
        <v>1.43</v>
      </c>
      <c r="K192" s="86">
        <f>J192</f>
        <v>1.43</v>
      </c>
    </row>
    <row r="193" spans="1:11" s="92" customFormat="1" x14ac:dyDescent="0.3">
      <c r="A193" s="336"/>
      <c r="B193" s="336"/>
      <c r="C193" s="349"/>
      <c r="D193" s="280"/>
      <c r="E193" s="336"/>
      <c r="F193" s="336"/>
      <c r="G193" s="286"/>
      <c r="H193" s="116" t="s">
        <v>674</v>
      </c>
      <c r="I193" s="86">
        <v>1708823</v>
      </c>
      <c r="J193" s="86">
        <f>I193/D182+0.01</f>
        <v>99.19</v>
      </c>
      <c r="K193" s="86">
        <f>1708823/D182+0.01</f>
        <v>99.19</v>
      </c>
    </row>
    <row r="194" spans="1:11" s="92" customFormat="1" x14ac:dyDescent="0.3">
      <c r="A194" s="336"/>
      <c r="B194" s="336"/>
      <c r="C194" s="349"/>
      <c r="D194" s="280"/>
      <c r="E194" s="336"/>
      <c r="F194" s="336"/>
      <c r="G194" s="287"/>
      <c r="H194" s="116" t="s">
        <v>76</v>
      </c>
      <c r="I194" s="86">
        <v>0</v>
      </c>
      <c r="J194" s="86">
        <v>0</v>
      </c>
      <c r="K194" s="86">
        <f>36569/D182</f>
        <v>2.12</v>
      </c>
    </row>
    <row r="195" spans="1:11" s="92" customFormat="1" ht="31" x14ac:dyDescent="0.3">
      <c r="A195" s="336"/>
      <c r="B195" s="336"/>
      <c r="C195" s="349"/>
      <c r="D195" s="280"/>
      <c r="E195" s="336"/>
      <c r="F195" s="336"/>
      <c r="G195" s="285" t="s">
        <v>678</v>
      </c>
      <c r="H195" s="116" t="s">
        <v>666</v>
      </c>
      <c r="I195" s="86">
        <v>24580</v>
      </c>
      <c r="J195" s="86">
        <f>I195/D182</f>
        <v>1.43</v>
      </c>
      <c r="K195" s="86">
        <f>J195</f>
        <v>1.43</v>
      </c>
    </row>
    <row r="196" spans="1:11" s="92" customFormat="1" x14ac:dyDescent="0.3">
      <c r="A196" s="336"/>
      <c r="B196" s="336"/>
      <c r="C196" s="349"/>
      <c r="D196" s="280"/>
      <c r="E196" s="336"/>
      <c r="F196" s="336"/>
      <c r="G196" s="286"/>
      <c r="H196" s="116" t="s">
        <v>674</v>
      </c>
      <c r="I196" s="86">
        <v>1708823</v>
      </c>
      <c r="J196" s="86">
        <f>I196/D182</f>
        <v>99.18</v>
      </c>
      <c r="K196" s="86">
        <f>1708823/D182</f>
        <v>99.18</v>
      </c>
    </row>
    <row r="197" spans="1:11" s="92" customFormat="1" x14ac:dyDescent="0.3">
      <c r="A197" s="336"/>
      <c r="B197" s="336"/>
      <c r="C197" s="349"/>
      <c r="D197" s="280"/>
      <c r="E197" s="336"/>
      <c r="F197" s="336"/>
      <c r="G197" s="287"/>
      <c r="H197" s="116" t="s">
        <v>76</v>
      </c>
      <c r="I197" s="86">
        <v>0</v>
      </c>
      <c r="J197" s="86">
        <v>0</v>
      </c>
      <c r="K197" s="86">
        <f>36569/D182</f>
        <v>2.12</v>
      </c>
    </row>
    <row r="198" spans="1:11" s="92" customFormat="1" ht="31" x14ac:dyDescent="0.3">
      <c r="A198" s="336"/>
      <c r="B198" s="336"/>
      <c r="C198" s="349"/>
      <c r="D198" s="280"/>
      <c r="E198" s="336"/>
      <c r="F198" s="336"/>
      <c r="G198" s="285" t="s">
        <v>682</v>
      </c>
      <c r="H198" s="116" t="s">
        <v>666</v>
      </c>
      <c r="I198" s="86">
        <v>24580</v>
      </c>
      <c r="J198" s="86">
        <f>I198/D182</f>
        <v>1.43</v>
      </c>
      <c r="K198" s="86">
        <f>J198</f>
        <v>1.43</v>
      </c>
    </row>
    <row r="199" spans="1:11" s="92" customFormat="1" x14ac:dyDescent="0.3">
      <c r="A199" s="336"/>
      <c r="B199" s="336"/>
      <c r="C199" s="349"/>
      <c r="D199" s="280"/>
      <c r="E199" s="336"/>
      <c r="F199" s="336"/>
      <c r="G199" s="286"/>
      <c r="H199" s="116" t="s">
        <v>674</v>
      </c>
      <c r="I199" s="86">
        <v>1708823</v>
      </c>
      <c r="J199" s="86">
        <f>I199/D182</f>
        <v>99.18</v>
      </c>
      <c r="K199" s="86">
        <f>1708823/D182</f>
        <v>99.18</v>
      </c>
    </row>
    <row r="200" spans="1:11" s="92" customFormat="1" x14ac:dyDescent="0.3">
      <c r="A200" s="336"/>
      <c r="B200" s="336"/>
      <c r="C200" s="349"/>
      <c r="D200" s="280"/>
      <c r="E200" s="336"/>
      <c r="F200" s="336"/>
      <c r="G200" s="287"/>
      <c r="H200" s="116" t="s">
        <v>76</v>
      </c>
      <c r="I200" s="86">
        <v>0</v>
      </c>
      <c r="J200" s="86">
        <v>0</v>
      </c>
      <c r="K200" s="86">
        <f>36569/D182</f>
        <v>2.12</v>
      </c>
    </row>
    <row r="201" spans="1:11" s="92" customFormat="1" ht="31" x14ac:dyDescent="0.3">
      <c r="A201" s="336"/>
      <c r="B201" s="336"/>
      <c r="C201" s="349"/>
      <c r="D201" s="280"/>
      <c r="E201" s="336"/>
      <c r="F201" s="336"/>
      <c r="G201" s="285" t="s">
        <v>683</v>
      </c>
      <c r="H201" s="116" t="s">
        <v>666</v>
      </c>
      <c r="I201" s="86">
        <v>24580</v>
      </c>
      <c r="J201" s="86">
        <f>I201/D182</f>
        <v>1.43</v>
      </c>
      <c r="K201" s="86">
        <f>J201</f>
        <v>1.43</v>
      </c>
    </row>
    <row r="202" spans="1:11" s="92" customFormat="1" x14ac:dyDescent="0.3">
      <c r="A202" s="336"/>
      <c r="B202" s="336"/>
      <c r="C202" s="349"/>
      <c r="D202" s="280"/>
      <c r="E202" s="336"/>
      <c r="F202" s="336"/>
      <c r="G202" s="286"/>
      <c r="H202" s="116" t="s">
        <v>674</v>
      </c>
      <c r="I202" s="86">
        <v>1708823</v>
      </c>
      <c r="J202" s="86">
        <f>I202/D182</f>
        <v>99.18</v>
      </c>
      <c r="K202" s="86">
        <f>1708823/D182</f>
        <v>99.18</v>
      </c>
    </row>
    <row r="203" spans="1:11" s="92" customFormat="1" x14ac:dyDescent="0.3">
      <c r="A203" s="336"/>
      <c r="B203" s="336"/>
      <c r="C203" s="349"/>
      <c r="D203" s="280"/>
      <c r="E203" s="336"/>
      <c r="F203" s="336"/>
      <c r="G203" s="287"/>
      <c r="H203" s="116" t="s">
        <v>76</v>
      </c>
      <c r="I203" s="86">
        <v>0</v>
      </c>
      <c r="J203" s="86">
        <v>0</v>
      </c>
      <c r="K203" s="86">
        <f>36569/D182</f>
        <v>2.12</v>
      </c>
    </row>
    <row r="204" spans="1:11" s="92" customFormat="1" ht="31" x14ac:dyDescent="0.3">
      <c r="A204" s="336"/>
      <c r="B204" s="336"/>
      <c r="C204" s="349"/>
      <c r="D204" s="280"/>
      <c r="E204" s="336"/>
      <c r="F204" s="336"/>
      <c r="G204" s="285" t="s">
        <v>684</v>
      </c>
      <c r="H204" s="116" t="s">
        <v>666</v>
      </c>
      <c r="I204" s="86">
        <v>24580</v>
      </c>
      <c r="J204" s="86">
        <f>I204/D182</f>
        <v>1.43</v>
      </c>
      <c r="K204" s="86">
        <f>J204</f>
        <v>1.43</v>
      </c>
    </row>
    <row r="205" spans="1:11" s="92" customFormat="1" x14ac:dyDescent="0.3">
      <c r="A205" s="336"/>
      <c r="B205" s="336"/>
      <c r="C205" s="349"/>
      <c r="D205" s="280"/>
      <c r="E205" s="336"/>
      <c r="F205" s="336"/>
      <c r="G205" s="286"/>
      <c r="H205" s="116" t="s">
        <v>674</v>
      </c>
      <c r="I205" s="86">
        <v>1708823</v>
      </c>
      <c r="J205" s="86">
        <f>I205/D182</f>
        <v>99.18</v>
      </c>
      <c r="K205" s="86">
        <f>1708823/D182</f>
        <v>99.18</v>
      </c>
    </row>
    <row r="206" spans="1:11" s="92" customFormat="1" x14ac:dyDescent="0.3">
      <c r="A206" s="336"/>
      <c r="B206" s="336"/>
      <c r="C206" s="349"/>
      <c r="D206" s="280"/>
      <c r="E206" s="336"/>
      <c r="F206" s="336"/>
      <c r="G206" s="287"/>
      <c r="H206" s="116" t="s">
        <v>76</v>
      </c>
      <c r="I206" s="86">
        <v>0</v>
      </c>
      <c r="J206" s="86">
        <v>0</v>
      </c>
      <c r="K206" s="86">
        <f>36569/D182</f>
        <v>2.12</v>
      </c>
    </row>
    <row r="207" spans="1:11" s="92" customFormat="1" ht="31" x14ac:dyDescent="0.3">
      <c r="A207" s="336"/>
      <c r="B207" s="336"/>
      <c r="C207" s="349"/>
      <c r="D207" s="280"/>
      <c r="E207" s="336"/>
      <c r="F207" s="336"/>
      <c r="G207" s="285" t="s">
        <v>685</v>
      </c>
      <c r="H207" s="116" t="s">
        <v>666</v>
      </c>
      <c r="I207" s="86">
        <v>24580</v>
      </c>
      <c r="J207" s="86">
        <f>I207/D182</f>
        <v>1.43</v>
      </c>
      <c r="K207" s="86">
        <f>J207</f>
        <v>1.43</v>
      </c>
    </row>
    <row r="208" spans="1:11" s="92" customFormat="1" x14ac:dyDescent="0.3">
      <c r="A208" s="336"/>
      <c r="B208" s="336"/>
      <c r="C208" s="349"/>
      <c r="D208" s="280"/>
      <c r="E208" s="336"/>
      <c r="F208" s="336"/>
      <c r="G208" s="286"/>
      <c r="H208" s="116" t="s">
        <v>674</v>
      </c>
      <c r="I208" s="86">
        <v>1708823</v>
      </c>
      <c r="J208" s="86">
        <f>I208/D182</f>
        <v>99.18</v>
      </c>
      <c r="K208" s="86">
        <f>1708823/D182</f>
        <v>99.18</v>
      </c>
    </row>
    <row r="209" spans="1:11" s="92" customFormat="1" x14ac:dyDescent="0.3">
      <c r="A209" s="337"/>
      <c r="B209" s="337"/>
      <c r="C209" s="350"/>
      <c r="D209" s="281"/>
      <c r="E209" s="337"/>
      <c r="F209" s="337"/>
      <c r="G209" s="287"/>
      <c r="H209" s="116" t="s">
        <v>76</v>
      </c>
      <c r="I209" s="86">
        <v>0</v>
      </c>
      <c r="J209" s="86">
        <v>0</v>
      </c>
      <c r="K209" s="86">
        <f>36569/D182</f>
        <v>2.12</v>
      </c>
    </row>
    <row r="210" spans="1:11" s="92" customFormat="1" ht="15.75" customHeight="1" x14ac:dyDescent="0.3">
      <c r="A210" s="285">
        <f>A182+1</f>
        <v>34</v>
      </c>
      <c r="B210" s="285">
        <v>6311</v>
      </c>
      <c r="C210" s="295" t="s">
        <v>219</v>
      </c>
      <c r="D210" s="279">
        <v>2415.9</v>
      </c>
      <c r="E210" s="285" t="s">
        <v>75</v>
      </c>
      <c r="F210" s="285">
        <v>9</v>
      </c>
      <c r="G210" s="285" t="s">
        <v>673</v>
      </c>
      <c r="H210" s="116" t="s">
        <v>73</v>
      </c>
      <c r="I210" s="86">
        <f>SUM(I211:I213)</f>
        <v>1733403</v>
      </c>
      <c r="J210" s="86">
        <f>SUM(J211:J213)</f>
        <v>717.5</v>
      </c>
      <c r="K210" s="86">
        <f>SUM(K211:K213)</f>
        <v>732.63</v>
      </c>
    </row>
    <row r="211" spans="1:11" s="92" customFormat="1" ht="36" customHeight="1" x14ac:dyDescent="0.3">
      <c r="A211" s="286"/>
      <c r="B211" s="286"/>
      <c r="C211" s="296"/>
      <c r="D211" s="280"/>
      <c r="E211" s="286"/>
      <c r="F211" s="286"/>
      <c r="G211" s="286"/>
      <c r="H211" s="116" t="s">
        <v>666</v>
      </c>
      <c r="I211" s="86">
        <v>24580</v>
      </c>
      <c r="J211" s="86">
        <f>I211/D210</f>
        <v>10.17</v>
      </c>
      <c r="K211" s="86">
        <f>J211</f>
        <v>10.17</v>
      </c>
    </row>
    <row r="212" spans="1:11" s="92" customFormat="1" x14ac:dyDescent="0.3">
      <c r="A212" s="286">
        <v>756</v>
      </c>
      <c r="B212" s="286"/>
      <c r="C212" s="296"/>
      <c r="D212" s="280"/>
      <c r="E212" s="286"/>
      <c r="F212" s="286"/>
      <c r="G212" s="286"/>
      <c r="H212" s="116" t="s">
        <v>674</v>
      </c>
      <c r="I212" s="86">
        <v>1708823</v>
      </c>
      <c r="J212" s="86">
        <f>I212/D210+0.01</f>
        <v>707.33</v>
      </c>
      <c r="K212" s="86">
        <f>1708823/D210+0.01</f>
        <v>707.33</v>
      </c>
    </row>
    <row r="213" spans="1:11" s="92" customFormat="1" x14ac:dyDescent="0.3">
      <c r="A213" s="287"/>
      <c r="B213" s="287"/>
      <c r="C213" s="297"/>
      <c r="D213" s="281"/>
      <c r="E213" s="287"/>
      <c r="F213" s="287"/>
      <c r="G213" s="287"/>
      <c r="H213" s="116" t="s">
        <v>76</v>
      </c>
      <c r="I213" s="86">
        <v>0</v>
      </c>
      <c r="J213" s="86">
        <v>0</v>
      </c>
      <c r="K213" s="86">
        <f>36569/D210-0.01</f>
        <v>15.13</v>
      </c>
    </row>
    <row r="214" spans="1:11" s="92" customFormat="1" ht="15.75" customHeight="1" x14ac:dyDescent="0.3">
      <c r="A214" s="285">
        <f>A210+1</f>
        <v>35</v>
      </c>
      <c r="B214" s="285">
        <v>6315</v>
      </c>
      <c r="C214" s="295" t="s">
        <v>220</v>
      </c>
      <c r="D214" s="279">
        <v>4642.1000000000004</v>
      </c>
      <c r="E214" s="285" t="s">
        <v>75</v>
      </c>
      <c r="F214" s="285">
        <v>9</v>
      </c>
      <c r="G214" s="285" t="s">
        <v>673</v>
      </c>
      <c r="H214" s="116" t="s">
        <v>73</v>
      </c>
      <c r="I214" s="86">
        <f>SUM(I215:I217)</f>
        <v>1708823</v>
      </c>
      <c r="J214" s="86">
        <f>SUM(J215:J217)</f>
        <v>368.11</v>
      </c>
      <c r="K214" s="86">
        <f>SUM(K215:K217)</f>
        <v>375.99</v>
      </c>
    </row>
    <row r="215" spans="1:11" s="92" customFormat="1" ht="29.25" customHeight="1" x14ac:dyDescent="0.3">
      <c r="A215" s="286"/>
      <c r="B215" s="286"/>
      <c r="C215" s="296"/>
      <c r="D215" s="280"/>
      <c r="E215" s="286"/>
      <c r="F215" s="286"/>
      <c r="G215" s="286"/>
      <c r="H215" s="116" t="s">
        <v>666</v>
      </c>
      <c r="I215" s="86">
        <v>0</v>
      </c>
      <c r="J215" s="86">
        <f>I215/D214</f>
        <v>0</v>
      </c>
      <c r="K215" s="86">
        <f>J215</f>
        <v>0</v>
      </c>
    </row>
    <row r="216" spans="1:11" s="92" customFormat="1" x14ac:dyDescent="0.3">
      <c r="A216" s="286">
        <v>756</v>
      </c>
      <c r="B216" s="286"/>
      <c r="C216" s="296"/>
      <c r="D216" s="280"/>
      <c r="E216" s="286"/>
      <c r="F216" s="286"/>
      <c r="G216" s="286"/>
      <c r="H216" s="116" t="s">
        <v>674</v>
      </c>
      <c r="I216" s="86">
        <v>1708823</v>
      </c>
      <c r="J216" s="86">
        <f>I216/D214</f>
        <v>368.11</v>
      </c>
      <c r="K216" s="86">
        <f>1708823/D214</f>
        <v>368.11</v>
      </c>
    </row>
    <row r="217" spans="1:11" s="92" customFormat="1" x14ac:dyDescent="0.3">
      <c r="A217" s="287"/>
      <c r="B217" s="287"/>
      <c r="C217" s="297"/>
      <c r="D217" s="281"/>
      <c r="E217" s="287"/>
      <c r="F217" s="287"/>
      <c r="G217" s="287"/>
      <c r="H217" s="116" t="s">
        <v>76</v>
      </c>
      <c r="I217" s="86">
        <v>0</v>
      </c>
      <c r="J217" s="86">
        <v>0</v>
      </c>
      <c r="K217" s="86">
        <f>36569/D214</f>
        <v>7.88</v>
      </c>
    </row>
    <row r="218" spans="1:11" s="92" customFormat="1" ht="15.75" customHeight="1" x14ac:dyDescent="0.3">
      <c r="A218" s="335">
        <f>A214+1</f>
        <v>36</v>
      </c>
      <c r="B218" s="335">
        <v>6321</v>
      </c>
      <c r="C218" s="348" t="s">
        <v>221</v>
      </c>
      <c r="D218" s="279">
        <v>10603.9</v>
      </c>
      <c r="E218" s="335" t="s">
        <v>71</v>
      </c>
      <c r="F218" s="335">
        <v>9</v>
      </c>
      <c r="G218" s="124"/>
      <c r="H218" s="116" t="s">
        <v>73</v>
      </c>
      <c r="I218" s="86">
        <f>SUM(I219:I236)</f>
        <v>10400418</v>
      </c>
      <c r="J218" s="86">
        <f>SUM(J219:J236)</f>
        <v>980.81</v>
      </c>
      <c r="K218" s="86">
        <f>SUM(K219:K236)</f>
        <v>1001.5</v>
      </c>
    </row>
    <row r="219" spans="1:11" s="92" customFormat="1" ht="31" x14ac:dyDescent="0.3">
      <c r="A219" s="336"/>
      <c r="B219" s="336"/>
      <c r="C219" s="349"/>
      <c r="D219" s="280"/>
      <c r="E219" s="336"/>
      <c r="F219" s="336"/>
      <c r="G219" s="285" t="s">
        <v>673</v>
      </c>
      <c r="H219" s="116" t="s">
        <v>666</v>
      </c>
      <c r="I219" s="86">
        <v>24580</v>
      </c>
      <c r="J219" s="86">
        <f>I219/D218</f>
        <v>2.3199999999999998</v>
      </c>
      <c r="K219" s="86">
        <f>J219</f>
        <v>2.3199999999999998</v>
      </c>
    </row>
    <row r="220" spans="1:11" s="92" customFormat="1" x14ac:dyDescent="0.3">
      <c r="A220" s="336">
        <v>756</v>
      </c>
      <c r="B220" s="336"/>
      <c r="C220" s="349"/>
      <c r="D220" s="280"/>
      <c r="E220" s="336"/>
      <c r="F220" s="336"/>
      <c r="G220" s="286"/>
      <c r="H220" s="116" t="s">
        <v>674</v>
      </c>
      <c r="I220" s="86">
        <v>1708823</v>
      </c>
      <c r="J220" s="86">
        <f>I220/D218-0.01</f>
        <v>161.13999999999999</v>
      </c>
      <c r="K220" s="86">
        <f>1708823/D218</f>
        <v>161.15</v>
      </c>
    </row>
    <row r="221" spans="1:11" s="92" customFormat="1" x14ac:dyDescent="0.3">
      <c r="A221" s="336"/>
      <c r="B221" s="336"/>
      <c r="C221" s="349"/>
      <c r="D221" s="280"/>
      <c r="E221" s="336"/>
      <c r="F221" s="336"/>
      <c r="G221" s="286"/>
      <c r="H221" s="116" t="s">
        <v>76</v>
      </c>
      <c r="I221" s="86">
        <v>0</v>
      </c>
      <c r="J221" s="86">
        <v>0</v>
      </c>
      <c r="K221" s="86">
        <f>36569/D218</f>
        <v>3.45</v>
      </c>
    </row>
    <row r="222" spans="1:11" s="92" customFormat="1" ht="31" x14ac:dyDescent="0.3">
      <c r="A222" s="336"/>
      <c r="B222" s="336"/>
      <c r="C222" s="349"/>
      <c r="D222" s="280"/>
      <c r="E222" s="336"/>
      <c r="F222" s="336"/>
      <c r="G222" s="285" t="s">
        <v>679</v>
      </c>
      <c r="H222" s="116" t="s">
        <v>666</v>
      </c>
      <c r="I222" s="86">
        <v>24580</v>
      </c>
      <c r="J222" s="86">
        <f>I222/D218</f>
        <v>2.3199999999999998</v>
      </c>
      <c r="K222" s="86">
        <f>J222</f>
        <v>2.3199999999999998</v>
      </c>
    </row>
    <row r="223" spans="1:11" s="92" customFormat="1" x14ac:dyDescent="0.3">
      <c r="A223" s="336"/>
      <c r="B223" s="336"/>
      <c r="C223" s="349"/>
      <c r="D223" s="280"/>
      <c r="E223" s="336"/>
      <c r="F223" s="336"/>
      <c r="G223" s="286"/>
      <c r="H223" s="116" t="s">
        <v>674</v>
      </c>
      <c r="I223" s="86">
        <v>1708823</v>
      </c>
      <c r="J223" s="86">
        <f>I223/D218</f>
        <v>161.15</v>
      </c>
      <c r="K223" s="86">
        <f>1708823/D218</f>
        <v>161.15</v>
      </c>
    </row>
    <row r="224" spans="1:11" s="92" customFormat="1" x14ac:dyDescent="0.3">
      <c r="A224" s="336"/>
      <c r="B224" s="336"/>
      <c r="C224" s="349"/>
      <c r="D224" s="280"/>
      <c r="E224" s="336"/>
      <c r="F224" s="336"/>
      <c r="G224" s="286"/>
      <c r="H224" s="116" t="s">
        <v>76</v>
      </c>
      <c r="I224" s="86">
        <v>0</v>
      </c>
      <c r="J224" s="86">
        <v>0</v>
      </c>
      <c r="K224" s="86">
        <f>36569/D218-0.01</f>
        <v>3.44</v>
      </c>
    </row>
    <row r="225" spans="1:11" s="92" customFormat="1" ht="31" x14ac:dyDescent="0.3">
      <c r="A225" s="336"/>
      <c r="B225" s="336"/>
      <c r="C225" s="349"/>
      <c r="D225" s="280"/>
      <c r="E225" s="336"/>
      <c r="F225" s="336"/>
      <c r="G225" s="285" t="s">
        <v>680</v>
      </c>
      <c r="H225" s="116" t="s">
        <v>666</v>
      </c>
      <c r="I225" s="86">
        <v>24580</v>
      </c>
      <c r="J225" s="86">
        <f>I225/D218</f>
        <v>2.3199999999999998</v>
      </c>
      <c r="K225" s="86">
        <f>J225</f>
        <v>2.3199999999999998</v>
      </c>
    </row>
    <row r="226" spans="1:11" s="92" customFormat="1" x14ac:dyDescent="0.3">
      <c r="A226" s="336"/>
      <c r="B226" s="336"/>
      <c r="C226" s="349"/>
      <c r="D226" s="280"/>
      <c r="E226" s="336"/>
      <c r="F226" s="336"/>
      <c r="G226" s="286"/>
      <c r="H226" s="116" t="s">
        <v>674</v>
      </c>
      <c r="I226" s="86">
        <v>1708823</v>
      </c>
      <c r="J226" s="86">
        <f>I226/D218</f>
        <v>161.15</v>
      </c>
      <c r="K226" s="86">
        <f>1708823/D218</f>
        <v>161.15</v>
      </c>
    </row>
    <row r="227" spans="1:11" s="92" customFormat="1" x14ac:dyDescent="0.3">
      <c r="A227" s="336"/>
      <c r="B227" s="336"/>
      <c r="C227" s="349"/>
      <c r="D227" s="280"/>
      <c r="E227" s="336"/>
      <c r="F227" s="336"/>
      <c r="G227" s="286"/>
      <c r="H227" s="116" t="s">
        <v>76</v>
      </c>
      <c r="I227" s="86">
        <v>0</v>
      </c>
      <c r="J227" s="86">
        <v>0</v>
      </c>
      <c r="K227" s="86">
        <f>36569/D218</f>
        <v>3.45</v>
      </c>
    </row>
    <row r="228" spans="1:11" s="92" customFormat="1" ht="31" x14ac:dyDescent="0.3">
      <c r="A228" s="336"/>
      <c r="B228" s="336"/>
      <c r="C228" s="349"/>
      <c r="D228" s="280"/>
      <c r="E228" s="336"/>
      <c r="F228" s="336"/>
      <c r="G228" s="285" t="s">
        <v>681</v>
      </c>
      <c r="H228" s="116" t="s">
        <v>666</v>
      </c>
      <c r="I228" s="86">
        <v>24580</v>
      </c>
      <c r="J228" s="86">
        <f>I228/D218</f>
        <v>2.3199999999999998</v>
      </c>
      <c r="K228" s="86">
        <f>J228</f>
        <v>2.3199999999999998</v>
      </c>
    </row>
    <row r="229" spans="1:11" s="92" customFormat="1" x14ac:dyDescent="0.3">
      <c r="A229" s="336"/>
      <c r="B229" s="336"/>
      <c r="C229" s="349"/>
      <c r="D229" s="280"/>
      <c r="E229" s="336"/>
      <c r="F229" s="336"/>
      <c r="G229" s="286"/>
      <c r="H229" s="116" t="s">
        <v>674</v>
      </c>
      <c r="I229" s="86">
        <v>1708823</v>
      </c>
      <c r="J229" s="86">
        <f>I229/D218</f>
        <v>161.15</v>
      </c>
      <c r="K229" s="86">
        <f>1708823/D218</f>
        <v>161.15</v>
      </c>
    </row>
    <row r="230" spans="1:11" s="92" customFormat="1" x14ac:dyDescent="0.3">
      <c r="A230" s="336"/>
      <c r="B230" s="336"/>
      <c r="C230" s="349"/>
      <c r="D230" s="280"/>
      <c r="E230" s="336"/>
      <c r="F230" s="336"/>
      <c r="G230" s="286"/>
      <c r="H230" s="116" t="s">
        <v>76</v>
      </c>
      <c r="I230" s="86">
        <v>0</v>
      </c>
      <c r="J230" s="86">
        <v>0</v>
      </c>
      <c r="K230" s="86">
        <f>36569/D218</f>
        <v>3.45</v>
      </c>
    </row>
    <row r="231" spans="1:11" s="92" customFormat="1" ht="31" x14ac:dyDescent="0.3">
      <c r="A231" s="336"/>
      <c r="B231" s="336"/>
      <c r="C231" s="349"/>
      <c r="D231" s="280"/>
      <c r="E231" s="336"/>
      <c r="F231" s="336"/>
      <c r="G231" s="285" t="s">
        <v>678</v>
      </c>
      <c r="H231" s="116" t="s">
        <v>666</v>
      </c>
      <c r="I231" s="86">
        <v>24580</v>
      </c>
      <c r="J231" s="86">
        <f>I231/D218</f>
        <v>2.3199999999999998</v>
      </c>
      <c r="K231" s="86">
        <f>J231</f>
        <v>2.3199999999999998</v>
      </c>
    </row>
    <row r="232" spans="1:11" s="92" customFormat="1" x14ac:dyDescent="0.3">
      <c r="A232" s="336"/>
      <c r="B232" s="336"/>
      <c r="C232" s="349"/>
      <c r="D232" s="280"/>
      <c r="E232" s="336"/>
      <c r="F232" s="336"/>
      <c r="G232" s="286"/>
      <c r="H232" s="116" t="s">
        <v>674</v>
      </c>
      <c r="I232" s="86">
        <v>1708823</v>
      </c>
      <c r="J232" s="86">
        <f>I232/D218</f>
        <v>161.15</v>
      </c>
      <c r="K232" s="86">
        <f>1708823/D218</f>
        <v>161.15</v>
      </c>
    </row>
    <row r="233" spans="1:11" s="92" customFormat="1" x14ac:dyDescent="0.3">
      <c r="A233" s="336"/>
      <c r="B233" s="336"/>
      <c r="C233" s="349"/>
      <c r="D233" s="280"/>
      <c r="E233" s="336"/>
      <c r="F233" s="336"/>
      <c r="G233" s="286"/>
      <c r="H233" s="116" t="s">
        <v>76</v>
      </c>
      <c r="I233" s="86">
        <v>0</v>
      </c>
      <c r="J233" s="86">
        <v>0</v>
      </c>
      <c r="K233" s="86">
        <f>36569/D218-0.01</f>
        <v>3.44</v>
      </c>
    </row>
    <row r="234" spans="1:11" s="92" customFormat="1" ht="31" x14ac:dyDescent="0.3">
      <c r="A234" s="336"/>
      <c r="B234" s="336"/>
      <c r="C234" s="349"/>
      <c r="D234" s="280"/>
      <c r="E234" s="336"/>
      <c r="F234" s="336"/>
      <c r="G234" s="285" t="s">
        <v>682</v>
      </c>
      <c r="H234" s="116" t="s">
        <v>666</v>
      </c>
      <c r="I234" s="86">
        <v>24580</v>
      </c>
      <c r="J234" s="86">
        <f>I234/D218</f>
        <v>2.3199999999999998</v>
      </c>
      <c r="K234" s="86">
        <f>J234</f>
        <v>2.3199999999999998</v>
      </c>
    </row>
    <row r="235" spans="1:11" s="92" customFormat="1" x14ac:dyDescent="0.3">
      <c r="A235" s="336"/>
      <c r="B235" s="336"/>
      <c r="C235" s="349"/>
      <c r="D235" s="280"/>
      <c r="E235" s="336"/>
      <c r="F235" s="336"/>
      <c r="G235" s="286"/>
      <c r="H235" s="116" t="s">
        <v>674</v>
      </c>
      <c r="I235" s="86">
        <v>1708823</v>
      </c>
      <c r="J235" s="86">
        <f>I235/D218</f>
        <v>161.15</v>
      </c>
      <c r="K235" s="86">
        <f>1708823/D218</f>
        <v>161.15</v>
      </c>
    </row>
    <row r="236" spans="1:11" s="92" customFormat="1" x14ac:dyDescent="0.3">
      <c r="A236" s="337"/>
      <c r="B236" s="337"/>
      <c r="C236" s="350"/>
      <c r="D236" s="281"/>
      <c r="E236" s="337"/>
      <c r="F236" s="337"/>
      <c r="G236" s="286"/>
      <c r="H236" s="116" t="s">
        <v>76</v>
      </c>
      <c r="I236" s="86">
        <v>0</v>
      </c>
      <c r="J236" s="86">
        <v>0</v>
      </c>
      <c r="K236" s="86">
        <f>36569/D218</f>
        <v>3.45</v>
      </c>
    </row>
    <row r="237" spans="1:11" s="92" customFormat="1" ht="15.75" customHeight="1" x14ac:dyDescent="0.3">
      <c r="A237" s="285">
        <f>A218+1</f>
        <v>37</v>
      </c>
      <c r="B237" s="285">
        <v>6343</v>
      </c>
      <c r="C237" s="295" t="s">
        <v>223</v>
      </c>
      <c r="D237" s="279">
        <v>877.1</v>
      </c>
      <c r="E237" s="285" t="s">
        <v>80</v>
      </c>
      <c r="F237" s="335">
        <v>2</v>
      </c>
      <c r="G237" s="285" t="s">
        <v>72</v>
      </c>
      <c r="H237" s="116" t="s">
        <v>73</v>
      </c>
      <c r="I237" s="86">
        <f>I238</f>
        <v>107835.6</v>
      </c>
      <c r="J237" s="86">
        <f>J238</f>
        <v>122.95</v>
      </c>
      <c r="K237" s="86">
        <f>K238</f>
        <v>178</v>
      </c>
    </row>
    <row r="238" spans="1:11" s="92" customFormat="1" ht="46.5" x14ac:dyDescent="0.3">
      <c r="A238" s="286"/>
      <c r="B238" s="286"/>
      <c r="C238" s="296"/>
      <c r="D238" s="280"/>
      <c r="E238" s="286"/>
      <c r="F238" s="336"/>
      <c r="G238" s="287"/>
      <c r="H238" s="116" t="s">
        <v>705</v>
      </c>
      <c r="I238" s="86">
        <f>96433.3+11402.3</f>
        <v>107835.6</v>
      </c>
      <c r="J238" s="86">
        <f>I238/D237</f>
        <v>122.95</v>
      </c>
      <c r="K238" s="86">
        <f>164+14</f>
        <v>178</v>
      </c>
    </row>
    <row r="239" spans="1:11" s="92" customFormat="1" ht="15.75" customHeight="1" x14ac:dyDescent="0.3">
      <c r="A239" s="308">
        <f>A237+1</f>
        <v>38</v>
      </c>
      <c r="B239" s="308">
        <v>6349</v>
      </c>
      <c r="C239" s="301" t="s">
        <v>224</v>
      </c>
      <c r="D239" s="274">
        <v>889.1</v>
      </c>
      <c r="E239" s="274" t="s">
        <v>80</v>
      </c>
      <c r="F239" s="334">
        <v>2</v>
      </c>
      <c r="G239" s="308" t="s">
        <v>72</v>
      </c>
      <c r="H239" s="116" t="s">
        <v>73</v>
      </c>
      <c r="I239" s="86">
        <f>I240+I241</f>
        <v>4380814.25</v>
      </c>
      <c r="J239" s="86">
        <f>J240+J241</f>
        <v>4927.25</v>
      </c>
      <c r="K239" s="86">
        <f>K240+K241</f>
        <v>7066</v>
      </c>
    </row>
    <row r="240" spans="1:11" s="92" customFormat="1" x14ac:dyDescent="0.3">
      <c r="A240" s="308">
        <v>75</v>
      </c>
      <c r="B240" s="308"/>
      <c r="C240" s="301"/>
      <c r="D240" s="274"/>
      <c r="E240" s="274"/>
      <c r="F240" s="334"/>
      <c r="G240" s="308"/>
      <c r="H240" s="116" t="s">
        <v>74</v>
      </c>
      <c r="I240" s="86">
        <v>4299440.33</v>
      </c>
      <c r="J240" s="86">
        <f>I240/D239+0.01</f>
        <v>4835.7299999999996</v>
      </c>
      <c r="K240" s="86">
        <v>6918</v>
      </c>
    </row>
    <row r="241" spans="1:11" s="92" customFormat="1" x14ac:dyDescent="0.3">
      <c r="A241" s="308">
        <v>76</v>
      </c>
      <c r="B241" s="308"/>
      <c r="C241" s="301"/>
      <c r="D241" s="274"/>
      <c r="E241" s="274"/>
      <c r="F241" s="334"/>
      <c r="G241" s="308"/>
      <c r="H241" s="116" t="s">
        <v>76</v>
      </c>
      <c r="I241" s="86">
        <v>81373.919999999998</v>
      </c>
      <c r="J241" s="86">
        <f>I241/D239</f>
        <v>91.52</v>
      </c>
      <c r="K241" s="86">
        <v>148</v>
      </c>
    </row>
    <row r="242" spans="1:11" s="92" customFormat="1" ht="15.75" customHeight="1" x14ac:dyDescent="0.3">
      <c r="A242" s="285">
        <f>A239+1</f>
        <v>39</v>
      </c>
      <c r="B242" s="285">
        <v>6351</v>
      </c>
      <c r="C242" s="295" t="s">
        <v>225</v>
      </c>
      <c r="D242" s="279">
        <v>899.1</v>
      </c>
      <c r="E242" s="279" t="s">
        <v>665</v>
      </c>
      <c r="F242" s="335">
        <v>2</v>
      </c>
      <c r="G242" s="13"/>
      <c r="H242" s="116" t="s">
        <v>73</v>
      </c>
      <c r="I242" s="86">
        <f>I243+I244+I245</f>
        <v>139360.5</v>
      </c>
      <c r="J242" s="86">
        <f>J243+J244+J245</f>
        <v>155</v>
      </c>
      <c r="K242" s="86">
        <f>K243+K244+K245</f>
        <v>155</v>
      </c>
    </row>
    <row r="243" spans="1:11" s="92" customFormat="1" ht="31" x14ac:dyDescent="0.3">
      <c r="A243" s="286"/>
      <c r="B243" s="286"/>
      <c r="C243" s="296"/>
      <c r="D243" s="280"/>
      <c r="E243" s="280"/>
      <c r="F243" s="336"/>
      <c r="G243" s="119" t="s">
        <v>77</v>
      </c>
      <c r="H243" s="116" t="s">
        <v>666</v>
      </c>
      <c r="I243" s="86">
        <f>D242*K243</f>
        <v>105194.7</v>
      </c>
      <c r="J243" s="86">
        <f>I243/D242</f>
        <v>117</v>
      </c>
      <c r="K243" s="86">
        <f>108+9</f>
        <v>117</v>
      </c>
    </row>
    <row r="244" spans="1:11" s="92" customFormat="1" ht="46.5" x14ac:dyDescent="0.3">
      <c r="A244" s="286"/>
      <c r="B244" s="286"/>
      <c r="C244" s="296"/>
      <c r="D244" s="280"/>
      <c r="E244" s="280"/>
      <c r="F244" s="336"/>
      <c r="G244" s="119" t="s">
        <v>78</v>
      </c>
      <c r="H244" s="116" t="s">
        <v>666</v>
      </c>
      <c r="I244" s="86">
        <f>D242*K244</f>
        <v>17982</v>
      </c>
      <c r="J244" s="86">
        <f>I244/D242</f>
        <v>20</v>
      </c>
      <c r="K244" s="86">
        <f>18+2</f>
        <v>20</v>
      </c>
    </row>
    <row r="245" spans="1:11" s="92" customFormat="1" ht="31" x14ac:dyDescent="0.3">
      <c r="A245" s="286"/>
      <c r="B245" s="286"/>
      <c r="C245" s="296"/>
      <c r="D245" s="280"/>
      <c r="E245" s="280"/>
      <c r="F245" s="336"/>
      <c r="G245" s="119" t="s">
        <v>79</v>
      </c>
      <c r="H245" s="116" t="s">
        <v>666</v>
      </c>
      <c r="I245" s="86">
        <f>D242*K245</f>
        <v>16183.8</v>
      </c>
      <c r="J245" s="86">
        <f>I245/D242</f>
        <v>18</v>
      </c>
      <c r="K245" s="86">
        <f>17+1</f>
        <v>18</v>
      </c>
    </row>
    <row r="246" spans="1:11" s="92" customFormat="1" x14ac:dyDescent="0.3">
      <c r="A246" s="285">
        <f>A242+1</f>
        <v>40</v>
      </c>
      <c r="B246" s="285">
        <v>6354</v>
      </c>
      <c r="C246" s="295" t="s">
        <v>226</v>
      </c>
      <c r="D246" s="279">
        <v>2328</v>
      </c>
      <c r="E246" s="279" t="s">
        <v>80</v>
      </c>
      <c r="F246" s="335">
        <v>4</v>
      </c>
      <c r="G246" s="285" t="s">
        <v>72</v>
      </c>
      <c r="H246" s="116" t="s">
        <v>73</v>
      </c>
      <c r="I246" s="86">
        <f>I247+I248</f>
        <v>3447304.17</v>
      </c>
      <c r="J246" s="86">
        <f>J247+J248</f>
        <v>1480.8</v>
      </c>
      <c r="K246" s="86">
        <f>K247+K248</f>
        <v>4807</v>
      </c>
    </row>
    <row r="247" spans="1:11" s="92" customFormat="1" ht="51" customHeight="1" x14ac:dyDescent="0.3">
      <c r="A247" s="286"/>
      <c r="B247" s="286"/>
      <c r="C247" s="296"/>
      <c r="D247" s="280"/>
      <c r="E247" s="280"/>
      <c r="F247" s="336"/>
      <c r="G247" s="286"/>
      <c r="H247" s="116" t="s">
        <v>705</v>
      </c>
      <c r="I247" s="86">
        <f>181818.57+D246*14</f>
        <v>214410.57</v>
      </c>
      <c r="J247" s="86">
        <f>I247/D246</f>
        <v>92.1</v>
      </c>
      <c r="K247" s="86">
        <f>164+14</f>
        <v>178</v>
      </c>
    </row>
    <row r="248" spans="1:11" s="92" customFormat="1" x14ac:dyDescent="0.3">
      <c r="A248" s="286"/>
      <c r="B248" s="286"/>
      <c r="C248" s="296"/>
      <c r="D248" s="280"/>
      <c r="E248" s="280"/>
      <c r="F248" s="336"/>
      <c r="G248" s="286"/>
      <c r="H248" s="116" t="s">
        <v>74</v>
      </c>
      <c r="I248" s="86">
        <f>D246*K248*30/100</f>
        <v>3232893.6</v>
      </c>
      <c r="J248" s="86">
        <f>I248/D246</f>
        <v>1388.7</v>
      </c>
      <c r="K248" s="86">
        <v>4629</v>
      </c>
    </row>
    <row r="249" spans="1:11" s="92" customFormat="1" x14ac:dyDescent="0.3">
      <c r="A249" s="285">
        <f>A246+1</f>
        <v>41</v>
      </c>
      <c r="B249" s="285">
        <v>6356</v>
      </c>
      <c r="C249" s="295" t="s">
        <v>227</v>
      </c>
      <c r="D249" s="279">
        <v>2350</v>
      </c>
      <c r="E249" s="279" t="s">
        <v>80</v>
      </c>
      <c r="F249" s="335">
        <v>4</v>
      </c>
      <c r="G249" s="285" t="s">
        <v>72</v>
      </c>
      <c r="H249" s="116" t="s">
        <v>73</v>
      </c>
      <c r="I249" s="86">
        <f>I250+I251</f>
        <v>3479058</v>
      </c>
      <c r="J249" s="86">
        <f>J250+J251</f>
        <v>1480.45</v>
      </c>
      <c r="K249" s="86">
        <f>K250+K251</f>
        <v>4807</v>
      </c>
    </row>
    <row r="250" spans="1:11" s="92" customFormat="1" ht="51" customHeight="1" x14ac:dyDescent="0.3">
      <c r="A250" s="286"/>
      <c r="B250" s="286"/>
      <c r="C250" s="296"/>
      <c r="D250" s="280"/>
      <c r="E250" s="280"/>
      <c r="F250" s="336"/>
      <c r="G250" s="286"/>
      <c r="H250" s="116" t="s">
        <v>705</v>
      </c>
      <c r="I250" s="86">
        <f>182713+D249*14</f>
        <v>215613</v>
      </c>
      <c r="J250" s="86">
        <f>I250/D249</f>
        <v>91.75</v>
      </c>
      <c r="K250" s="86">
        <f>164+14</f>
        <v>178</v>
      </c>
    </row>
    <row r="251" spans="1:11" s="92" customFormat="1" x14ac:dyDescent="0.3">
      <c r="A251" s="286"/>
      <c r="B251" s="286"/>
      <c r="C251" s="296"/>
      <c r="D251" s="280"/>
      <c r="E251" s="280"/>
      <c r="F251" s="336"/>
      <c r="G251" s="286"/>
      <c r="H251" s="116" t="s">
        <v>74</v>
      </c>
      <c r="I251" s="86">
        <f>D249*K251*30/100</f>
        <v>3263445</v>
      </c>
      <c r="J251" s="86">
        <f>I251/D249</f>
        <v>1388.7</v>
      </c>
      <c r="K251" s="86">
        <v>4629</v>
      </c>
    </row>
    <row r="252" spans="1:11" s="92" customFormat="1" ht="15.75" customHeight="1" x14ac:dyDescent="0.3">
      <c r="A252" s="308">
        <f>A249+1</f>
        <v>42</v>
      </c>
      <c r="B252" s="308">
        <v>6403</v>
      </c>
      <c r="C252" s="301" t="s">
        <v>228</v>
      </c>
      <c r="D252" s="274">
        <v>4363.92</v>
      </c>
      <c r="E252" s="274" t="s">
        <v>677</v>
      </c>
      <c r="F252" s="334">
        <v>5</v>
      </c>
      <c r="G252" s="308" t="s">
        <v>72</v>
      </c>
      <c r="H252" s="116" t="s">
        <v>73</v>
      </c>
      <c r="I252" s="86">
        <f>I253+I254</f>
        <v>9244493.5899999999</v>
      </c>
      <c r="J252" s="86">
        <f>J253+J254</f>
        <v>2118.39</v>
      </c>
      <c r="K252" s="86">
        <f>K253+K254</f>
        <v>2831</v>
      </c>
    </row>
    <row r="253" spans="1:11" s="92" customFormat="1" x14ac:dyDescent="0.3">
      <c r="A253" s="308">
        <v>75</v>
      </c>
      <c r="B253" s="308"/>
      <c r="C253" s="301"/>
      <c r="D253" s="274"/>
      <c r="E253" s="274"/>
      <c r="F253" s="334"/>
      <c r="G253" s="308"/>
      <c r="H253" s="116" t="s">
        <v>74</v>
      </c>
      <c r="I253" s="86">
        <v>9061273.0700000003</v>
      </c>
      <c r="J253" s="86">
        <f>I253/D252-0.01</f>
        <v>2076.4</v>
      </c>
      <c r="K253" s="86">
        <v>2772</v>
      </c>
    </row>
    <row r="254" spans="1:11" s="92" customFormat="1" x14ac:dyDescent="0.3">
      <c r="A254" s="308">
        <v>76</v>
      </c>
      <c r="B254" s="308"/>
      <c r="C254" s="301"/>
      <c r="D254" s="274"/>
      <c r="E254" s="274"/>
      <c r="F254" s="334"/>
      <c r="G254" s="308"/>
      <c r="H254" s="116" t="s">
        <v>76</v>
      </c>
      <c r="I254" s="86">
        <v>183220.52</v>
      </c>
      <c r="J254" s="86">
        <f>I254/D252</f>
        <v>41.99</v>
      </c>
      <c r="K254" s="86">
        <v>59</v>
      </c>
    </row>
    <row r="255" spans="1:11" s="92" customFormat="1" x14ac:dyDescent="0.3">
      <c r="A255" s="285">
        <f>A252+1</f>
        <v>43</v>
      </c>
      <c r="B255" s="285">
        <v>6420</v>
      </c>
      <c r="C255" s="295" t="s">
        <v>229</v>
      </c>
      <c r="D255" s="279">
        <v>486</v>
      </c>
      <c r="E255" s="279" t="s">
        <v>665</v>
      </c>
      <c r="F255" s="335">
        <v>2</v>
      </c>
      <c r="G255" s="285" t="s">
        <v>72</v>
      </c>
      <c r="H255" s="116" t="s">
        <v>73</v>
      </c>
      <c r="I255" s="86">
        <f>I256++I257</f>
        <v>1095152.3999999999</v>
      </c>
      <c r="J255" s="86">
        <f>J256++J257</f>
        <v>2253.4</v>
      </c>
      <c r="K255" s="86">
        <f>K256++K257</f>
        <v>7096</v>
      </c>
    </row>
    <row r="256" spans="1:11" s="92" customFormat="1" ht="51" customHeight="1" x14ac:dyDescent="0.3">
      <c r="A256" s="286"/>
      <c r="B256" s="286"/>
      <c r="C256" s="296"/>
      <c r="D256" s="280"/>
      <c r="E256" s="280"/>
      <c r="F256" s="336"/>
      <c r="G256" s="286"/>
      <c r="H256" s="116" t="s">
        <v>705</v>
      </c>
      <c r="I256" s="86">
        <f>79704+D255*14</f>
        <v>86508</v>
      </c>
      <c r="J256" s="86">
        <f>I256/D255</f>
        <v>178</v>
      </c>
      <c r="K256" s="86">
        <f>164+14</f>
        <v>178</v>
      </c>
    </row>
    <row r="257" spans="1:11" s="92" customFormat="1" x14ac:dyDescent="0.3">
      <c r="A257" s="287"/>
      <c r="B257" s="287"/>
      <c r="C257" s="297"/>
      <c r="D257" s="281"/>
      <c r="E257" s="281"/>
      <c r="F257" s="337"/>
      <c r="G257" s="287"/>
      <c r="H257" s="116" t="s">
        <v>74</v>
      </c>
      <c r="I257" s="86">
        <f>D255*K257*30/100</f>
        <v>1008644.4</v>
      </c>
      <c r="J257" s="86">
        <f>I257/D255</f>
        <v>2075.4</v>
      </c>
      <c r="K257" s="86">
        <v>6918</v>
      </c>
    </row>
    <row r="258" spans="1:11" s="92" customFormat="1" ht="17.25" customHeight="1" x14ac:dyDescent="0.3">
      <c r="A258" s="285">
        <f>A255+1</f>
        <v>44</v>
      </c>
      <c r="B258" s="285">
        <v>6476</v>
      </c>
      <c r="C258" s="295" t="s">
        <v>230</v>
      </c>
      <c r="D258" s="279">
        <v>525</v>
      </c>
      <c r="E258" s="279" t="s">
        <v>665</v>
      </c>
      <c r="F258" s="335">
        <v>2</v>
      </c>
      <c r="G258" s="285" t="s">
        <v>72</v>
      </c>
      <c r="H258" s="116" t="s">
        <v>73</v>
      </c>
      <c r="I258" s="86">
        <f>I259</f>
        <v>86451.59</v>
      </c>
      <c r="J258" s="86">
        <f>J259</f>
        <v>164.67</v>
      </c>
      <c r="K258" s="86">
        <f>K259</f>
        <v>178</v>
      </c>
    </row>
    <row r="259" spans="1:11" s="92" customFormat="1" ht="46.5" x14ac:dyDescent="0.3">
      <c r="A259" s="286"/>
      <c r="B259" s="286"/>
      <c r="C259" s="296"/>
      <c r="D259" s="280"/>
      <c r="E259" s="280"/>
      <c r="F259" s="336"/>
      <c r="G259" s="286"/>
      <c r="H259" s="116" t="s">
        <v>705</v>
      </c>
      <c r="I259" s="86">
        <f>79101.59+D258*14</f>
        <v>86451.59</v>
      </c>
      <c r="J259" s="86">
        <f>I259/D258</f>
        <v>164.67</v>
      </c>
      <c r="K259" s="86">
        <f>164+14</f>
        <v>178</v>
      </c>
    </row>
    <row r="260" spans="1:11" s="92" customFormat="1" ht="15.75" customHeight="1" x14ac:dyDescent="0.3">
      <c r="A260" s="335">
        <f>A258+1</f>
        <v>45</v>
      </c>
      <c r="B260" s="335">
        <v>6482</v>
      </c>
      <c r="C260" s="348" t="s">
        <v>686</v>
      </c>
      <c r="D260" s="279">
        <v>892.1</v>
      </c>
      <c r="E260" s="335" t="s">
        <v>80</v>
      </c>
      <c r="F260" s="335">
        <v>2</v>
      </c>
      <c r="G260" s="124"/>
      <c r="H260" s="116" t="s">
        <v>73</v>
      </c>
      <c r="I260" s="86">
        <f>I261+I262</f>
        <v>33899.800000000003</v>
      </c>
      <c r="J260" s="86">
        <f>J261+J262</f>
        <v>38</v>
      </c>
      <c r="K260" s="86">
        <f>K261+K262</f>
        <v>38</v>
      </c>
    </row>
    <row r="261" spans="1:11" s="92" customFormat="1" ht="46.5" x14ac:dyDescent="0.3">
      <c r="A261" s="336"/>
      <c r="B261" s="336"/>
      <c r="C261" s="349"/>
      <c r="D261" s="280"/>
      <c r="E261" s="336"/>
      <c r="F261" s="336"/>
      <c r="G261" s="119" t="s">
        <v>78</v>
      </c>
      <c r="H261" s="116" t="s">
        <v>666</v>
      </c>
      <c r="I261" s="86">
        <f>D260*K261</f>
        <v>17842</v>
      </c>
      <c r="J261" s="86">
        <f>I261/D260</f>
        <v>20</v>
      </c>
      <c r="K261" s="86">
        <f>18+2</f>
        <v>20</v>
      </c>
    </row>
    <row r="262" spans="1:11" s="92" customFormat="1" ht="31" x14ac:dyDescent="0.3">
      <c r="A262" s="336"/>
      <c r="B262" s="336"/>
      <c r="C262" s="349"/>
      <c r="D262" s="280"/>
      <c r="E262" s="336"/>
      <c r="F262" s="336"/>
      <c r="G262" s="119" t="s">
        <v>79</v>
      </c>
      <c r="H262" s="116" t="s">
        <v>666</v>
      </c>
      <c r="I262" s="86">
        <f>D260*K262</f>
        <v>16057.8</v>
      </c>
      <c r="J262" s="86">
        <f>I262/D260</f>
        <v>18</v>
      </c>
      <c r="K262" s="86">
        <f>17+1</f>
        <v>18</v>
      </c>
    </row>
    <row r="263" spans="1:11" s="92" customFormat="1" ht="15.75" customHeight="1" x14ac:dyDescent="0.3">
      <c r="A263" s="285">
        <f>A260+1</f>
        <v>46</v>
      </c>
      <c r="B263" s="285">
        <v>6514</v>
      </c>
      <c r="C263" s="295" t="s">
        <v>235</v>
      </c>
      <c r="D263" s="279">
        <v>432.5</v>
      </c>
      <c r="E263" s="285" t="s">
        <v>665</v>
      </c>
      <c r="F263" s="335">
        <v>2</v>
      </c>
      <c r="G263" s="13"/>
      <c r="H263" s="116" t="s">
        <v>73</v>
      </c>
      <c r="I263" s="86">
        <f>I264+I265+I266</f>
        <v>67037.5</v>
      </c>
      <c r="J263" s="86">
        <f>J264+J265+J266</f>
        <v>155</v>
      </c>
      <c r="K263" s="86">
        <f>K264+K265+K266</f>
        <v>155</v>
      </c>
    </row>
    <row r="264" spans="1:11" s="92" customFormat="1" ht="46.5" x14ac:dyDescent="0.3">
      <c r="A264" s="286"/>
      <c r="B264" s="286"/>
      <c r="C264" s="296"/>
      <c r="D264" s="280"/>
      <c r="E264" s="286"/>
      <c r="F264" s="336"/>
      <c r="G264" s="119" t="s">
        <v>78</v>
      </c>
      <c r="H264" s="116" t="s">
        <v>666</v>
      </c>
      <c r="I264" s="86">
        <f>D263*K264</f>
        <v>8650</v>
      </c>
      <c r="J264" s="86">
        <f>I264/D263</f>
        <v>20</v>
      </c>
      <c r="K264" s="86">
        <f>18+2</f>
        <v>20</v>
      </c>
    </row>
    <row r="265" spans="1:11" s="92" customFormat="1" ht="31" x14ac:dyDescent="0.3">
      <c r="A265" s="286"/>
      <c r="B265" s="286"/>
      <c r="C265" s="296"/>
      <c r="D265" s="280"/>
      <c r="E265" s="286"/>
      <c r="F265" s="336"/>
      <c r="G265" s="119" t="s">
        <v>79</v>
      </c>
      <c r="H265" s="116" t="s">
        <v>666</v>
      </c>
      <c r="I265" s="86">
        <f>D263*K265</f>
        <v>7785</v>
      </c>
      <c r="J265" s="86">
        <f>I265/D263</f>
        <v>18</v>
      </c>
      <c r="K265" s="86">
        <f>17+1</f>
        <v>18</v>
      </c>
    </row>
    <row r="266" spans="1:11" s="92" customFormat="1" ht="31" x14ac:dyDescent="0.3">
      <c r="A266" s="286"/>
      <c r="B266" s="286"/>
      <c r="C266" s="296"/>
      <c r="D266" s="280"/>
      <c r="E266" s="286"/>
      <c r="F266" s="336"/>
      <c r="G266" s="119" t="s">
        <v>77</v>
      </c>
      <c r="H266" s="116" t="s">
        <v>666</v>
      </c>
      <c r="I266" s="86">
        <f>D263*K266</f>
        <v>50602.5</v>
      </c>
      <c r="J266" s="86">
        <f>I266/D263</f>
        <v>117</v>
      </c>
      <c r="K266" s="86">
        <f>108+9</f>
        <v>117</v>
      </c>
    </row>
    <row r="267" spans="1:11" s="92" customFormat="1" ht="15.75" customHeight="1" x14ac:dyDescent="0.3">
      <c r="A267" s="285">
        <f>A263+1</f>
        <v>47</v>
      </c>
      <c r="B267" s="285">
        <v>6515</v>
      </c>
      <c r="C267" s="295" t="s">
        <v>236</v>
      </c>
      <c r="D267" s="279">
        <v>424.9</v>
      </c>
      <c r="E267" s="285" t="s">
        <v>665</v>
      </c>
      <c r="F267" s="335">
        <v>2</v>
      </c>
      <c r="G267" s="13"/>
      <c r="H267" s="116" t="s">
        <v>73</v>
      </c>
      <c r="I267" s="86">
        <f>I268+I269+I270</f>
        <v>65859.5</v>
      </c>
      <c r="J267" s="86">
        <f>J268+J269+J270</f>
        <v>155</v>
      </c>
      <c r="K267" s="86">
        <f>K268+K269+K270</f>
        <v>155</v>
      </c>
    </row>
    <row r="268" spans="1:11" s="92" customFormat="1" ht="46.5" x14ac:dyDescent="0.3">
      <c r="A268" s="286"/>
      <c r="B268" s="286"/>
      <c r="C268" s="296"/>
      <c r="D268" s="280"/>
      <c r="E268" s="286"/>
      <c r="F268" s="336"/>
      <c r="G268" s="119" t="s">
        <v>78</v>
      </c>
      <c r="H268" s="116" t="s">
        <v>666</v>
      </c>
      <c r="I268" s="86">
        <f>D267*K268</f>
        <v>8498</v>
      </c>
      <c r="J268" s="86">
        <f>I268/D267</f>
        <v>20</v>
      </c>
      <c r="K268" s="86">
        <f>18+2</f>
        <v>20</v>
      </c>
    </row>
    <row r="269" spans="1:11" s="92" customFormat="1" ht="31" x14ac:dyDescent="0.3">
      <c r="A269" s="286"/>
      <c r="B269" s="286"/>
      <c r="C269" s="296"/>
      <c r="D269" s="280"/>
      <c r="E269" s="286"/>
      <c r="F269" s="336"/>
      <c r="G269" s="119" t="s">
        <v>79</v>
      </c>
      <c r="H269" s="116" t="s">
        <v>666</v>
      </c>
      <c r="I269" s="86">
        <f>D267*K269</f>
        <v>7648.2</v>
      </c>
      <c r="J269" s="86">
        <f>I269/D267</f>
        <v>18</v>
      </c>
      <c r="K269" s="86">
        <f>17+1</f>
        <v>18</v>
      </c>
    </row>
    <row r="270" spans="1:11" s="92" customFormat="1" ht="31" x14ac:dyDescent="0.3">
      <c r="A270" s="286"/>
      <c r="B270" s="286"/>
      <c r="C270" s="296"/>
      <c r="D270" s="280"/>
      <c r="E270" s="286"/>
      <c r="F270" s="336"/>
      <c r="G270" s="119" t="s">
        <v>77</v>
      </c>
      <c r="H270" s="116" t="s">
        <v>666</v>
      </c>
      <c r="I270" s="86">
        <f>D267*K270</f>
        <v>49713.3</v>
      </c>
      <c r="J270" s="86">
        <f>I270/D267</f>
        <v>117</v>
      </c>
      <c r="K270" s="86">
        <f>108+9</f>
        <v>117</v>
      </c>
    </row>
    <row r="271" spans="1:11" s="92" customFormat="1" ht="15.75" customHeight="1" x14ac:dyDescent="0.3">
      <c r="A271" s="285">
        <f>A267+1</f>
        <v>48</v>
      </c>
      <c r="B271" s="285">
        <v>6517</v>
      </c>
      <c r="C271" s="295" t="s">
        <v>237</v>
      </c>
      <c r="D271" s="279">
        <v>315.08999999999997</v>
      </c>
      <c r="E271" s="285" t="s">
        <v>665</v>
      </c>
      <c r="F271" s="335">
        <v>2</v>
      </c>
      <c r="G271" s="15"/>
      <c r="H271" s="116" t="s">
        <v>73</v>
      </c>
      <c r="I271" s="86">
        <f>SUM(I272:I274)</f>
        <v>49469.13</v>
      </c>
      <c r="J271" s="86">
        <f>SUM(J272:J274)</f>
        <v>157</v>
      </c>
      <c r="K271" s="86">
        <f>SUM(K272:K274)</f>
        <v>157</v>
      </c>
    </row>
    <row r="272" spans="1:11" s="92" customFormat="1" ht="31" x14ac:dyDescent="0.3">
      <c r="A272" s="286"/>
      <c r="B272" s="286"/>
      <c r="C272" s="296"/>
      <c r="D272" s="280"/>
      <c r="E272" s="286"/>
      <c r="F272" s="336"/>
      <c r="G272" s="119" t="s">
        <v>77</v>
      </c>
      <c r="H272" s="116" t="s">
        <v>666</v>
      </c>
      <c r="I272" s="86">
        <f>D271*K272</f>
        <v>36865.53</v>
      </c>
      <c r="J272" s="86">
        <f>I272/D271</f>
        <v>117</v>
      </c>
      <c r="K272" s="86">
        <f>108+9</f>
        <v>117</v>
      </c>
    </row>
    <row r="273" spans="1:23" s="92" customFormat="1" ht="46.5" x14ac:dyDescent="0.3">
      <c r="A273" s="286"/>
      <c r="B273" s="286"/>
      <c r="C273" s="296"/>
      <c r="D273" s="280"/>
      <c r="E273" s="286"/>
      <c r="F273" s="336"/>
      <c r="G273" s="119" t="s">
        <v>78</v>
      </c>
      <c r="H273" s="116" t="s">
        <v>666</v>
      </c>
      <c r="I273" s="86">
        <f>D271*K273</f>
        <v>6301.8</v>
      </c>
      <c r="J273" s="86">
        <f>I273/D271</f>
        <v>20</v>
      </c>
      <c r="K273" s="86">
        <f>18+2</f>
        <v>20</v>
      </c>
    </row>
    <row r="274" spans="1:23" s="92" customFormat="1" ht="31" x14ac:dyDescent="0.3">
      <c r="A274" s="286"/>
      <c r="B274" s="286"/>
      <c r="C274" s="296"/>
      <c r="D274" s="280"/>
      <c r="E274" s="286"/>
      <c r="F274" s="336"/>
      <c r="G274" s="119" t="s">
        <v>90</v>
      </c>
      <c r="H274" s="116" t="s">
        <v>666</v>
      </c>
      <c r="I274" s="86">
        <f>D271*K274</f>
        <v>6301.8</v>
      </c>
      <c r="J274" s="86">
        <f>I274/D271</f>
        <v>20</v>
      </c>
      <c r="K274" s="86">
        <f>18+2</f>
        <v>20</v>
      </c>
    </row>
    <row r="275" spans="1:23" s="92" customFormat="1" ht="15.75" customHeight="1" x14ac:dyDescent="0.3">
      <c r="A275" s="285">
        <f>A271+1</f>
        <v>49</v>
      </c>
      <c r="B275" s="285">
        <v>6524</v>
      </c>
      <c r="C275" s="295" t="s">
        <v>238</v>
      </c>
      <c r="D275" s="279">
        <v>536.63</v>
      </c>
      <c r="E275" s="279" t="s">
        <v>665</v>
      </c>
      <c r="F275" s="335">
        <v>2</v>
      </c>
      <c r="G275" s="15"/>
      <c r="H275" s="116" t="s">
        <v>73</v>
      </c>
      <c r="I275" s="86">
        <f>SUM(I276:I276)</f>
        <v>62785.71</v>
      </c>
      <c r="J275" s="86">
        <f>SUM(J276:J276)</f>
        <v>117</v>
      </c>
      <c r="K275" s="86">
        <f>SUM(K276:K276)</f>
        <v>117</v>
      </c>
    </row>
    <row r="276" spans="1:23" s="92" customFormat="1" ht="31" x14ac:dyDescent="0.3">
      <c r="A276" s="286"/>
      <c r="B276" s="286"/>
      <c r="C276" s="296"/>
      <c r="D276" s="280"/>
      <c r="E276" s="280"/>
      <c r="F276" s="336"/>
      <c r="G276" s="119" t="s">
        <v>77</v>
      </c>
      <c r="H276" s="116" t="s">
        <v>666</v>
      </c>
      <c r="I276" s="86">
        <f>D275*K276</f>
        <v>62785.71</v>
      </c>
      <c r="J276" s="86">
        <f>I276/D275</f>
        <v>117</v>
      </c>
      <c r="K276" s="86">
        <f>108+9</f>
        <v>117</v>
      </c>
    </row>
    <row r="277" spans="1:23" ht="15.75" customHeight="1" x14ac:dyDescent="0.35">
      <c r="A277" s="155" t="s">
        <v>46</v>
      </c>
      <c r="B277" s="213"/>
      <c r="C277" s="156"/>
      <c r="D277" s="142">
        <f>D278+D281+D284+D287+D289+D291+D293+D296+D309+D316+D329+D345+D361+D368+D371+D374</f>
        <v>72009.69</v>
      </c>
      <c r="E277" s="142"/>
      <c r="F277" s="142"/>
      <c r="G277" s="125"/>
      <c r="H277" s="162"/>
      <c r="I277" s="158">
        <f>I278+I281+I284+I287+I289+I291+I293+I296+I309+I316+I329+I345+I361+I368+I371+I374</f>
        <v>60922927.520000003</v>
      </c>
      <c r="J277" s="158"/>
      <c r="K277" s="158"/>
    </row>
    <row r="278" spans="1:23" ht="15.75" customHeight="1" x14ac:dyDescent="0.35">
      <c r="A278" s="251">
        <v>1</v>
      </c>
      <c r="B278" s="251">
        <v>5082</v>
      </c>
      <c r="C278" s="252" t="s">
        <v>240</v>
      </c>
      <c r="D278" s="253">
        <v>717.5</v>
      </c>
      <c r="E278" s="253" t="s">
        <v>75</v>
      </c>
      <c r="F278" s="255">
        <v>2</v>
      </c>
      <c r="G278" s="251" t="s">
        <v>72</v>
      </c>
      <c r="H278" s="159" t="s">
        <v>73</v>
      </c>
      <c r="I278" s="158">
        <f>I279+I280</f>
        <v>3338119.86</v>
      </c>
      <c r="J278" s="158">
        <f>J279+J280</f>
        <v>4652.43</v>
      </c>
      <c r="K278" s="158">
        <f>K279+K280</f>
        <v>7539</v>
      </c>
      <c r="L278" s="7"/>
      <c r="M278" s="7"/>
      <c r="N278" s="7"/>
      <c r="O278" s="7"/>
      <c r="P278" s="7"/>
      <c r="Q278" s="7"/>
      <c r="R278" s="7"/>
      <c r="S278" s="7"/>
      <c r="T278" s="7"/>
      <c r="U278" s="7"/>
      <c r="V278" s="7"/>
      <c r="W278" s="7"/>
    </row>
    <row r="279" spans="1:23" x14ac:dyDescent="0.35">
      <c r="A279" s="251"/>
      <c r="B279" s="251"/>
      <c r="C279" s="252"/>
      <c r="D279" s="253"/>
      <c r="E279" s="253"/>
      <c r="F279" s="255"/>
      <c r="G279" s="251"/>
      <c r="H279" s="159" t="s">
        <v>74</v>
      </c>
      <c r="I279" s="158">
        <v>3268865.67</v>
      </c>
      <c r="J279" s="158">
        <f>I279/D278</f>
        <v>4555.91</v>
      </c>
      <c r="K279" s="158">
        <v>7381</v>
      </c>
      <c r="L279" s="7"/>
      <c r="M279" s="7"/>
      <c r="N279" s="7"/>
      <c r="O279" s="7"/>
      <c r="P279" s="7"/>
      <c r="Q279" s="7"/>
      <c r="R279" s="7"/>
      <c r="S279" s="7"/>
      <c r="T279" s="7"/>
      <c r="U279" s="7"/>
      <c r="V279" s="7"/>
      <c r="W279" s="7"/>
    </row>
    <row r="280" spans="1:23" x14ac:dyDescent="0.35">
      <c r="A280" s="251"/>
      <c r="B280" s="251"/>
      <c r="C280" s="252"/>
      <c r="D280" s="253"/>
      <c r="E280" s="253"/>
      <c r="F280" s="255"/>
      <c r="G280" s="251"/>
      <c r="H280" s="159" t="s">
        <v>76</v>
      </c>
      <c r="I280" s="158">
        <v>69254.19</v>
      </c>
      <c r="J280" s="158">
        <f>I280/D278</f>
        <v>96.52</v>
      </c>
      <c r="K280" s="158">
        <v>158</v>
      </c>
      <c r="L280" s="7"/>
      <c r="M280" s="7"/>
      <c r="N280" s="7"/>
      <c r="O280" s="7"/>
      <c r="P280" s="7"/>
      <c r="Q280" s="7"/>
      <c r="R280" s="7"/>
      <c r="S280" s="7"/>
      <c r="T280" s="7"/>
      <c r="U280" s="7"/>
      <c r="V280" s="7"/>
      <c r="W280" s="7"/>
    </row>
    <row r="281" spans="1:23" ht="15.75" customHeight="1" x14ac:dyDescent="0.35">
      <c r="A281" s="251">
        <v>2</v>
      </c>
      <c r="B281" s="251">
        <v>5083</v>
      </c>
      <c r="C281" s="252" t="s">
        <v>689</v>
      </c>
      <c r="D281" s="253">
        <v>712.5</v>
      </c>
      <c r="E281" s="253" t="s">
        <v>75</v>
      </c>
      <c r="F281" s="255">
        <v>2</v>
      </c>
      <c r="G281" s="251" t="s">
        <v>72</v>
      </c>
      <c r="H281" s="159" t="s">
        <v>73</v>
      </c>
      <c r="I281" s="158">
        <f>SUM(I282:I283)</f>
        <v>3137638.98</v>
      </c>
      <c r="J281" s="158">
        <f>SUM(J282:J283)</f>
        <v>4403.7</v>
      </c>
      <c r="K281" s="158">
        <f>SUM(K282:K283)</f>
        <v>7539</v>
      </c>
      <c r="L281" s="7"/>
      <c r="M281" s="7"/>
      <c r="N281" s="7"/>
      <c r="O281" s="7"/>
      <c r="P281" s="7"/>
      <c r="Q281" s="7"/>
      <c r="R281" s="7"/>
      <c r="S281" s="7"/>
      <c r="T281" s="7"/>
      <c r="U281" s="7"/>
      <c r="V281" s="7"/>
      <c r="W281" s="7"/>
    </row>
    <row r="282" spans="1:23" x14ac:dyDescent="0.35">
      <c r="A282" s="251">
        <v>275</v>
      </c>
      <c r="B282" s="251"/>
      <c r="C282" s="252"/>
      <c r="D282" s="253"/>
      <c r="E282" s="253"/>
      <c r="F282" s="255"/>
      <c r="G282" s="251"/>
      <c r="H282" s="159" t="s">
        <v>74</v>
      </c>
      <c r="I282" s="158">
        <v>3072544.06</v>
      </c>
      <c r="J282" s="158">
        <f>I282/D281</f>
        <v>4312.34</v>
      </c>
      <c r="K282" s="158">
        <v>7381</v>
      </c>
      <c r="L282" s="7"/>
      <c r="M282" s="7"/>
      <c r="N282" s="7"/>
      <c r="O282" s="7"/>
      <c r="P282" s="7"/>
      <c r="Q282" s="7"/>
      <c r="R282" s="7"/>
      <c r="S282" s="7"/>
      <c r="T282" s="7"/>
      <c r="U282" s="7"/>
      <c r="V282" s="7"/>
      <c r="W282" s="7"/>
    </row>
    <row r="283" spans="1:23" x14ac:dyDescent="0.35">
      <c r="A283" s="251">
        <v>276</v>
      </c>
      <c r="B283" s="251"/>
      <c r="C283" s="252"/>
      <c r="D283" s="253"/>
      <c r="E283" s="253"/>
      <c r="F283" s="255"/>
      <c r="G283" s="251"/>
      <c r="H283" s="159" t="s">
        <v>76</v>
      </c>
      <c r="I283" s="158">
        <v>65094.92</v>
      </c>
      <c r="J283" s="158">
        <f>I283/D281</f>
        <v>91.36</v>
      </c>
      <c r="K283" s="158">
        <v>158</v>
      </c>
      <c r="L283" s="7"/>
      <c r="M283" s="7"/>
      <c r="N283" s="7"/>
      <c r="O283" s="7"/>
      <c r="P283" s="7"/>
      <c r="Q283" s="7"/>
      <c r="R283" s="7"/>
      <c r="S283" s="7"/>
      <c r="T283" s="7"/>
      <c r="U283" s="7"/>
      <c r="V283" s="7"/>
      <c r="W283" s="7"/>
    </row>
    <row r="284" spans="1:23" ht="15.75" customHeight="1" x14ac:dyDescent="0.35">
      <c r="A284" s="285">
        <f>A281+1</f>
        <v>3</v>
      </c>
      <c r="B284" s="285">
        <v>5112</v>
      </c>
      <c r="C284" s="295" t="s">
        <v>690</v>
      </c>
      <c r="D284" s="279">
        <v>745.9</v>
      </c>
      <c r="E284" s="279" t="s">
        <v>75</v>
      </c>
      <c r="F284" s="291">
        <v>2</v>
      </c>
      <c r="G284" s="285" t="s">
        <v>87</v>
      </c>
      <c r="H284" s="116" t="s">
        <v>73</v>
      </c>
      <c r="I284" s="86">
        <f>I285+I286</f>
        <v>495210.47</v>
      </c>
      <c r="J284" s="86">
        <f>J285+J286</f>
        <v>663.91</v>
      </c>
      <c r="K284" s="86">
        <f>K285+K286</f>
        <v>664</v>
      </c>
      <c r="L284" s="7"/>
      <c r="M284" s="7"/>
      <c r="N284" s="7"/>
      <c r="O284" s="7"/>
      <c r="P284" s="7"/>
      <c r="Q284" s="7"/>
      <c r="R284" s="7"/>
      <c r="S284" s="7"/>
      <c r="T284" s="7"/>
      <c r="U284" s="7"/>
      <c r="V284" s="7"/>
      <c r="W284" s="7"/>
    </row>
    <row r="285" spans="1:23" x14ac:dyDescent="0.35">
      <c r="A285" s="286">
        <v>273</v>
      </c>
      <c r="B285" s="286"/>
      <c r="C285" s="296"/>
      <c r="D285" s="280"/>
      <c r="E285" s="280"/>
      <c r="F285" s="292"/>
      <c r="G285" s="286"/>
      <c r="H285" s="116" t="s">
        <v>74</v>
      </c>
      <c r="I285" s="86">
        <f>745.9*650</f>
        <v>484835</v>
      </c>
      <c r="J285" s="86">
        <f>I285/D284</f>
        <v>650</v>
      </c>
      <c r="K285" s="86">
        <v>650</v>
      </c>
      <c r="L285" s="7"/>
      <c r="M285" s="7"/>
      <c r="N285" s="7"/>
      <c r="O285" s="7"/>
      <c r="P285" s="7"/>
      <c r="Q285" s="7"/>
      <c r="R285" s="7"/>
      <c r="S285" s="7"/>
      <c r="T285" s="7"/>
      <c r="U285" s="7"/>
      <c r="V285" s="7"/>
      <c r="W285" s="7"/>
    </row>
    <row r="286" spans="1:23" x14ac:dyDescent="0.35">
      <c r="A286" s="287">
        <v>274</v>
      </c>
      <c r="B286" s="287"/>
      <c r="C286" s="297"/>
      <c r="D286" s="281"/>
      <c r="E286" s="281"/>
      <c r="F286" s="294"/>
      <c r="G286" s="287"/>
      <c r="H286" s="116" t="s">
        <v>76</v>
      </c>
      <c r="I286" s="86">
        <f>I285*0.0214</f>
        <v>10375.469999999999</v>
      </c>
      <c r="J286" s="86">
        <f>I286/D284</f>
        <v>13.91</v>
      </c>
      <c r="K286" s="86">
        <v>14</v>
      </c>
      <c r="L286" s="7"/>
      <c r="M286" s="7"/>
      <c r="N286" s="7"/>
      <c r="O286" s="7"/>
      <c r="P286" s="7"/>
      <c r="Q286" s="7"/>
      <c r="R286" s="7"/>
      <c r="S286" s="7"/>
      <c r="T286" s="7"/>
      <c r="U286" s="7"/>
      <c r="V286" s="7"/>
      <c r="W286" s="7"/>
    </row>
    <row r="287" spans="1:23" ht="15.75" customHeight="1" x14ac:dyDescent="0.35">
      <c r="A287" s="256">
        <f>A284+1</f>
        <v>4</v>
      </c>
      <c r="B287" s="298">
        <v>5130</v>
      </c>
      <c r="C287" s="259" t="s">
        <v>244</v>
      </c>
      <c r="D287" s="262">
        <v>7561.6</v>
      </c>
      <c r="E287" s="262" t="s">
        <v>75</v>
      </c>
      <c r="F287" s="265">
        <v>9</v>
      </c>
      <c r="G287" s="256" t="s">
        <v>72</v>
      </c>
      <c r="H287" s="159" t="s">
        <v>73</v>
      </c>
      <c r="I287" s="158">
        <f>I288</f>
        <v>609463.23</v>
      </c>
      <c r="J287" s="158">
        <f>J288</f>
        <v>80.599999999999994</v>
      </c>
      <c r="K287" s="158">
        <f>K288</f>
        <v>167</v>
      </c>
      <c r="L287" s="7"/>
      <c r="M287" s="7"/>
      <c r="N287" s="7"/>
      <c r="O287" s="7"/>
      <c r="P287" s="7"/>
      <c r="Q287" s="7"/>
      <c r="R287" s="7"/>
      <c r="S287" s="7"/>
      <c r="T287" s="7"/>
      <c r="U287" s="7"/>
      <c r="V287" s="7"/>
      <c r="W287" s="7"/>
    </row>
    <row r="288" spans="1:23" ht="48.75" customHeight="1" x14ac:dyDescent="0.35">
      <c r="A288" s="257"/>
      <c r="B288" s="300"/>
      <c r="C288" s="260"/>
      <c r="D288" s="263"/>
      <c r="E288" s="263"/>
      <c r="F288" s="266"/>
      <c r="G288" s="257"/>
      <c r="H288" s="159" t="s">
        <v>705</v>
      </c>
      <c r="I288" s="158">
        <f>511162.43+D287*13</f>
        <v>609463.23</v>
      </c>
      <c r="J288" s="158">
        <f>I288/D287</f>
        <v>80.599999999999994</v>
      </c>
      <c r="K288" s="158">
        <f>154+13</f>
        <v>167</v>
      </c>
      <c r="L288" s="7"/>
      <c r="M288" s="7"/>
      <c r="N288" s="7"/>
      <c r="O288" s="7"/>
      <c r="P288" s="7"/>
      <c r="Q288" s="7"/>
      <c r="R288" s="7"/>
      <c r="S288" s="7"/>
      <c r="T288" s="7"/>
      <c r="U288" s="7"/>
      <c r="V288" s="7"/>
      <c r="W288" s="7"/>
    </row>
    <row r="289" spans="1:23" ht="15.75" customHeight="1" x14ac:dyDescent="0.35">
      <c r="A289" s="256">
        <f>A287+1</f>
        <v>5</v>
      </c>
      <c r="B289" s="256">
        <v>5131</v>
      </c>
      <c r="C289" s="259" t="s">
        <v>245</v>
      </c>
      <c r="D289" s="262">
        <v>8069.69</v>
      </c>
      <c r="E289" s="262" t="s">
        <v>75</v>
      </c>
      <c r="F289" s="265">
        <v>9</v>
      </c>
      <c r="G289" s="256" t="s">
        <v>72</v>
      </c>
      <c r="H289" s="159" t="s">
        <v>73</v>
      </c>
      <c r="I289" s="158">
        <f>I290</f>
        <v>620176.25</v>
      </c>
      <c r="J289" s="158">
        <f>J290</f>
        <v>76.849999999999994</v>
      </c>
      <c r="K289" s="158">
        <f>K290</f>
        <v>167</v>
      </c>
      <c r="L289" s="7"/>
      <c r="M289" s="7"/>
      <c r="N289" s="7"/>
      <c r="O289" s="7"/>
      <c r="P289" s="7"/>
      <c r="Q289" s="7"/>
      <c r="R289" s="7"/>
      <c r="S289" s="7"/>
      <c r="T289" s="7"/>
      <c r="U289" s="7"/>
      <c r="V289" s="7"/>
      <c r="W289" s="7"/>
    </row>
    <row r="290" spans="1:23" ht="49.5" customHeight="1" x14ac:dyDescent="0.35">
      <c r="A290" s="257"/>
      <c r="B290" s="257"/>
      <c r="C290" s="260"/>
      <c r="D290" s="263"/>
      <c r="E290" s="263"/>
      <c r="F290" s="266"/>
      <c r="G290" s="257"/>
      <c r="H290" s="159" t="s">
        <v>705</v>
      </c>
      <c r="I290" s="158">
        <f>515270.28+D289*13</f>
        <v>620176.25</v>
      </c>
      <c r="J290" s="158">
        <f>I290/D289</f>
        <v>76.849999999999994</v>
      </c>
      <c r="K290" s="158">
        <f>154+13</f>
        <v>167</v>
      </c>
      <c r="L290" s="7"/>
      <c r="M290" s="7"/>
      <c r="N290" s="7"/>
      <c r="O290" s="7"/>
      <c r="P290" s="7"/>
      <c r="Q290" s="7"/>
      <c r="R290" s="7"/>
      <c r="S290" s="7"/>
      <c r="T290" s="7"/>
      <c r="U290" s="7"/>
      <c r="V290" s="7"/>
      <c r="W290" s="7"/>
    </row>
    <row r="291" spans="1:23" ht="15.75" customHeight="1" x14ac:dyDescent="0.35">
      <c r="A291" s="251">
        <f>A289+1</f>
        <v>6</v>
      </c>
      <c r="B291" s="251">
        <v>5133</v>
      </c>
      <c r="C291" s="252" t="s">
        <v>246</v>
      </c>
      <c r="D291" s="253">
        <v>8595.5</v>
      </c>
      <c r="E291" s="253" t="s">
        <v>75</v>
      </c>
      <c r="F291" s="255">
        <v>9</v>
      </c>
      <c r="G291" s="251" t="s">
        <v>72</v>
      </c>
      <c r="H291" s="159" t="s">
        <v>73</v>
      </c>
      <c r="I291" s="158">
        <f>I292</f>
        <v>643754.97</v>
      </c>
      <c r="J291" s="158">
        <f>J292</f>
        <v>74.89</v>
      </c>
      <c r="K291" s="158">
        <f>K292</f>
        <v>167</v>
      </c>
      <c r="L291" s="7"/>
      <c r="M291" s="7"/>
      <c r="N291" s="7"/>
      <c r="O291" s="7"/>
      <c r="P291" s="7"/>
      <c r="Q291" s="7"/>
      <c r="R291" s="7"/>
      <c r="S291" s="7"/>
      <c r="T291" s="7"/>
      <c r="U291" s="7"/>
      <c r="V291" s="7"/>
      <c r="W291" s="7"/>
    </row>
    <row r="292" spans="1:23" ht="49.5" customHeight="1" x14ac:dyDescent="0.35">
      <c r="A292" s="251">
        <v>275</v>
      </c>
      <c r="B292" s="251"/>
      <c r="C292" s="252"/>
      <c r="D292" s="253"/>
      <c r="E292" s="253"/>
      <c r="F292" s="255"/>
      <c r="G292" s="251"/>
      <c r="H292" s="159" t="s">
        <v>705</v>
      </c>
      <c r="I292" s="158">
        <f>532013.47+D291*13</f>
        <v>643754.97</v>
      </c>
      <c r="J292" s="158">
        <f>I292/D291</f>
        <v>74.89</v>
      </c>
      <c r="K292" s="158">
        <f>154+13</f>
        <v>167</v>
      </c>
      <c r="L292" s="7"/>
      <c r="M292" s="7"/>
      <c r="N292" s="7"/>
      <c r="O292" s="7"/>
      <c r="P292" s="7"/>
      <c r="Q292" s="7"/>
      <c r="R292" s="7"/>
      <c r="S292" s="7"/>
      <c r="T292" s="7"/>
      <c r="U292" s="7"/>
      <c r="V292" s="7"/>
      <c r="W292" s="7"/>
    </row>
    <row r="293" spans="1:23" ht="15.75" customHeight="1" x14ac:dyDescent="0.35">
      <c r="A293" s="251">
        <f>A291+1</f>
        <v>7</v>
      </c>
      <c r="B293" s="251">
        <v>5163</v>
      </c>
      <c r="C293" s="252" t="s">
        <v>247</v>
      </c>
      <c r="D293" s="253">
        <v>2678.3</v>
      </c>
      <c r="E293" s="253" t="s">
        <v>75</v>
      </c>
      <c r="F293" s="255">
        <v>5</v>
      </c>
      <c r="G293" s="251" t="s">
        <v>72</v>
      </c>
      <c r="H293" s="159" t="s">
        <v>73</v>
      </c>
      <c r="I293" s="158">
        <f>I294+I295</f>
        <v>5080960.6500000004</v>
      </c>
      <c r="J293" s="158">
        <f>J294+J295</f>
        <v>1897.08</v>
      </c>
      <c r="K293" s="158">
        <f>K294+K295</f>
        <v>3067</v>
      </c>
      <c r="L293" s="7"/>
      <c r="M293" s="7"/>
      <c r="N293" s="7"/>
      <c r="O293" s="7"/>
      <c r="P293" s="7"/>
      <c r="Q293" s="7"/>
      <c r="R293" s="7"/>
      <c r="S293" s="7"/>
      <c r="T293" s="7"/>
      <c r="U293" s="7"/>
      <c r="V293" s="7"/>
      <c r="W293" s="7"/>
    </row>
    <row r="294" spans="1:23" x14ac:dyDescent="0.35">
      <c r="A294" s="251"/>
      <c r="B294" s="251"/>
      <c r="C294" s="252"/>
      <c r="D294" s="253"/>
      <c r="E294" s="253"/>
      <c r="F294" s="255"/>
      <c r="G294" s="251"/>
      <c r="H294" s="159" t="s">
        <v>74</v>
      </c>
      <c r="I294" s="158">
        <v>4975548.8</v>
      </c>
      <c r="J294" s="158">
        <f>I294/D293-0.01</f>
        <v>1857.72</v>
      </c>
      <c r="K294" s="158">
        <v>3003</v>
      </c>
      <c r="L294" s="7"/>
      <c r="M294" s="7"/>
      <c r="N294" s="7"/>
      <c r="O294" s="7"/>
      <c r="P294" s="7"/>
      <c r="Q294" s="7"/>
      <c r="R294" s="7"/>
      <c r="S294" s="7"/>
      <c r="T294" s="7"/>
      <c r="U294" s="7"/>
      <c r="V294" s="7"/>
      <c r="W294" s="7"/>
    </row>
    <row r="295" spans="1:23" x14ac:dyDescent="0.35">
      <c r="A295" s="251"/>
      <c r="B295" s="251"/>
      <c r="C295" s="252"/>
      <c r="D295" s="253"/>
      <c r="E295" s="253"/>
      <c r="F295" s="255"/>
      <c r="G295" s="251"/>
      <c r="H295" s="159" t="s">
        <v>76</v>
      </c>
      <c r="I295" s="158">
        <v>105411.85</v>
      </c>
      <c r="J295" s="158">
        <f>I295/D293</f>
        <v>39.36</v>
      </c>
      <c r="K295" s="158">
        <v>64</v>
      </c>
      <c r="L295" s="7"/>
      <c r="M295" s="7"/>
      <c r="N295" s="7"/>
      <c r="O295" s="7"/>
      <c r="P295" s="7"/>
      <c r="Q295" s="7"/>
      <c r="R295" s="7"/>
      <c r="S295" s="7"/>
      <c r="T295" s="7"/>
      <c r="U295" s="7"/>
      <c r="V295" s="7"/>
      <c r="W295" s="7"/>
    </row>
    <row r="296" spans="1:23" ht="15.75" customHeight="1" x14ac:dyDescent="0.35">
      <c r="A296" s="256">
        <f>A293+1</f>
        <v>8</v>
      </c>
      <c r="B296" s="256">
        <v>5166</v>
      </c>
      <c r="C296" s="259" t="s">
        <v>248</v>
      </c>
      <c r="D296" s="262">
        <v>8014.4</v>
      </c>
      <c r="E296" s="262" t="s">
        <v>71</v>
      </c>
      <c r="F296" s="265">
        <v>9</v>
      </c>
      <c r="G296" s="144"/>
      <c r="H296" s="159" t="s">
        <v>73</v>
      </c>
      <c r="I296" s="158">
        <f>SUM(I297:I308)</f>
        <v>7002104</v>
      </c>
      <c r="J296" s="158">
        <f>SUM(J297:J308)</f>
        <v>873.69</v>
      </c>
      <c r="K296" s="158">
        <f>SUM(K297:K308)</f>
        <v>885.96</v>
      </c>
      <c r="L296" s="7"/>
      <c r="M296" s="7"/>
      <c r="N296" s="7"/>
      <c r="O296" s="7"/>
      <c r="P296" s="7"/>
      <c r="Q296" s="7"/>
      <c r="R296" s="7"/>
      <c r="S296" s="7"/>
      <c r="T296" s="7"/>
      <c r="U296" s="7"/>
      <c r="V296" s="7"/>
      <c r="W296" s="7"/>
    </row>
    <row r="297" spans="1:23" ht="31.5" customHeight="1" x14ac:dyDescent="0.35">
      <c r="A297" s="257"/>
      <c r="B297" s="257"/>
      <c r="C297" s="260"/>
      <c r="D297" s="263"/>
      <c r="E297" s="263"/>
      <c r="F297" s="266"/>
      <c r="G297" s="256" t="s">
        <v>673</v>
      </c>
      <c r="H297" s="159" t="s">
        <v>666</v>
      </c>
      <c r="I297" s="158">
        <v>0</v>
      </c>
      <c r="J297" s="158">
        <v>0</v>
      </c>
      <c r="K297" s="158">
        <f>24580/D296-0.01</f>
        <v>3.06</v>
      </c>
      <c r="L297" s="7"/>
      <c r="M297" s="7"/>
      <c r="N297" s="7"/>
      <c r="O297" s="7"/>
      <c r="P297" s="7"/>
      <c r="Q297" s="7"/>
      <c r="R297" s="7"/>
      <c r="S297" s="7"/>
      <c r="T297" s="7"/>
      <c r="U297" s="7"/>
      <c r="V297" s="7"/>
      <c r="W297" s="7"/>
    </row>
    <row r="298" spans="1:23" x14ac:dyDescent="0.35">
      <c r="A298" s="257"/>
      <c r="B298" s="257"/>
      <c r="C298" s="260"/>
      <c r="D298" s="263"/>
      <c r="E298" s="263"/>
      <c r="F298" s="266"/>
      <c r="G298" s="257"/>
      <c r="H298" s="159" t="s">
        <v>674</v>
      </c>
      <c r="I298" s="158">
        <v>1713850</v>
      </c>
      <c r="J298" s="158">
        <f>I298/D296</f>
        <v>213.85</v>
      </c>
      <c r="K298" s="158">
        <f>1713850/D296</f>
        <v>213.85</v>
      </c>
      <c r="L298" s="7"/>
      <c r="M298" s="7"/>
      <c r="N298" s="7"/>
      <c r="O298" s="7"/>
      <c r="P298" s="7"/>
      <c r="Q298" s="7"/>
      <c r="R298" s="7"/>
      <c r="S298" s="7"/>
      <c r="T298" s="7"/>
      <c r="U298" s="7"/>
      <c r="V298" s="7"/>
      <c r="W298" s="7"/>
    </row>
    <row r="299" spans="1:23" x14ac:dyDescent="0.35">
      <c r="A299" s="257"/>
      <c r="B299" s="257"/>
      <c r="C299" s="260"/>
      <c r="D299" s="263"/>
      <c r="E299" s="263"/>
      <c r="F299" s="266"/>
      <c r="G299" s="258"/>
      <c r="H299" s="159" t="s">
        <v>76</v>
      </c>
      <c r="I299" s="158">
        <v>36676</v>
      </c>
      <c r="J299" s="158">
        <f>I299/D296</f>
        <v>4.58</v>
      </c>
      <c r="K299" s="158">
        <f>36676/D296</f>
        <v>4.58</v>
      </c>
      <c r="L299" s="7"/>
      <c r="M299" s="7"/>
      <c r="N299" s="7"/>
      <c r="O299" s="7"/>
      <c r="P299" s="7"/>
      <c r="Q299" s="7"/>
      <c r="R299" s="7"/>
      <c r="S299" s="7"/>
      <c r="T299" s="7"/>
      <c r="U299" s="7"/>
      <c r="V299" s="7"/>
      <c r="W299" s="7"/>
    </row>
    <row r="300" spans="1:23" ht="31.5" customHeight="1" x14ac:dyDescent="0.35">
      <c r="A300" s="257"/>
      <c r="B300" s="257"/>
      <c r="C300" s="260"/>
      <c r="D300" s="263"/>
      <c r="E300" s="263"/>
      <c r="F300" s="266"/>
      <c r="G300" s="256" t="s">
        <v>679</v>
      </c>
      <c r="H300" s="159" t="s">
        <v>666</v>
      </c>
      <c r="I300" s="158">
        <v>0</v>
      </c>
      <c r="J300" s="158">
        <v>0</v>
      </c>
      <c r="K300" s="158">
        <f>24580/D296-0.01</f>
        <v>3.06</v>
      </c>
      <c r="L300" s="7"/>
      <c r="M300" s="7"/>
      <c r="N300" s="7"/>
      <c r="O300" s="7"/>
      <c r="P300" s="7"/>
      <c r="Q300" s="7"/>
      <c r="R300" s="7"/>
      <c r="S300" s="7"/>
      <c r="T300" s="7"/>
      <c r="U300" s="7"/>
      <c r="V300" s="7"/>
      <c r="W300" s="7"/>
    </row>
    <row r="301" spans="1:23" x14ac:dyDescent="0.35">
      <c r="A301" s="257"/>
      <c r="B301" s="257"/>
      <c r="C301" s="260"/>
      <c r="D301" s="263"/>
      <c r="E301" s="263"/>
      <c r="F301" s="266"/>
      <c r="G301" s="257"/>
      <c r="H301" s="159" t="s">
        <v>674</v>
      </c>
      <c r="I301" s="158">
        <v>1713850</v>
      </c>
      <c r="J301" s="158">
        <f>I301/D296-0.01</f>
        <v>213.84</v>
      </c>
      <c r="K301" s="158">
        <f>1713850/D296</f>
        <v>213.85</v>
      </c>
      <c r="L301" s="7"/>
      <c r="M301" s="7"/>
      <c r="N301" s="7"/>
      <c r="O301" s="7"/>
      <c r="P301" s="7"/>
      <c r="Q301" s="7"/>
      <c r="R301" s="7"/>
      <c r="S301" s="7"/>
      <c r="T301" s="7"/>
      <c r="U301" s="7"/>
      <c r="V301" s="7"/>
      <c r="W301" s="7"/>
    </row>
    <row r="302" spans="1:23" x14ac:dyDescent="0.35">
      <c r="A302" s="257"/>
      <c r="B302" s="257"/>
      <c r="C302" s="260"/>
      <c r="D302" s="263"/>
      <c r="E302" s="263"/>
      <c r="F302" s="266"/>
      <c r="G302" s="258"/>
      <c r="H302" s="159" t="s">
        <v>76</v>
      </c>
      <c r="I302" s="158">
        <v>36676</v>
      </c>
      <c r="J302" s="158">
        <f>I302/D296</f>
        <v>4.58</v>
      </c>
      <c r="K302" s="158">
        <f>36676/D296</f>
        <v>4.58</v>
      </c>
      <c r="L302" s="7"/>
      <c r="M302" s="7"/>
      <c r="N302" s="7"/>
      <c r="O302" s="7"/>
      <c r="P302" s="7"/>
      <c r="Q302" s="7"/>
      <c r="R302" s="7"/>
      <c r="S302" s="7"/>
      <c r="T302" s="7"/>
      <c r="U302" s="7"/>
      <c r="V302" s="7"/>
      <c r="W302" s="7"/>
    </row>
    <row r="303" spans="1:23" ht="31.5" customHeight="1" x14ac:dyDescent="0.35">
      <c r="A303" s="257"/>
      <c r="B303" s="257"/>
      <c r="C303" s="260"/>
      <c r="D303" s="263"/>
      <c r="E303" s="263"/>
      <c r="F303" s="266"/>
      <c r="G303" s="256" t="s">
        <v>680</v>
      </c>
      <c r="H303" s="159" t="s">
        <v>666</v>
      </c>
      <c r="I303" s="158">
        <v>0</v>
      </c>
      <c r="J303" s="158">
        <v>0</v>
      </c>
      <c r="K303" s="158">
        <f>24580/D296-0.01</f>
        <v>3.06</v>
      </c>
      <c r="L303" s="7"/>
      <c r="M303" s="7"/>
      <c r="N303" s="7"/>
      <c r="O303" s="7"/>
      <c r="P303" s="7"/>
      <c r="Q303" s="7"/>
      <c r="R303" s="7"/>
      <c r="S303" s="7"/>
      <c r="T303" s="7"/>
      <c r="U303" s="7"/>
      <c r="V303" s="7"/>
      <c r="W303" s="7"/>
    </row>
    <row r="304" spans="1:23" x14ac:dyDescent="0.35">
      <c r="A304" s="257"/>
      <c r="B304" s="257"/>
      <c r="C304" s="260"/>
      <c r="D304" s="263"/>
      <c r="E304" s="263"/>
      <c r="F304" s="266"/>
      <c r="G304" s="257"/>
      <c r="H304" s="159" t="s">
        <v>674</v>
      </c>
      <c r="I304" s="158">
        <v>1713850</v>
      </c>
      <c r="J304" s="158">
        <f>I304/D296-0.01</f>
        <v>213.84</v>
      </c>
      <c r="K304" s="158">
        <f>1713850/D296</f>
        <v>213.85</v>
      </c>
      <c r="L304" s="7"/>
      <c r="M304" s="7"/>
      <c r="N304" s="7"/>
      <c r="O304" s="7"/>
      <c r="P304" s="7"/>
      <c r="Q304" s="7"/>
      <c r="R304" s="7"/>
      <c r="S304" s="7"/>
      <c r="T304" s="7"/>
      <c r="U304" s="7"/>
      <c r="V304" s="7"/>
      <c r="W304" s="7"/>
    </row>
    <row r="305" spans="1:23" x14ac:dyDescent="0.35">
      <c r="A305" s="257"/>
      <c r="B305" s="257"/>
      <c r="C305" s="260"/>
      <c r="D305" s="263"/>
      <c r="E305" s="263"/>
      <c r="F305" s="266"/>
      <c r="G305" s="258"/>
      <c r="H305" s="159" t="s">
        <v>76</v>
      </c>
      <c r="I305" s="158">
        <v>36676</v>
      </c>
      <c r="J305" s="158">
        <f>I305/D296</f>
        <v>4.58</v>
      </c>
      <c r="K305" s="158">
        <f>36676/D296</f>
        <v>4.58</v>
      </c>
      <c r="L305" s="7"/>
      <c r="M305" s="7"/>
      <c r="N305" s="7"/>
      <c r="O305" s="7"/>
      <c r="P305" s="7"/>
      <c r="Q305" s="7"/>
      <c r="R305" s="7"/>
      <c r="S305" s="7"/>
      <c r="T305" s="7"/>
      <c r="U305" s="7"/>
      <c r="V305" s="7"/>
      <c r="W305" s="7"/>
    </row>
    <row r="306" spans="1:23" ht="31.5" customHeight="1" x14ac:dyDescent="0.35">
      <c r="A306" s="257"/>
      <c r="B306" s="257"/>
      <c r="C306" s="260"/>
      <c r="D306" s="263"/>
      <c r="E306" s="263"/>
      <c r="F306" s="266"/>
      <c r="G306" s="256" t="s">
        <v>681</v>
      </c>
      <c r="H306" s="159" t="s">
        <v>666</v>
      </c>
      <c r="I306" s="158">
        <v>0</v>
      </c>
      <c r="J306" s="158">
        <v>0</v>
      </c>
      <c r="K306" s="158">
        <f>24580/D296</f>
        <v>3.07</v>
      </c>
      <c r="L306" s="7"/>
      <c r="M306" s="7"/>
      <c r="N306" s="7"/>
      <c r="O306" s="7"/>
      <c r="P306" s="7"/>
      <c r="Q306" s="7"/>
      <c r="R306" s="7"/>
      <c r="S306" s="7"/>
      <c r="T306" s="7"/>
      <c r="U306" s="7"/>
      <c r="V306" s="7"/>
      <c r="W306" s="7"/>
    </row>
    <row r="307" spans="1:23" x14ac:dyDescent="0.35">
      <c r="A307" s="257"/>
      <c r="B307" s="257"/>
      <c r="C307" s="260"/>
      <c r="D307" s="263"/>
      <c r="E307" s="263"/>
      <c r="F307" s="266"/>
      <c r="G307" s="257"/>
      <c r="H307" s="159" t="s">
        <v>674</v>
      </c>
      <c r="I307" s="158">
        <v>1713850</v>
      </c>
      <c r="J307" s="158">
        <f>I307/D296-0.01</f>
        <v>213.84</v>
      </c>
      <c r="K307" s="158">
        <f>1713850/D296-0.01</f>
        <v>213.84</v>
      </c>
      <c r="L307" s="7"/>
      <c r="M307" s="7"/>
      <c r="N307" s="7"/>
      <c r="O307" s="7"/>
      <c r="P307" s="7"/>
      <c r="Q307" s="7"/>
      <c r="R307" s="7"/>
      <c r="S307" s="7"/>
      <c r="T307" s="7"/>
      <c r="U307" s="7"/>
      <c r="V307" s="7"/>
      <c r="W307" s="7"/>
    </row>
    <row r="308" spans="1:23" x14ac:dyDescent="0.35">
      <c r="A308" s="257"/>
      <c r="B308" s="257"/>
      <c r="C308" s="260"/>
      <c r="D308" s="263"/>
      <c r="E308" s="263"/>
      <c r="F308" s="266"/>
      <c r="G308" s="258"/>
      <c r="H308" s="159" t="s">
        <v>76</v>
      </c>
      <c r="I308" s="158">
        <v>36676</v>
      </c>
      <c r="J308" s="158">
        <f>I308/D296</f>
        <v>4.58</v>
      </c>
      <c r="K308" s="158">
        <f>36676/D296</f>
        <v>4.58</v>
      </c>
      <c r="L308" s="7"/>
      <c r="M308" s="7"/>
      <c r="N308" s="7"/>
      <c r="O308" s="7"/>
      <c r="P308" s="7"/>
      <c r="Q308" s="7"/>
      <c r="R308" s="7"/>
      <c r="S308" s="7"/>
      <c r="T308" s="7"/>
      <c r="U308" s="7"/>
      <c r="V308" s="7"/>
      <c r="W308" s="7"/>
    </row>
    <row r="309" spans="1:23" ht="15.75" customHeight="1" x14ac:dyDescent="0.35">
      <c r="A309" s="256">
        <f>A296+1</f>
        <v>9</v>
      </c>
      <c r="B309" s="256">
        <v>5167</v>
      </c>
      <c r="C309" s="259" t="s">
        <v>249</v>
      </c>
      <c r="D309" s="262">
        <v>3743</v>
      </c>
      <c r="E309" s="262" t="s">
        <v>71</v>
      </c>
      <c r="F309" s="265">
        <v>9</v>
      </c>
      <c r="G309" s="144"/>
      <c r="H309" s="159" t="s">
        <v>73</v>
      </c>
      <c r="I309" s="158">
        <f>SUM(I310:I315)</f>
        <v>3501052</v>
      </c>
      <c r="J309" s="158">
        <f>SUM(J310:J315)</f>
        <v>935.36</v>
      </c>
      <c r="K309" s="158">
        <f>SUM(K310:K315)</f>
        <v>948.49</v>
      </c>
      <c r="L309" s="7"/>
      <c r="M309" s="7"/>
      <c r="N309" s="7"/>
      <c r="O309" s="7"/>
      <c r="P309" s="7"/>
      <c r="Q309" s="7"/>
      <c r="R309" s="7"/>
      <c r="S309" s="7"/>
      <c r="T309" s="7"/>
      <c r="U309" s="7"/>
      <c r="V309" s="7"/>
      <c r="W309" s="7"/>
    </row>
    <row r="310" spans="1:23" ht="31.5" customHeight="1" x14ac:dyDescent="0.35">
      <c r="A310" s="257"/>
      <c r="B310" s="257"/>
      <c r="C310" s="260"/>
      <c r="D310" s="263"/>
      <c r="E310" s="263"/>
      <c r="F310" s="266"/>
      <c r="G310" s="256" t="s">
        <v>673</v>
      </c>
      <c r="H310" s="159" t="s">
        <v>666</v>
      </c>
      <c r="I310" s="158">
        <v>0</v>
      </c>
      <c r="J310" s="158">
        <v>0</v>
      </c>
      <c r="K310" s="158">
        <f>24580/D309-0.01</f>
        <v>6.56</v>
      </c>
      <c r="L310" s="7"/>
      <c r="M310" s="7"/>
      <c r="N310" s="7"/>
      <c r="O310" s="7"/>
      <c r="P310" s="7"/>
      <c r="Q310" s="7"/>
      <c r="R310" s="7"/>
      <c r="S310" s="7"/>
      <c r="T310" s="7"/>
      <c r="U310" s="7"/>
      <c r="V310" s="7"/>
      <c r="W310" s="7"/>
    </row>
    <row r="311" spans="1:23" x14ac:dyDescent="0.35">
      <c r="A311" s="257"/>
      <c r="B311" s="257"/>
      <c r="C311" s="260"/>
      <c r="D311" s="263"/>
      <c r="E311" s="263"/>
      <c r="F311" s="266"/>
      <c r="G311" s="257"/>
      <c r="H311" s="159" t="s">
        <v>674</v>
      </c>
      <c r="I311" s="158">
        <v>1713850</v>
      </c>
      <c r="J311" s="158">
        <f>I311/D309</f>
        <v>457.88</v>
      </c>
      <c r="K311" s="158">
        <f>1713850/D309</f>
        <v>457.88</v>
      </c>
      <c r="L311" s="7"/>
      <c r="M311" s="7"/>
      <c r="N311" s="7"/>
      <c r="O311" s="7"/>
      <c r="P311" s="7"/>
      <c r="Q311" s="7"/>
      <c r="R311" s="7"/>
      <c r="S311" s="7"/>
      <c r="T311" s="7"/>
      <c r="U311" s="7"/>
      <c r="V311" s="7"/>
      <c r="W311" s="7"/>
    </row>
    <row r="312" spans="1:23" x14ac:dyDescent="0.35">
      <c r="A312" s="257"/>
      <c r="B312" s="257"/>
      <c r="C312" s="260"/>
      <c r="D312" s="263"/>
      <c r="E312" s="263"/>
      <c r="F312" s="266"/>
      <c r="G312" s="258"/>
      <c r="H312" s="159" t="s">
        <v>76</v>
      </c>
      <c r="I312" s="158">
        <v>36676</v>
      </c>
      <c r="J312" s="158">
        <f>I312/D309</f>
        <v>9.8000000000000007</v>
      </c>
      <c r="K312" s="158">
        <f>36676/D309</f>
        <v>9.8000000000000007</v>
      </c>
      <c r="L312" s="7"/>
      <c r="M312" s="7"/>
      <c r="N312" s="7"/>
      <c r="O312" s="7"/>
      <c r="P312" s="7"/>
      <c r="Q312" s="7"/>
      <c r="R312" s="7"/>
      <c r="S312" s="7"/>
      <c r="T312" s="7"/>
      <c r="U312" s="7"/>
      <c r="V312" s="7"/>
      <c r="W312" s="7"/>
    </row>
    <row r="313" spans="1:23" ht="31.5" customHeight="1" x14ac:dyDescent="0.35">
      <c r="A313" s="257"/>
      <c r="B313" s="257"/>
      <c r="C313" s="260"/>
      <c r="D313" s="263"/>
      <c r="E313" s="263"/>
      <c r="F313" s="266"/>
      <c r="G313" s="256" t="s">
        <v>679</v>
      </c>
      <c r="H313" s="159" t="s">
        <v>666</v>
      </c>
      <c r="I313" s="158">
        <v>0</v>
      </c>
      <c r="J313" s="158">
        <v>0</v>
      </c>
      <c r="K313" s="158">
        <f>24580/D309</f>
        <v>6.57</v>
      </c>
      <c r="L313" s="7"/>
      <c r="M313" s="7"/>
      <c r="N313" s="7"/>
      <c r="O313" s="7"/>
      <c r="P313" s="7"/>
      <c r="Q313" s="7"/>
      <c r="R313" s="7"/>
      <c r="S313" s="7"/>
      <c r="T313" s="7"/>
      <c r="U313" s="7"/>
      <c r="V313" s="7"/>
      <c r="W313" s="7"/>
    </row>
    <row r="314" spans="1:23" x14ac:dyDescent="0.35">
      <c r="A314" s="257"/>
      <c r="B314" s="257"/>
      <c r="C314" s="260"/>
      <c r="D314" s="263"/>
      <c r="E314" s="263"/>
      <c r="F314" s="266"/>
      <c r="G314" s="257"/>
      <c r="H314" s="159" t="s">
        <v>674</v>
      </c>
      <c r="I314" s="158">
        <v>1713850</v>
      </c>
      <c r="J314" s="158">
        <f>I314/D309</f>
        <v>457.88</v>
      </c>
      <c r="K314" s="158">
        <f>1713850/D309-0.005</f>
        <v>457.88</v>
      </c>
      <c r="L314" s="7"/>
      <c r="M314" s="7"/>
      <c r="N314" s="7"/>
      <c r="O314" s="7"/>
      <c r="P314" s="7"/>
      <c r="Q314" s="7"/>
      <c r="R314" s="7"/>
      <c r="S314" s="7"/>
      <c r="T314" s="7"/>
      <c r="U314" s="7"/>
      <c r="V314" s="7"/>
      <c r="W314" s="7"/>
    </row>
    <row r="315" spans="1:23" x14ac:dyDescent="0.35">
      <c r="A315" s="258"/>
      <c r="B315" s="258"/>
      <c r="C315" s="261"/>
      <c r="D315" s="264"/>
      <c r="E315" s="264"/>
      <c r="F315" s="267"/>
      <c r="G315" s="258"/>
      <c r="H315" s="159" t="s">
        <v>76</v>
      </c>
      <c r="I315" s="158">
        <v>36676</v>
      </c>
      <c r="J315" s="158">
        <f>I315/D309</f>
        <v>9.8000000000000007</v>
      </c>
      <c r="K315" s="158">
        <f>36676/D309</f>
        <v>9.8000000000000007</v>
      </c>
      <c r="L315" s="7"/>
      <c r="M315" s="7"/>
      <c r="N315" s="7"/>
      <c r="O315" s="7"/>
      <c r="P315" s="7"/>
      <c r="Q315" s="7"/>
      <c r="R315" s="7"/>
      <c r="S315" s="7"/>
      <c r="T315" s="7"/>
      <c r="U315" s="7"/>
      <c r="V315" s="7"/>
      <c r="W315" s="7"/>
    </row>
    <row r="316" spans="1:23" ht="15.75" customHeight="1" x14ac:dyDescent="0.35">
      <c r="A316" s="256">
        <f>A309+1</f>
        <v>10</v>
      </c>
      <c r="B316" s="256">
        <v>5180</v>
      </c>
      <c r="C316" s="259" t="s">
        <v>250</v>
      </c>
      <c r="D316" s="262">
        <v>7928</v>
      </c>
      <c r="E316" s="262" t="s">
        <v>71</v>
      </c>
      <c r="F316" s="265">
        <v>9</v>
      </c>
      <c r="G316" s="144"/>
      <c r="H316" s="159" t="s">
        <v>73</v>
      </c>
      <c r="I316" s="158">
        <f>SUM(I317:I328)</f>
        <v>7002104</v>
      </c>
      <c r="J316" s="158">
        <f>SUM(J317:J328)</f>
        <v>883.21</v>
      </c>
      <c r="K316" s="158">
        <f>SUM(K317:K328)</f>
        <v>895.61</v>
      </c>
      <c r="L316" s="7"/>
      <c r="M316" s="7"/>
      <c r="N316" s="7"/>
      <c r="O316" s="7"/>
      <c r="P316" s="7"/>
      <c r="Q316" s="7"/>
      <c r="R316" s="7"/>
      <c r="S316" s="7"/>
      <c r="T316" s="7"/>
      <c r="U316" s="7"/>
      <c r="V316" s="7"/>
      <c r="W316" s="7"/>
    </row>
    <row r="317" spans="1:23" ht="31.5" customHeight="1" x14ac:dyDescent="0.35">
      <c r="A317" s="257"/>
      <c r="B317" s="257"/>
      <c r="C317" s="260"/>
      <c r="D317" s="263"/>
      <c r="E317" s="263"/>
      <c r="F317" s="266"/>
      <c r="G317" s="256" t="s">
        <v>673</v>
      </c>
      <c r="H317" s="159" t="s">
        <v>666</v>
      </c>
      <c r="I317" s="158">
        <v>0</v>
      </c>
      <c r="J317" s="158">
        <v>0</v>
      </c>
      <c r="K317" s="158">
        <f>24580/D316</f>
        <v>3.1</v>
      </c>
      <c r="L317" s="7"/>
      <c r="M317" s="7"/>
      <c r="N317" s="7"/>
      <c r="O317" s="7"/>
      <c r="P317" s="7"/>
      <c r="Q317" s="7"/>
      <c r="R317" s="7"/>
      <c r="S317" s="7"/>
      <c r="T317" s="7"/>
      <c r="U317" s="7"/>
      <c r="V317" s="7"/>
      <c r="W317" s="7"/>
    </row>
    <row r="318" spans="1:23" x14ac:dyDescent="0.35">
      <c r="A318" s="257"/>
      <c r="B318" s="257"/>
      <c r="C318" s="260"/>
      <c r="D318" s="263"/>
      <c r="E318" s="263"/>
      <c r="F318" s="266"/>
      <c r="G318" s="257"/>
      <c r="H318" s="159" t="s">
        <v>674</v>
      </c>
      <c r="I318" s="158">
        <v>1713850</v>
      </c>
      <c r="J318" s="158">
        <f>I318/D316-0.01</f>
        <v>216.17</v>
      </c>
      <c r="K318" s="158">
        <f>1713850/D316-0.01</f>
        <v>216.17</v>
      </c>
      <c r="L318" s="7"/>
      <c r="M318" s="7"/>
      <c r="N318" s="7"/>
      <c r="O318" s="7"/>
      <c r="P318" s="7"/>
      <c r="Q318" s="7"/>
      <c r="R318" s="7"/>
      <c r="S318" s="7"/>
      <c r="T318" s="7"/>
      <c r="U318" s="7"/>
      <c r="V318" s="7"/>
      <c r="W318" s="7"/>
    </row>
    <row r="319" spans="1:23" x14ac:dyDescent="0.35">
      <c r="A319" s="257"/>
      <c r="B319" s="257"/>
      <c r="C319" s="260"/>
      <c r="D319" s="263"/>
      <c r="E319" s="263"/>
      <c r="F319" s="266"/>
      <c r="G319" s="258"/>
      <c r="H319" s="159" t="s">
        <v>76</v>
      </c>
      <c r="I319" s="158">
        <v>36676</v>
      </c>
      <c r="J319" s="158">
        <f>I319/D316</f>
        <v>4.63</v>
      </c>
      <c r="K319" s="158">
        <f>36676/D316</f>
        <v>4.63</v>
      </c>
      <c r="L319" s="7"/>
      <c r="M319" s="7"/>
      <c r="N319" s="7"/>
      <c r="O319" s="7"/>
      <c r="P319" s="7"/>
      <c r="Q319" s="7"/>
      <c r="R319" s="7"/>
      <c r="S319" s="7"/>
      <c r="T319" s="7"/>
      <c r="U319" s="7"/>
      <c r="V319" s="7"/>
      <c r="W319" s="7"/>
    </row>
    <row r="320" spans="1:23" ht="31.5" customHeight="1" x14ac:dyDescent="0.35">
      <c r="A320" s="257"/>
      <c r="B320" s="257"/>
      <c r="C320" s="260"/>
      <c r="D320" s="263"/>
      <c r="E320" s="263"/>
      <c r="F320" s="266"/>
      <c r="G320" s="256" t="s">
        <v>679</v>
      </c>
      <c r="H320" s="159" t="s">
        <v>666</v>
      </c>
      <c r="I320" s="158">
        <v>0</v>
      </c>
      <c r="J320" s="158">
        <v>0</v>
      </c>
      <c r="K320" s="158">
        <f>24580/D316</f>
        <v>3.1</v>
      </c>
      <c r="L320" s="7"/>
      <c r="M320" s="7"/>
      <c r="N320" s="7"/>
      <c r="O320" s="7"/>
      <c r="P320" s="7"/>
      <c r="Q320" s="7"/>
      <c r="R320" s="7"/>
      <c r="S320" s="7"/>
      <c r="T320" s="7"/>
      <c r="U320" s="7"/>
      <c r="V320" s="7"/>
      <c r="W320" s="7"/>
    </row>
    <row r="321" spans="1:23" x14ac:dyDescent="0.35">
      <c r="A321" s="257"/>
      <c r="B321" s="257"/>
      <c r="C321" s="260"/>
      <c r="D321" s="263"/>
      <c r="E321" s="263"/>
      <c r="F321" s="266"/>
      <c r="G321" s="257"/>
      <c r="H321" s="159" t="s">
        <v>674</v>
      </c>
      <c r="I321" s="158">
        <v>1713850</v>
      </c>
      <c r="J321" s="158">
        <f>I321/D316-0.01</f>
        <v>216.17</v>
      </c>
      <c r="K321" s="158">
        <f>1713850/D316-0.01</f>
        <v>216.17</v>
      </c>
      <c r="L321" s="7"/>
      <c r="M321" s="7"/>
      <c r="N321" s="7"/>
      <c r="O321" s="7"/>
      <c r="P321" s="7"/>
      <c r="Q321" s="7"/>
      <c r="R321" s="7"/>
      <c r="S321" s="7"/>
      <c r="T321" s="7"/>
      <c r="U321" s="7"/>
      <c r="V321" s="7"/>
      <c r="W321" s="7"/>
    </row>
    <row r="322" spans="1:23" x14ac:dyDescent="0.35">
      <c r="A322" s="257"/>
      <c r="B322" s="257"/>
      <c r="C322" s="260"/>
      <c r="D322" s="263"/>
      <c r="E322" s="263"/>
      <c r="F322" s="266"/>
      <c r="G322" s="258"/>
      <c r="H322" s="159" t="s">
        <v>76</v>
      </c>
      <c r="I322" s="158">
        <v>36676</v>
      </c>
      <c r="J322" s="158">
        <f>I322/D316</f>
        <v>4.63</v>
      </c>
      <c r="K322" s="158">
        <f>36676/D316</f>
        <v>4.63</v>
      </c>
      <c r="L322" s="7"/>
      <c r="M322" s="7"/>
      <c r="N322" s="7"/>
      <c r="O322" s="7"/>
      <c r="P322" s="7"/>
      <c r="Q322" s="7"/>
      <c r="R322" s="7"/>
      <c r="S322" s="7"/>
      <c r="T322" s="7"/>
      <c r="U322" s="7"/>
      <c r="V322" s="7"/>
      <c r="W322" s="7"/>
    </row>
    <row r="323" spans="1:23" ht="31.5" customHeight="1" x14ac:dyDescent="0.35">
      <c r="A323" s="257"/>
      <c r="B323" s="257"/>
      <c r="C323" s="260"/>
      <c r="D323" s="263"/>
      <c r="E323" s="263"/>
      <c r="F323" s="266"/>
      <c r="G323" s="256" t="s">
        <v>680</v>
      </c>
      <c r="H323" s="159" t="s">
        <v>666</v>
      </c>
      <c r="I323" s="158">
        <v>0</v>
      </c>
      <c r="J323" s="158">
        <v>0</v>
      </c>
      <c r="K323" s="158">
        <f>24580/D316</f>
        <v>3.1</v>
      </c>
      <c r="L323" s="7"/>
      <c r="M323" s="7"/>
      <c r="N323" s="7"/>
      <c r="O323" s="7"/>
      <c r="P323" s="7"/>
      <c r="Q323" s="7"/>
      <c r="R323" s="7"/>
      <c r="S323" s="7"/>
      <c r="T323" s="7"/>
      <c r="U323" s="7"/>
      <c r="V323" s="7"/>
      <c r="W323" s="7"/>
    </row>
    <row r="324" spans="1:23" x14ac:dyDescent="0.35">
      <c r="A324" s="257"/>
      <c r="B324" s="257"/>
      <c r="C324" s="260"/>
      <c r="D324" s="263"/>
      <c r="E324" s="263"/>
      <c r="F324" s="266"/>
      <c r="G324" s="257"/>
      <c r="H324" s="159" t="s">
        <v>674</v>
      </c>
      <c r="I324" s="158">
        <v>1713850</v>
      </c>
      <c r="J324" s="158">
        <f>I324/D316-0.01</f>
        <v>216.17</v>
      </c>
      <c r="K324" s="158">
        <f>1713850/D316-0.01</f>
        <v>216.17</v>
      </c>
      <c r="L324" s="7"/>
      <c r="M324" s="7"/>
      <c r="N324" s="7"/>
      <c r="O324" s="7"/>
      <c r="P324" s="7"/>
      <c r="Q324" s="7"/>
      <c r="R324" s="7"/>
      <c r="S324" s="7"/>
      <c r="T324" s="7"/>
      <c r="U324" s="7"/>
      <c r="V324" s="7"/>
      <c r="W324" s="7"/>
    </row>
    <row r="325" spans="1:23" x14ac:dyDescent="0.35">
      <c r="A325" s="257"/>
      <c r="B325" s="257"/>
      <c r="C325" s="260"/>
      <c r="D325" s="263"/>
      <c r="E325" s="263"/>
      <c r="F325" s="266"/>
      <c r="G325" s="258"/>
      <c r="H325" s="159" t="s">
        <v>76</v>
      </c>
      <c r="I325" s="158">
        <v>36676</v>
      </c>
      <c r="J325" s="158">
        <f>I325/D316</f>
        <v>4.63</v>
      </c>
      <c r="K325" s="158">
        <f>36676/D316</f>
        <v>4.63</v>
      </c>
      <c r="L325" s="7"/>
      <c r="M325" s="7"/>
      <c r="N325" s="7"/>
      <c r="O325" s="7"/>
      <c r="P325" s="7"/>
      <c r="Q325" s="7"/>
      <c r="R325" s="7"/>
      <c r="S325" s="7"/>
      <c r="T325" s="7"/>
      <c r="U325" s="7"/>
      <c r="V325" s="7"/>
      <c r="W325" s="7"/>
    </row>
    <row r="326" spans="1:23" ht="31.5" customHeight="1" x14ac:dyDescent="0.35">
      <c r="A326" s="257"/>
      <c r="B326" s="257"/>
      <c r="C326" s="260"/>
      <c r="D326" s="263"/>
      <c r="E326" s="263"/>
      <c r="F326" s="266"/>
      <c r="G326" s="256" t="s">
        <v>681</v>
      </c>
      <c r="H326" s="159" t="s">
        <v>666</v>
      </c>
      <c r="I326" s="158">
        <v>0</v>
      </c>
      <c r="J326" s="158">
        <v>0</v>
      </c>
      <c r="K326" s="158">
        <f>24580/D316</f>
        <v>3.1</v>
      </c>
      <c r="L326" s="7"/>
      <c r="M326" s="7"/>
      <c r="N326" s="7"/>
      <c r="O326" s="7"/>
      <c r="P326" s="7"/>
      <c r="Q326" s="7"/>
      <c r="R326" s="7"/>
      <c r="S326" s="7"/>
      <c r="T326" s="7"/>
      <c r="U326" s="7"/>
      <c r="V326" s="7"/>
      <c r="W326" s="7"/>
    </row>
    <row r="327" spans="1:23" x14ac:dyDescent="0.35">
      <c r="A327" s="257"/>
      <c r="B327" s="257"/>
      <c r="C327" s="260"/>
      <c r="D327" s="263"/>
      <c r="E327" s="263"/>
      <c r="F327" s="266"/>
      <c r="G327" s="257"/>
      <c r="H327" s="159" t="s">
        <v>674</v>
      </c>
      <c r="I327" s="158">
        <v>1713850</v>
      </c>
      <c r="J327" s="158">
        <f>I327/D316</f>
        <v>216.18</v>
      </c>
      <c r="K327" s="158">
        <f>1713850/D316</f>
        <v>216.18</v>
      </c>
      <c r="L327" s="7"/>
      <c r="M327" s="7"/>
      <c r="N327" s="7"/>
      <c r="O327" s="7"/>
      <c r="P327" s="7"/>
      <c r="Q327" s="7"/>
      <c r="R327" s="7"/>
      <c r="S327" s="7"/>
      <c r="T327" s="7"/>
      <c r="U327" s="7"/>
      <c r="V327" s="7"/>
      <c r="W327" s="7"/>
    </row>
    <row r="328" spans="1:23" x14ac:dyDescent="0.35">
      <c r="A328" s="258"/>
      <c r="B328" s="258"/>
      <c r="C328" s="261"/>
      <c r="D328" s="264"/>
      <c r="E328" s="264"/>
      <c r="F328" s="267"/>
      <c r="G328" s="258"/>
      <c r="H328" s="159" t="s">
        <v>76</v>
      </c>
      <c r="I328" s="158">
        <v>36676</v>
      </c>
      <c r="J328" s="158">
        <f>I328/D316</f>
        <v>4.63</v>
      </c>
      <c r="K328" s="158">
        <f>36676/D316</f>
        <v>4.63</v>
      </c>
      <c r="L328" s="7"/>
      <c r="M328" s="7"/>
      <c r="N328" s="7"/>
      <c r="O328" s="7"/>
      <c r="P328" s="7"/>
      <c r="Q328" s="7"/>
      <c r="R328" s="7"/>
      <c r="S328" s="7"/>
      <c r="T328" s="7"/>
      <c r="U328" s="7"/>
      <c r="V328" s="7"/>
      <c r="W328" s="7"/>
    </row>
    <row r="329" spans="1:23" ht="15.75" customHeight="1" x14ac:dyDescent="0.35">
      <c r="A329" s="256">
        <f>A316+1</f>
        <v>11</v>
      </c>
      <c r="B329" s="256">
        <v>5194</v>
      </c>
      <c r="C329" s="259" t="s">
        <v>251</v>
      </c>
      <c r="D329" s="262">
        <v>10125.4</v>
      </c>
      <c r="E329" s="262" t="s">
        <v>71</v>
      </c>
      <c r="F329" s="265">
        <v>9</v>
      </c>
      <c r="G329" s="144"/>
      <c r="H329" s="159" t="s">
        <v>73</v>
      </c>
      <c r="I329" s="158">
        <f>SUM(I330:I344)</f>
        <v>8752630</v>
      </c>
      <c r="J329" s="158">
        <f>SUM(J330:J344)</f>
        <v>864.42</v>
      </c>
      <c r="K329" s="158">
        <f>SUM(K330:K344)</f>
        <v>876.56</v>
      </c>
      <c r="L329" s="7"/>
      <c r="M329" s="7"/>
      <c r="N329" s="7"/>
      <c r="O329" s="7"/>
      <c r="P329" s="7"/>
      <c r="Q329" s="7"/>
      <c r="R329" s="7"/>
      <c r="S329" s="7"/>
      <c r="T329" s="7"/>
      <c r="U329" s="7"/>
      <c r="V329" s="7"/>
      <c r="W329" s="7"/>
    </row>
    <row r="330" spans="1:23" ht="31.5" customHeight="1" x14ac:dyDescent="0.35">
      <c r="A330" s="257"/>
      <c r="B330" s="257"/>
      <c r="C330" s="260"/>
      <c r="D330" s="263"/>
      <c r="E330" s="263"/>
      <c r="F330" s="266"/>
      <c r="G330" s="256" t="s">
        <v>673</v>
      </c>
      <c r="H330" s="159" t="s">
        <v>666</v>
      </c>
      <c r="I330" s="158">
        <v>0</v>
      </c>
      <c r="J330" s="158">
        <v>0</v>
      </c>
      <c r="K330" s="158">
        <f>24580/D329-0.01</f>
        <v>2.42</v>
      </c>
      <c r="L330" s="7"/>
      <c r="M330" s="7"/>
      <c r="N330" s="7"/>
      <c r="O330" s="7"/>
      <c r="P330" s="7"/>
      <c r="Q330" s="7"/>
      <c r="R330" s="7"/>
      <c r="S330" s="7"/>
      <c r="T330" s="7"/>
      <c r="U330" s="7"/>
      <c r="V330" s="7"/>
      <c r="W330" s="7"/>
    </row>
    <row r="331" spans="1:23" x14ac:dyDescent="0.35">
      <c r="A331" s="257"/>
      <c r="B331" s="257"/>
      <c r="C331" s="260"/>
      <c r="D331" s="263"/>
      <c r="E331" s="263"/>
      <c r="F331" s="266"/>
      <c r="G331" s="257"/>
      <c r="H331" s="159" t="s">
        <v>674</v>
      </c>
      <c r="I331" s="158">
        <v>1713850</v>
      </c>
      <c r="J331" s="158">
        <f>I331/D329+0.01</f>
        <v>169.27</v>
      </c>
      <c r="K331" s="158">
        <f>1713850/D329+0.01</f>
        <v>169.27</v>
      </c>
      <c r="L331" s="7"/>
      <c r="M331" s="7"/>
      <c r="N331" s="7"/>
      <c r="O331" s="7"/>
      <c r="P331" s="7"/>
      <c r="Q331" s="7"/>
      <c r="R331" s="7"/>
      <c r="S331" s="7"/>
      <c r="T331" s="7"/>
      <c r="U331" s="7"/>
      <c r="V331" s="7"/>
      <c r="W331" s="7"/>
    </row>
    <row r="332" spans="1:23" x14ac:dyDescent="0.35">
      <c r="A332" s="257"/>
      <c r="B332" s="257"/>
      <c r="C332" s="260"/>
      <c r="D332" s="263"/>
      <c r="E332" s="263"/>
      <c r="F332" s="266"/>
      <c r="G332" s="258"/>
      <c r="H332" s="159" t="s">
        <v>76</v>
      </c>
      <c r="I332" s="158">
        <v>36676</v>
      </c>
      <c r="J332" s="158">
        <f>I332/D329</f>
        <v>3.62</v>
      </c>
      <c r="K332" s="158">
        <f>36676/D329</f>
        <v>3.62</v>
      </c>
      <c r="L332" s="7"/>
      <c r="M332" s="7"/>
      <c r="N332" s="7"/>
      <c r="O332" s="7"/>
      <c r="P332" s="7"/>
      <c r="Q332" s="7"/>
      <c r="R332" s="7"/>
      <c r="S332" s="7"/>
      <c r="T332" s="7"/>
      <c r="U332" s="7"/>
      <c r="V332" s="7"/>
      <c r="W332" s="7"/>
    </row>
    <row r="333" spans="1:23" ht="31.5" customHeight="1" x14ac:dyDescent="0.35">
      <c r="A333" s="257"/>
      <c r="B333" s="257"/>
      <c r="C333" s="260"/>
      <c r="D333" s="263"/>
      <c r="E333" s="263"/>
      <c r="F333" s="266"/>
      <c r="G333" s="256" t="s">
        <v>679</v>
      </c>
      <c r="H333" s="159" t="s">
        <v>666</v>
      </c>
      <c r="I333" s="158">
        <v>0</v>
      </c>
      <c r="J333" s="158">
        <v>0</v>
      </c>
      <c r="K333" s="158">
        <f>24580/D329</f>
        <v>2.4300000000000002</v>
      </c>
      <c r="L333" s="7"/>
      <c r="M333" s="7"/>
      <c r="N333" s="7"/>
      <c r="O333" s="7"/>
      <c r="P333" s="7"/>
      <c r="Q333" s="7"/>
      <c r="R333" s="7"/>
      <c r="S333" s="7"/>
      <c r="T333" s="7"/>
      <c r="U333" s="7"/>
      <c r="V333" s="7"/>
      <c r="W333" s="7"/>
    </row>
    <row r="334" spans="1:23" x14ac:dyDescent="0.35">
      <c r="A334" s="257"/>
      <c r="B334" s="257"/>
      <c r="C334" s="260"/>
      <c r="D334" s="263"/>
      <c r="E334" s="263"/>
      <c r="F334" s="266"/>
      <c r="G334" s="257"/>
      <c r="H334" s="159" t="s">
        <v>674</v>
      </c>
      <c r="I334" s="158">
        <v>1713850</v>
      </c>
      <c r="J334" s="158">
        <f>I334/D329+0.01</f>
        <v>169.27</v>
      </c>
      <c r="K334" s="158">
        <f>1713850/D329+0.01</f>
        <v>169.27</v>
      </c>
      <c r="L334" s="7"/>
      <c r="M334" s="7"/>
      <c r="N334" s="7"/>
      <c r="O334" s="7"/>
      <c r="P334" s="7"/>
      <c r="Q334" s="7"/>
      <c r="R334" s="7"/>
      <c r="S334" s="7"/>
      <c r="T334" s="7"/>
      <c r="U334" s="7"/>
      <c r="V334" s="7"/>
      <c r="W334" s="7"/>
    </row>
    <row r="335" spans="1:23" x14ac:dyDescent="0.35">
      <c r="A335" s="257"/>
      <c r="B335" s="257"/>
      <c r="C335" s="260"/>
      <c r="D335" s="263"/>
      <c r="E335" s="263"/>
      <c r="F335" s="266"/>
      <c r="G335" s="258"/>
      <c r="H335" s="159" t="s">
        <v>76</v>
      </c>
      <c r="I335" s="158">
        <v>36676</v>
      </c>
      <c r="J335" s="158">
        <f>I335/D329</f>
        <v>3.62</v>
      </c>
      <c r="K335" s="158">
        <f>36676/D329</f>
        <v>3.62</v>
      </c>
      <c r="L335" s="7"/>
      <c r="M335" s="7"/>
      <c r="N335" s="7"/>
      <c r="O335" s="7"/>
      <c r="P335" s="7"/>
      <c r="Q335" s="7"/>
      <c r="R335" s="7"/>
      <c r="S335" s="7"/>
      <c r="T335" s="7"/>
      <c r="U335" s="7"/>
      <c r="V335" s="7"/>
      <c r="W335" s="7"/>
    </row>
    <row r="336" spans="1:23" ht="31.5" customHeight="1" x14ac:dyDescent="0.35">
      <c r="A336" s="257"/>
      <c r="B336" s="257"/>
      <c r="C336" s="260"/>
      <c r="D336" s="263"/>
      <c r="E336" s="263"/>
      <c r="F336" s="266"/>
      <c r="G336" s="256" t="s">
        <v>680</v>
      </c>
      <c r="H336" s="159" t="s">
        <v>666</v>
      </c>
      <c r="I336" s="158">
        <v>0</v>
      </c>
      <c r="J336" s="158">
        <v>0</v>
      </c>
      <c r="K336" s="158">
        <f>24580/D329</f>
        <v>2.4300000000000002</v>
      </c>
      <c r="L336" s="7"/>
      <c r="M336" s="7"/>
      <c r="N336" s="7"/>
      <c r="O336" s="7"/>
      <c r="P336" s="7"/>
      <c r="Q336" s="7"/>
      <c r="R336" s="7"/>
      <c r="S336" s="7"/>
      <c r="T336" s="7"/>
      <c r="U336" s="7"/>
      <c r="V336" s="7"/>
      <c r="W336" s="7"/>
    </row>
    <row r="337" spans="1:23" x14ac:dyDescent="0.35">
      <c r="A337" s="257"/>
      <c r="B337" s="257"/>
      <c r="C337" s="260"/>
      <c r="D337" s="263"/>
      <c r="E337" s="263"/>
      <c r="F337" s="266"/>
      <c r="G337" s="257"/>
      <c r="H337" s="159" t="s">
        <v>674</v>
      </c>
      <c r="I337" s="158">
        <v>1713850</v>
      </c>
      <c r="J337" s="158">
        <f>I337/D329</f>
        <v>169.26</v>
      </c>
      <c r="K337" s="158">
        <f>1713850/D329</f>
        <v>169.26</v>
      </c>
      <c r="L337" s="7"/>
      <c r="M337" s="7"/>
      <c r="N337" s="7"/>
      <c r="O337" s="7"/>
      <c r="P337" s="7"/>
      <c r="Q337" s="7"/>
      <c r="R337" s="7"/>
      <c r="S337" s="7"/>
      <c r="T337" s="7"/>
      <c r="U337" s="7"/>
      <c r="V337" s="7"/>
      <c r="W337" s="7"/>
    </row>
    <row r="338" spans="1:23" x14ac:dyDescent="0.35">
      <c r="A338" s="257"/>
      <c r="B338" s="257"/>
      <c r="C338" s="260"/>
      <c r="D338" s="263"/>
      <c r="E338" s="263"/>
      <c r="F338" s="266"/>
      <c r="G338" s="258"/>
      <c r="H338" s="159" t="s">
        <v>76</v>
      </c>
      <c r="I338" s="158">
        <v>36676</v>
      </c>
      <c r="J338" s="158">
        <f>I338/D329</f>
        <v>3.62</v>
      </c>
      <c r="K338" s="158">
        <f>36676/D329</f>
        <v>3.62</v>
      </c>
      <c r="L338" s="7"/>
      <c r="M338" s="7"/>
      <c r="N338" s="7"/>
      <c r="O338" s="7"/>
      <c r="P338" s="7"/>
      <c r="Q338" s="7"/>
      <c r="R338" s="7"/>
      <c r="S338" s="7"/>
      <c r="T338" s="7"/>
      <c r="U338" s="7"/>
      <c r="V338" s="7"/>
      <c r="W338" s="7"/>
    </row>
    <row r="339" spans="1:23" ht="31.5" customHeight="1" x14ac:dyDescent="0.35">
      <c r="A339" s="257"/>
      <c r="B339" s="257"/>
      <c r="C339" s="260"/>
      <c r="D339" s="263"/>
      <c r="E339" s="263"/>
      <c r="F339" s="266"/>
      <c r="G339" s="256" t="s">
        <v>681</v>
      </c>
      <c r="H339" s="159" t="s">
        <v>666</v>
      </c>
      <c r="I339" s="158">
        <v>0</v>
      </c>
      <c r="J339" s="158">
        <v>0</v>
      </c>
      <c r="K339" s="158">
        <f>24580/D329</f>
        <v>2.4300000000000002</v>
      </c>
      <c r="L339" s="7"/>
      <c r="M339" s="7"/>
      <c r="N339" s="7"/>
      <c r="O339" s="7"/>
      <c r="P339" s="7"/>
      <c r="Q339" s="7"/>
      <c r="R339" s="7"/>
      <c r="S339" s="7"/>
      <c r="T339" s="7"/>
      <c r="U339" s="7"/>
      <c r="V339" s="7"/>
      <c r="W339" s="7"/>
    </row>
    <row r="340" spans="1:23" x14ac:dyDescent="0.35">
      <c r="A340" s="257"/>
      <c r="B340" s="257"/>
      <c r="C340" s="260"/>
      <c r="D340" s="263"/>
      <c r="E340" s="263"/>
      <c r="F340" s="266"/>
      <c r="G340" s="257"/>
      <c r="H340" s="159" t="s">
        <v>674</v>
      </c>
      <c r="I340" s="158">
        <v>1713850</v>
      </c>
      <c r="J340" s="158">
        <f>I340/D329</f>
        <v>169.26</v>
      </c>
      <c r="K340" s="158">
        <f>1713850/D329</f>
        <v>169.26</v>
      </c>
      <c r="L340" s="7"/>
      <c r="M340" s="7"/>
      <c r="N340" s="7"/>
      <c r="O340" s="7"/>
      <c r="P340" s="7"/>
      <c r="Q340" s="7"/>
      <c r="R340" s="7"/>
      <c r="S340" s="7"/>
      <c r="T340" s="7"/>
      <c r="U340" s="7"/>
      <c r="V340" s="7"/>
      <c r="W340" s="7"/>
    </row>
    <row r="341" spans="1:23" x14ac:dyDescent="0.35">
      <c r="A341" s="257"/>
      <c r="B341" s="257"/>
      <c r="C341" s="260"/>
      <c r="D341" s="263"/>
      <c r="E341" s="263"/>
      <c r="F341" s="266"/>
      <c r="G341" s="258"/>
      <c r="H341" s="159" t="s">
        <v>76</v>
      </c>
      <c r="I341" s="158">
        <v>36676</v>
      </c>
      <c r="J341" s="158">
        <f>I341/D329</f>
        <v>3.62</v>
      </c>
      <c r="K341" s="158">
        <f>36676/D329</f>
        <v>3.62</v>
      </c>
      <c r="L341" s="7"/>
      <c r="M341" s="7"/>
      <c r="N341" s="7"/>
      <c r="O341" s="7"/>
      <c r="P341" s="7"/>
      <c r="Q341" s="7"/>
      <c r="R341" s="7"/>
      <c r="S341" s="7"/>
      <c r="T341" s="7"/>
      <c r="U341" s="7"/>
      <c r="V341" s="7"/>
      <c r="W341" s="7"/>
    </row>
    <row r="342" spans="1:23" ht="31.5" customHeight="1" x14ac:dyDescent="0.35">
      <c r="A342" s="257"/>
      <c r="B342" s="257"/>
      <c r="C342" s="260"/>
      <c r="D342" s="263"/>
      <c r="E342" s="263"/>
      <c r="F342" s="266"/>
      <c r="G342" s="256" t="s">
        <v>678</v>
      </c>
      <c r="H342" s="159" t="s">
        <v>666</v>
      </c>
      <c r="I342" s="158">
        <v>0</v>
      </c>
      <c r="J342" s="158">
        <v>0</v>
      </c>
      <c r="K342" s="158">
        <f>24580/D329</f>
        <v>2.4300000000000002</v>
      </c>
      <c r="L342" s="7"/>
      <c r="M342" s="7"/>
      <c r="N342" s="7"/>
      <c r="O342" s="7"/>
      <c r="P342" s="7"/>
      <c r="Q342" s="7"/>
      <c r="R342" s="7"/>
      <c r="S342" s="7"/>
      <c r="T342" s="7"/>
      <c r="U342" s="7"/>
      <c r="V342" s="7"/>
      <c r="W342" s="7"/>
    </row>
    <row r="343" spans="1:23" x14ac:dyDescent="0.35">
      <c r="A343" s="257"/>
      <c r="B343" s="257"/>
      <c r="C343" s="260"/>
      <c r="D343" s="263"/>
      <c r="E343" s="263"/>
      <c r="F343" s="266"/>
      <c r="G343" s="257"/>
      <c r="H343" s="159" t="s">
        <v>674</v>
      </c>
      <c r="I343" s="158">
        <v>1713850</v>
      </c>
      <c r="J343" s="158">
        <f>I343/D329</f>
        <v>169.26</v>
      </c>
      <c r="K343" s="158">
        <f>1713850/D329</f>
        <v>169.26</v>
      </c>
      <c r="L343" s="7"/>
      <c r="M343" s="7"/>
      <c r="N343" s="7"/>
      <c r="O343" s="7"/>
      <c r="P343" s="7"/>
      <c r="Q343" s="7"/>
      <c r="R343" s="7"/>
      <c r="S343" s="7"/>
      <c r="T343" s="7"/>
      <c r="U343" s="7"/>
      <c r="V343" s="7"/>
      <c r="W343" s="7"/>
    </row>
    <row r="344" spans="1:23" x14ac:dyDescent="0.35">
      <c r="A344" s="258"/>
      <c r="B344" s="258"/>
      <c r="C344" s="261"/>
      <c r="D344" s="264"/>
      <c r="E344" s="264"/>
      <c r="F344" s="267"/>
      <c r="G344" s="258"/>
      <c r="H344" s="159" t="s">
        <v>76</v>
      </c>
      <c r="I344" s="158">
        <v>36676</v>
      </c>
      <c r="J344" s="158">
        <f>I344/D329</f>
        <v>3.62</v>
      </c>
      <c r="K344" s="158">
        <f>36676/D329</f>
        <v>3.62</v>
      </c>
      <c r="L344" s="7"/>
      <c r="M344" s="7"/>
      <c r="N344" s="7"/>
      <c r="O344" s="7"/>
      <c r="P344" s="7"/>
      <c r="Q344" s="7"/>
      <c r="R344" s="7"/>
      <c r="S344" s="7"/>
      <c r="T344" s="7"/>
      <c r="U344" s="7"/>
      <c r="V344" s="7"/>
      <c r="W344" s="7"/>
    </row>
    <row r="345" spans="1:23" ht="15.75" customHeight="1" x14ac:dyDescent="0.35">
      <c r="A345" s="256">
        <f>A329+1</f>
        <v>12</v>
      </c>
      <c r="B345" s="256">
        <v>5196</v>
      </c>
      <c r="C345" s="259" t="s">
        <v>252</v>
      </c>
      <c r="D345" s="262">
        <v>10201.1</v>
      </c>
      <c r="E345" s="262" t="s">
        <v>71</v>
      </c>
      <c r="F345" s="265">
        <v>9</v>
      </c>
      <c r="G345" s="144"/>
      <c r="H345" s="159" t="s">
        <v>73</v>
      </c>
      <c r="I345" s="158">
        <f>SUM(I346:I360)</f>
        <v>8752630</v>
      </c>
      <c r="J345" s="158">
        <f>SUM(J346:J360)</f>
        <v>858.01</v>
      </c>
      <c r="K345" s="158">
        <f>SUM(K346:K360)</f>
        <v>870.06</v>
      </c>
      <c r="L345" s="7"/>
      <c r="M345" s="7"/>
      <c r="N345" s="7"/>
      <c r="O345" s="7"/>
      <c r="P345" s="7"/>
      <c r="Q345" s="7"/>
      <c r="R345" s="7"/>
      <c r="S345" s="7"/>
      <c r="T345" s="7"/>
      <c r="U345" s="7"/>
      <c r="V345" s="7"/>
      <c r="W345" s="7"/>
    </row>
    <row r="346" spans="1:23" ht="31.5" customHeight="1" x14ac:dyDescent="0.35">
      <c r="A346" s="257"/>
      <c r="B346" s="257"/>
      <c r="C346" s="260"/>
      <c r="D346" s="263"/>
      <c r="E346" s="263"/>
      <c r="F346" s="266"/>
      <c r="G346" s="256" t="s">
        <v>673</v>
      </c>
      <c r="H346" s="159" t="s">
        <v>666</v>
      </c>
      <c r="I346" s="158">
        <v>0</v>
      </c>
      <c r="J346" s="158">
        <v>0</v>
      </c>
      <c r="K346" s="158">
        <f>24580/D345</f>
        <v>2.41</v>
      </c>
      <c r="L346" s="7"/>
      <c r="M346" s="7"/>
      <c r="N346" s="7"/>
      <c r="O346" s="7"/>
      <c r="P346" s="7"/>
      <c r="Q346" s="7"/>
      <c r="R346" s="7"/>
      <c r="S346" s="7"/>
      <c r="T346" s="7"/>
      <c r="U346" s="7"/>
      <c r="V346" s="7"/>
      <c r="W346" s="7"/>
    </row>
    <row r="347" spans="1:23" x14ac:dyDescent="0.35">
      <c r="A347" s="257"/>
      <c r="B347" s="257"/>
      <c r="C347" s="260"/>
      <c r="D347" s="263"/>
      <c r="E347" s="263"/>
      <c r="F347" s="266"/>
      <c r="G347" s="257"/>
      <c r="H347" s="159" t="s">
        <v>674</v>
      </c>
      <c r="I347" s="158">
        <v>1713850</v>
      </c>
      <c r="J347" s="158">
        <f>I347/D345-0.01</f>
        <v>168</v>
      </c>
      <c r="K347" s="158">
        <f>1713850/D345-0.01</f>
        <v>168</v>
      </c>
      <c r="L347" s="7"/>
      <c r="M347" s="7"/>
      <c r="N347" s="7"/>
      <c r="O347" s="7"/>
      <c r="P347" s="7"/>
      <c r="Q347" s="7"/>
      <c r="R347" s="7"/>
      <c r="S347" s="7"/>
      <c r="T347" s="7"/>
      <c r="U347" s="7"/>
      <c r="V347" s="7"/>
      <c r="W347" s="7"/>
    </row>
    <row r="348" spans="1:23" x14ac:dyDescent="0.35">
      <c r="A348" s="257"/>
      <c r="B348" s="257"/>
      <c r="C348" s="260"/>
      <c r="D348" s="263"/>
      <c r="E348" s="263"/>
      <c r="F348" s="266"/>
      <c r="G348" s="258"/>
      <c r="H348" s="159" t="s">
        <v>76</v>
      </c>
      <c r="I348" s="158">
        <v>36676</v>
      </c>
      <c r="J348" s="158">
        <f>I348/D345</f>
        <v>3.6</v>
      </c>
      <c r="K348" s="158">
        <f>36676/D345</f>
        <v>3.6</v>
      </c>
      <c r="L348" s="7"/>
      <c r="M348" s="7"/>
      <c r="N348" s="7"/>
      <c r="O348" s="7"/>
      <c r="P348" s="7"/>
      <c r="Q348" s="7"/>
      <c r="R348" s="7"/>
      <c r="S348" s="7"/>
      <c r="T348" s="7"/>
      <c r="U348" s="7"/>
      <c r="V348" s="7"/>
      <c r="W348" s="7"/>
    </row>
    <row r="349" spans="1:23" ht="31.5" customHeight="1" x14ac:dyDescent="0.35">
      <c r="A349" s="257"/>
      <c r="B349" s="257"/>
      <c r="C349" s="260"/>
      <c r="D349" s="263"/>
      <c r="E349" s="263"/>
      <c r="F349" s="266"/>
      <c r="G349" s="256" t="s">
        <v>679</v>
      </c>
      <c r="H349" s="159" t="s">
        <v>666</v>
      </c>
      <c r="I349" s="158">
        <v>0</v>
      </c>
      <c r="J349" s="158">
        <v>0</v>
      </c>
      <c r="K349" s="158">
        <f>24580/D345</f>
        <v>2.41</v>
      </c>
      <c r="L349" s="7"/>
      <c r="M349" s="7"/>
      <c r="N349" s="7"/>
      <c r="O349" s="7"/>
      <c r="P349" s="7"/>
      <c r="Q349" s="7"/>
      <c r="R349" s="7"/>
      <c r="S349" s="7"/>
      <c r="T349" s="7"/>
      <c r="U349" s="7"/>
      <c r="V349" s="7"/>
      <c r="W349" s="7"/>
    </row>
    <row r="350" spans="1:23" x14ac:dyDescent="0.35">
      <c r="A350" s="257"/>
      <c r="B350" s="257"/>
      <c r="C350" s="260"/>
      <c r="D350" s="263"/>
      <c r="E350" s="263"/>
      <c r="F350" s="266"/>
      <c r="G350" s="257"/>
      <c r="H350" s="159" t="s">
        <v>674</v>
      </c>
      <c r="I350" s="158">
        <v>1713850</v>
      </c>
      <c r="J350" s="158">
        <f>I350/D345-0.01</f>
        <v>168</v>
      </c>
      <c r="K350" s="158">
        <f>1713850/D345-0.01</f>
        <v>168</v>
      </c>
      <c r="L350" s="7"/>
      <c r="M350" s="7"/>
      <c r="N350" s="7"/>
      <c r="O350" s="7"/>
      <c r="P350" s="7"/>
      <c r="Q350" s="7"/>
      <c r="R350" s="7"/>
      <c r="S350" s="7"/>
      <c r="T350" s="7"/>
      <c r="U350" s="7"/>
      <c r="V350" s="7"/>
      <c r="W350" s="7"/>
    </row>
    <row r="351" spans="1:23" x14ac:dyDescent="0.35">
      <c r="A351" s="257"/>
      <c r="B351" s="257"/>
      <c r="C351" s="260"/>
      <c r="D351" s="263"/>
      <c r="E351" s="263"/>
      <c r="F351" s="266"/>
      <c r="G351" s="258"/>
      <c r="H351" s="159" t="s">
        <v>76</v>
      </c>
      <c r="I351" s="158">
        <v>36676</v>
      </c>
      <c r="J351" s="158">
        <f>I351/D345</f>
        <v>3.6</v>
      </c>
      <c r="K351" s="158">
        <f>36676/D345</f>
        <v>3.6</v>
      </c>
      <c r="L351" s="7"/>
      <c r="M351" s="7"/>
      <c r="N351" s="7"/>
      <c r="O351" s="7"/>
      <c r="P351" s="7"/>
      <c r="Q351" s="7"/>
      <c r="R351" s="7"/>
      <c r="S351" s="7"/>
      <c r="T351" s="7"/>
      <c r="U351" s="7"/>
      <c r="V351" s="7"/>
      <c r="W351" s="7"/>
    </row>
    <row r="352" spans="1:23" ht="31.5" customHeight="1" x14ac:dyDescent="0.35">
      <c r="A352" s="257"/>
      <c r="B352" s="257"/>
      <c r="C352" s="260"/>
      <c r="D352" s="263"/>
      <c r="E352" s="263"/>
      <c r="F352" s="266"/>
      <c r="G352" s="256" t="s">
        <v>680</v>
      </c>
      <c r="H352" s="159" t="s">
        <v>666</v>
      </c>
      <c r="I352" s="158">
        <v>0</v>
      </c>
      <c r="J352" s="158">
        <v>0</v>
      </c>
      <c r="K352" s="158">
        <f>24580/D345</f>
        <v>2.41</v>
      </c>
      <c r="L352" s="7"/>
      <c r="M352" s="7"/>
      <c r="N352" s="7"/>
      <c r="O352" s="7"/>
      <c r="P352" s="7"/>
      <c r="Q352" s="7"/>
      <c r="R352" s="7"/>
      <c r="S352" s="7"/>
      <c r="T352" s="7"/>
      <c r="U352" s="7"/>
      <c r="V352" s="7"/>
      <c r="W352" s="7"/>
    </row>
    <row r="353" spans="1:23" x14ac:dyDescent="0.35">
      <c r="A353" s="257"/>
      <c r="B353" s="257"/>
      <c r="C353" s="260"/>
      <c r="D353" s="263"/>
      <c r="E353" s="263"/>
      <c r="F353" s="266"/>
      <c r="G353" s="257"/>
      <c r="H353" s="159" t="s">
        <v>674</v>
      </c>
      <c r="I353" s="158">
        <v>1713850</v>
      </c>
      <c r="J353" s="158">
        <f>I353/D345-0.01</f>
        <v>168</v>
      </c>
      <c r="K353" s="158">
        <f>1713850/D345-0.01</f>
        <v>168</v>
      </c>
      <c r="L353" s="7"/>
      <c r="M353" s="7"/>
      <c r="N353" s="7"/>
      <c r="O353" s="7"/>
      <c r="P353" s="7"/>
      <c r="Q353" s="7"/>
      <c r="R353" s="7"/>
      <c r="S353" s="7"/>
      <c r="T353" s="7"/>
      <c r="U353" s="7"/>
      <c r="V353" s="7"/>
      <c r="W353" s="7"/>
    </row>
    <row r="354" spans="1:23" x14ac:dyDescent="0.35">
      <c r="A354" s="257"/>
      <c r="B354" s="257"/>
      <c r="C354" s="260"/>
      <c r="D354" s="263"/>
      <c r="E354" s="263"/>
      <c r="F354" s="266"/>
      <c r="G354" s="258"/>
      <c r="H354" s="159" t="s">
        <v>76</v>
      </c>
      <c r="I354" s="158">
        <v>36676</v>
      </c>
      <c r="J354" s="158">
        <f>I354/D345</f>
        <v>3.6</v>
      </c>
      <c r="K354" s="158">
        <f>36676/D345</f>
        <v>3.6</v>
      </c>
      <c r="L354" s="7"/>
      <c r="M354" s="7"/>
      <c r="N354" s="7"/>
      <c r="O354" s="7"/>
      <c r="P354" s="7"/>
      <c r="Q354" s="7"/>
      <c r="R354" s="7"/>
      <c r="S354" s="7"/>
      <c r="T354" s="7"/>
      <c r="U354" s="7"/>
      <c r="V354" s="7"/>
      <c r="W354" s="7"/>
    </row>
    <row r="355" spans="1:23" ht="31.5" customHeight="1" x14ac:dyDescent="0.35">
      <c r="A355" s="257"/>
      <c r="B355" s="257"/>
      <c r="C355" s="260"/>
      <c r="D355" s="263"/>
      <c r="E355" s="263"/>
      <c r="F355" s="266"/>
      <c r="G355" s="256" t="s">
        <v>681</v>
      </c>
      <c r="H355" s="159" t="s">
        <v>666</v>
      </c>
      <c r="I355" s="158">
        <v>0</v>
      </c>
      <c r="J355" s="158">
        <v>0</v>
      </c>
      <c r="K355" s="158">
        <f>24580/D345</f>
        <v>2.41</v>
      </c>
      <c r="L355" s="7"/>
      <c r="M355" s="7"/>
      <c r="N355" s="7"/>
      <c r="O355" s="7"/>
      <c r="P355" s="7"/>
      <c r="Q355" s="7"/>
      <c r="R355" s="7"/>
      <c r="S355" s="7"/>
      <c r="T355" s="7"/>
      <c r="U355" s="7"/>
      <c r="V355" s="7"/>
      <c r="W355" s="7"/>
    </row>
    <row r="356" spans="1:23" x14ac:dyDescent="0.35">
      <c r="A356" s="257"/>
      <c r="B356" s="257"/>
      <c r="C356" s="260"/>
      <c r="D356" s="263"/>
      <c r="E356" s="263"/>
      <c r="F356" s="266"/>
      <c r="G356" s="257"/>
      <c r="H356" s="159" t="s">
        <v>674</v>
      </c>
      <c r="I356" s="158">
        <v>1713850</v>
      </c>
      <c r="J356" s="158">
        <f>I356/D345-0.01</f>
        <v>168</v>
      </c>
      <c r="K356" s="158">
        <f>1713850/D345-0.01</f>
        <v>168</v>
      </c>
      <c r="L356" s="7"/>
      <c r="M356" s="7"/>
      <c r="N356" s="7"/>
      <c r="O356" s="7"/>
      <c r="P356" s="7"/>
      <c r="Q356" s="7"/>
      <c r="R356" s="7"/>
      <c r="S356" s="7"/>
      <c r="T356" s="7"/>
      <c r="U356" s="7"/>
      <c r="V356" s="7"/>
      <c r="W356" s="7"/>
    </row>
    <row r="357" spans="1:23" x14ac:dyDescent="0.35">
      <c r="A357" s="257"/>
      <c r="B357" s="257"/>
      <c r="C357" s="260"/>
      <c r="D357" s="263"/>
      <c r="E357" s="263"/>
      <c r="F357" s="266"/>
      <c r="G357" s="258"/>
      <c r="H357" s="159" t="s">
        <v>76</v>
      </c>
      <c r="I357" s="158">
        <v>36676</v>
      </c>
      <c r="J357" s="158">
        <f>I357/D345</f>
        <v>3.6</v>
      </c>
      <c r="K357" s="158">
        <f>36676/D345</f>
        <v>3.6</v>
      </c>
      <c r="L357" s="7"/>
      <c r="M357" s="7"/>
      <c r="N357" s="7"/>
      <c r="O357" s="7"/>
      <c r="P357" s="7"/>
      <c r="Q357" s="7"/>
      <c r="R357" s="7"/>
      <c r="S357" s="7"/>
      <c r="T357" s="7"/>
      <c r="U357" s="7"/>
      <c r="V357" s="7"/>
      <c r="W357" s="7"/>
    </row>
    <row r="358" spans="1:23" ht="31.5" customHeight="1" x14ac:dyDescent="0.35">
      <c r="A358" s="257"/>
      <c r="B358" s="257"/>
      <c r="C358" s="260"/>
      <c r="D358" s="263"/>
      <c r="E358" s="263"/>
      <c r="F358" s="266"/>
      <c r="G358" s="256" t="s">
        <v>678</v>
      </c>
      <c r="H358" s="159" t="s">
        <v>666</v>
      </c>
      <c r="I358" s="158">
        <v>0</v>
      </c>
      <c r="J358" s="158">
        <v>0</v>
      </c>
      <c r="K358" s="158">
        <f>24580/D345</f>
        <v>2.41</v>
      </c>
      <c r="L358" s="7"/>
      <c r="M358" s="7"/>
      <c r="N358" s="7"/>
      <c r="O358" s="7"/>
      <c r="P358" s="7"/>
      <c r="Q358" s="7"/>
      <c r="R358" s="7"/>
      <c r="S358" s="7"/>
      <c r="T358" s="7"/>
      <c r="U358" s="7"/>
      <c r="V358" s="7"/>
      <c r="W358" s="7"/>
    </row>
    <row r="359" spans="1:23" x14ac:dyDescent="0.35">
      <c r="A359" s="257"/>
      <c r="B359" s="257"/>
      <c r="C359" s="260"/>
      <c r="D359" s="263"/>
      <c r="E359" s="263"/>
      <c r="F359" s="266"/>
      <c r="G359" s="257"/>
      <c r="H359" s="159" t="s">
        <v>674</v>
      </c>
      <c r="I359" s="158">
        <v>1713850</v>
      </c>
      <c r="J359" s="158">
        <f>I359/D345</f>
        <v>168.01</v>
      </c>
      <c r="K359" s="158">
        <f>1713850/D345</f>
        <v>168.01</v>
      </c>
      <c r="L359" s="7"/>
      <c r="M359" s="7"/>
      <c r="N359" s="7"/>
      <c r="O359" s="7"/>
      <c r="P359" s="7"/>
      <c r="Q359" s="7"/>
      <c r="R359" s="7"/>
      <c r="S359" s="7"/>
      <c r="T359" s="7"/>
      <c r="U359" s="7"/>
      <c r="V359" s="7"/>
      <c r="W359" s="7"/>
    </row>
    <row r="360" spans="1:23" x14ac:dyDescent="0.35">
      <c r="A360" s="258"/>
      <c r="B360" s="258"/>
      <c r="C360" s="261"/>
      <c r="D360" s="264"/>
      <c r="E360" s="264"/>
      <c r="F360" s="267"/>
      <c r="G360" s="258"/>
      <c r="H360" s="159" t="s">
        <v>76</v>
      </c>
      <c r="I360" s="158">
        <v>36676</v>
      </c>
      <c r="J360" s="158">
        <f>I360/D345</f>
        <v>3.6</v>
      </c>
      <c r="K360" s="158">
        <f>36676/D345</f>
        <v>3.6</v>
      </c>
      <c r="L360" s="7"/>
      <c r="M360" s="7"/>
      <c r="N360" s="7"/>
      <c r="O360" s="7"/>
      <c r="P360" s="7"/>
      <c r="Q360" s="7"/>
      <c r="R360" s="7"/>
      <c r="S360" s="7"/>
      <c r="T360" s="7"/>
      <c r="U360" s="7"/>
      <c r="V360" s="7"/>
      <c r="W360" s="7"/>
    </row>
    <row r="361" spans="1:23" ht="15.75" customHeight="1" x14ac:dyDescent="0.35">
      <c r="A361" s="308">
        <f>A345+1</f>
        <v>13</v>
      </c>
      <c r="B361" s="308">
        <v>5210</v>
      </c>
      <c r="C361" s="319" t="s">
        <v>253</v>
      </c>
      <c r="D361" s="279">
        <v>990.3</v>
      </c>
      <c r="E361" s="279" t="s">
        <v>75</v>
      </c>
      <c r="F361" s="291">
        <v>2</v>
      </c>
      <c r="G361" s="15"/>
      <c r="H361" s="116" t="s">
        <v>73</v>
      </c>
      <c r="I361" s="86">
        <f>SUM(I362:I367)</f>
        <v>1240947.3</v>
      </c>
      <c r="J361" s="86">
        <f>SUM(J362:J367)</f>
        <v>1253.0999999999999</v>
      </c>
      <c r="K361" s="86">
        <f>SUM(K362:K367)</f>
        <v>3923</v>
      </c>
      <c r="L361" s="7"/>
      <c r="M361" s="7"/>
      <c r="N361" s="7"/>
      <c r="O361" s="7"/>
      <c r="P361" s="7"/>
      <c r="Q361" s="7"/>
      <c r="R361" s="7"/>
      <c r="S361" s="7"/>
      <c r="T361" s="7"/>
      <c r="U361" s="7"/>
      <c r="V361" s="7"/>
      <c r="W361" s="7"/>
    </row>
    <row r="362" spans="1:23" ht="31.5" customHeight="1" x14ac:dyDescent="0.35">
      <c r="A362" s="308"/>
      <c r="B362" s="308"/>
      <c r="C362" s="320"/>
      <c r="D362" s="280"/>
      <c r="E362" s="280"/>
      <c r="F362" s="292"/>
      <c r="G362" s="285" t="s">
        <v>77</v>
      </c>
      <c r="H362" s="116" t="s">
        <v>666</v>
      </c>
      <c r="I362" s="86">
        <f>81411+D361*9</f>
        <v>90323.7</v>
      </c>
      <c r="J362" s="86">
        <f>I362/D361</f>
        <v>91.21</v>
      </c>
      <c r="K362" s="86">
        <f>110+9</f>
        <v>119</v>
      </c>
      <c r="L362" s="7"/>
      <c r="M362" s="7"/>
      <c r="N362" s="7"/>
      <c r="O362" s="7"/>
      <c r="P362" s="7"/>
      <c r="Q362" s="7"/>
      <c r="R362" s="7"/>
      <c r="S362" s="7"/>
      <c r="T362" s="7"/>
      <c r="U362" s="7"/>
      <c r="V362" s="7"/>
      <c r="W362" s="7"/>
    </row>
    <row r="363" spans="1:23" x14ac:dyDescent="0.35">
      <c r="A363" s="308"/>
      <c r="B363" s="308"/>
      <c r="C363" s="320"/>
      <c r="D363" s="280"/>
      <c r="E363" s="280"/>
      <c r="F363" s="292"/>
      <c r="G363" s="286"/>
      <c r="H363" s="116" t="s">
        <v>74</v>
      </c>
      <c r="I363" s="86">
        <f>D361*K363*30/100</f>
        <v>814917.87</v>
      </c>
      <c r="J363" s="86">
        <f>I363/D361</f>
        <v>822.9</v>
      </c>
      <c r="K363" s="86">
        <v>2743</v>
      </c>
      <c r="L363" s="7"/>
      <c r="M363" s="7"/>
      <c r="N363" s="7"/>
      <c r="O363" s="7"/>
      <c r="P363" s="7"/>
      <c r="Q363" s="7"/>
      <c r="R363" s="7"/>
      <c r="S363" s="7"/>
      <c r="T363" s="7"/>
      <c r="U363" s="7"/>
      <c r="V363" s="7"/>
      <c r="W363" s="7"/>
    </row>
    <row r="364" spans="1:23" ht="31.5" customHeight="1" x14ac:dyDescent="0.35">
      <c r="A364" s="308"/>
      <c r="B364" s="308"/>
      <c r="C364" s="320"/>
      <c r="D364" s="280"/>
      <c r="E364" s="280"/>
      <c r="F364" s="292"/>
      <c r="G364" s="308" t="s">
        <v>78</v>
      </c>
      <c r="H364" s="116" t="s">
        <v>666</v>
      </c>
      <c r="I364" s="86">
        <f>15542.1+D361*2</f>
        <v>17522.7</v>
      </c>
      <c r="J364" s="86">
        <f>I364/D361</f>
        <v>17.690000000000001</v>
      </c>
      <c r="K364" s="86">
        <f>21+2</f>
        <v>23</v>
      </c>
      <c r="L364" s="7"/>
      <c r="M364" s="7"/>
      <c r="N364" s="7"/>
      <c r="O364" s="7"/>
      <c r="P364" s="7"/>
      <c r="Q364" s="7"/>
      <c r="R364" s="7"/>
      <c r="S364" s="7"/>
      <c r="T364" s="7"/>
      <c r="U364" s="7"/>
      <c r="V364" s="7"/>
      <c r="W364" s="7"/>
    </row>
    <row r="365" spans="1:23" x14ac:dyDescent="0.35">
      <c r="A365" s="308"/>
      <c r="B365" s="308"/>
      <c r="C365" s="320"/>
      <c r="D365" s="280"/>
      <c r="E365" s="280"/>
      <c r="F365" s="292"/>
      <c r="G365" s="308"/>
      <c r="H365" s="116" t="s">
        <v>74</v>
      </c>
      <c r="I365" s="86">
        <f>D361*K365*30/100</f>
        <v>157457.70000000001</v>
      </c>
      <c r="J365" s="86">
        <f>I365/D361</f>
        <v>159</v>
      </c>
      <c r="K365" s="86">
        <v>530</v>
      </c>
      <c r="L365" s="7"/>
      <c r="M365" s="7"/>
      <c r="N365" s="7"/>
      <c r="O365" s="7"/>
      <c r="P365" s="7"/>
      <c r="Q365" s="7"/>
      <c r="R365" s="7"/>
      <c r="S365" s="7"/>
      <c r="T365" s="7"/>
      <c r="U365" s="7"/>
      <c r="V365" s="7"/>
      <c r="W365" s="7"/>
    </row>
    <row r="366" spans="1:23" ht="31.5" customHeight="1" x14ac:dyDescent="0.35">
      <c r="A366" s="308"/>
      <c r="B366" s="308"/>
      <c r="C366" s="320"/>
      <c r="D366" s="280"/>
      <c r="E366" s="280"/>
      <c r="F366" s="292"/>
      <c r="G366" s="286" t="s">
        <v>90</v>
      </c>
      <c r="H366" s="116" t="s">
        <v>666</v>
      </c>
      <c r="I366" s="86">
        <f>14061.9+D361*2</f>
        <v>16042.5</v>
      </c>
      <c r="J366" s="86">
        <f>I366/D361</f>
        <v>16.2</v>
      </c>
      <c r="K366" s="86">
        <f>19+2</f>
        <v>21</v>
      </c>
      <c r="L366" s="7"/>
      <c r="M366" s="7"/>
      <c r="N366" s="7"/>
      <c r="O366" s="7"/>
      <c r="P366" s="7"/>
      <c r="Q366" s="7"/>
      <c r="R366" s="7"/>
      <c r="S366" s="7"/>
      <c r="T366" s="7"/>
      <c r="U366" s="7"/>
      <c r="V366" s="7"/>
      <c r="W366" s="7"/>
    </row>
    <row r="367" spans="1:23" x14ac:dyDescent="0.35">
      <c r="A367" s="308"/>
      <c r="B367" s="308"/>
      <c r="C367" s="320"/>
      <c r="D367" s="280"/>
      <c r="E367" s="280"/>
      <c r="F367" s="292"/>
      <c r="G367" s="286"/>
      <c r="H367" s="116" t="s">
        <v>74</v>
      </c>
      <c r="I367" s="86">
        <f>D361*K367*30/100</f>
        <v>144682.82999999999</v>
      </c>
      <c r="J367" s="86">
        <f>I367/D361</f>
        <v>146.1</v>
      </c>
      <c r="K367" s="86">
        <v>487</v>
      </c>
      <c r="L367" s="7"/>
      <c r="M367" s="7"/>
      <c r="N367" s="7"/>
      <c r="O367" s="7"/>
      <c r="P367" s="7"/>
      <c r="Q367" s="7"/>
      <c r="R367" s="7"/>
      <c r="S367" s="7"/>
      <c r="T367" s="7"/>
      <c r="U367" s="7"/>
      <c r="V367" s="7"/>
      <c r="W367" s="7"/>
    </row>
    <row r="368" spans="1:23" ht="15.75" customHeight="1" x14ac:dyDescent="0.35">
      <c r="A368" s="251">
        <f>A361+1</f>
        <v>14</v>
      </c>
      <c r="B368" s="251">
        <v>5234</v>
      </c>
      <c r="C368" s="252" t="s">
        <v>691</v>
      </c>
      <c r="D368" s="253">
        <v>665.8</v>
      </c>
      <c r="E368" s="253" t="s">
        <v>71</v>
      </c>
      <c r="F368" s="255">
        <v>2</v>
      </c>
      <c r="G368" s="251" t="s">
        <v>72</v>
      </c>
      <c r="H368" s="159" t="s">
        <v>73</v>
      </c>
      <c r="I368" s="158">
        <f>I369+I370</f>
        <v>3585081.87</v>
      </c>
      <c r="J368" s="158">
        <f>J369+J370</f>
        <v>5384.62</v>
      </c>
      <c r="K368" s="158">
        <f>K369+K370</f>
        <v>7539</v>
      </c>
      <c r="L368" s="7"/>
      <c r="M368" s="7"/>
      <c r="N368" s="7"/>
      <c r="O368" s="7"/>
      <c r="P368" s="7"/>
      <c r="Q368" s="7"/>
      <c r="R368" s="7"/>
      <c r="S368" s="7"/>
      <c r="T368" s="7"/>
      <c r="U368" s="7"/>
      <c r="V368" s="7"/>
      <c r="W368" s="7"/>
    </row>
    <row r="369" spans="1:23" x14ac:dyDescent="0.35">
      <c r="A369" s="251"/>
      <c r="B369" s="251"/>
      <c r="C369" s="252"/>
      <c r="D369" s="253"/>
      <c r="E369" s="253"/>
      <c r="F369" s="255"/>
      <c r="G369" s="251"/>
      <c r="H369" s="159" t="s">
        <v>74</v>
      </c>
      <c r="I369" s="158">
        <v>3545842.18</v>
      </c>
      <c r="J369" s="158">
        <f>I369/D368-0.01</f>
        <v>5325.68</v>
      </c>
      <c r="K369" s="158">
        <v>7381</v>
      </c>
      <c r="L369" s="7"/>
      <c r="M369" s="7"/>
      <c r="N369" s="7"/>
      <c r="O369" s="7"/>
      <c r="P369" s="7"/>
      <c r="Q369" s="7"/>
      <c r="R369" s="7"/>
      <c r="S369" s="7"/>
      <c r="T369" s="7"/>
      <c r="U369" s="7"/>
      <c r="V369" s="7"/>
      <c r="W369" s="7"/>
    </row>
    <row r="370" spans="1:23" x14ac:dyDescent="0.35">
      <c r="A370" s="251"/>
      <c r="B370" s="251"/>
      <c r="C370" s="252"/>
      <c r="D370" s="253"/>
      <c r="E370" s="253"/>
      <c r="F370" s="255"/>
      <c r="G370" s="251"/>
      <c r="H370" s="159" t="s">
        <v>76</v>
      </c>
      <c r="I370" s="158">
        <v>39239.69</v>
      </c>
      <c r="J370" s="158">
        <f>I370/D368</f>
        <v>58.94</v>
      </c>
      <c r="K370" s="158">
        <v>158</v>
      </c>
      <c r="L370" s="7"/>
      <c r="M370" s="7"/>
      <c r="N370" s="7"/>
      <c r="O370" s="7"/>
      <c r="P370" s="7"/>
      <c r="Q370" s="7"/>
      <c r="R370" s="7"/>
      <c r="S370" s="7"/>
      <c r="T370" s="7"/>
      <c r="U370" s="7"/>
      <c r="V370" s="7"/>
      <c r="W370" s="7"/>
    </row>
    <row r="371" spans="1:23" ht="15.75" customHeight="1" x14ac:dyDescent="0.35">
      <c r="A371" s="251">
        <f>A368+1</f>
        <v>15</v>
      </c>
      <c r="B371" s="251">
        <v>5235</v>
      </c>
      <c r="C371" s="252" t="s">
        <v>692</v>
      </c>
      <c r="D371" s="253">
        <v>681.6</v>
      </c>
      <c r="E371" s="253" t="s">
        <v>71</v>
      </c>
      <c r="F371" s="255">
        <v>2</v>
      </c>
      <c r="G371" s="251" t="s">
        <v>72</v>
      </c>
      <c r="H371" s="159" t="s">
        <v>73</v>
      </c>
      <c r="I371" s="158">
        <f>I372+I373</f>
        <v>3747269.67</v>
      </c>
      <c r="J371" s="158">
        <f>J372+J373</f>
        <v>5497.75</v>
      </c>
      <c r="K371" s="158">
        <f>K372+K373</f>
        <v>7539</v>
      </c>
      <c r="L371" s="7"/>
      <c r="M371" s="7"/>
      <c r="N371" s="7"/>
      <c r="O371" s="7"/>
      <c r="P371" s="7"/>
      <c r="Q371" s="7"/>
      <c r="R371" s="7"/>
      <c r="S371" s="7"/>
      <c r="T371" s="7"/>
      <c r="U371" s="7"/>
      <c r="V371" s="7"/>
      <c r="W371" s="7"/>
    </row>
    <row r="372" spans="1:23" x14ac:dyDescent="0.35">
      <c r="A372" s="251"/>
      <c r="B372" s="251"/>
      <c r="C372" s="252"/>
      <c r="D372" s="253"/>
      <c r="E372" s="253"/>
      <c r="F372" s="255"/>
      <c r="G372" s="251"/>
      <c r="H372" s="159" t="s">
        <v>74</v>
      </c>
      <c r="I372" s="158">
        <v>3669144.55</v>
      </c>
      <c r="J372" s="158">
        <f>I372/D371</f>
        <v>5383.13</v>
      </c>
      <c r="K372" s="158">
        <v>7381</v>
      </c>
      <c r="L372" s="7"/>
      <c r="M372" s="7"/>
      <c r="N372" s="7"/>
      <c r="O372" s="7"/>
      <c r="P372" s="7"/>
      <c r="Q372" s="7"/>
      <c r="R372" s="7"/>
      <c r="S372" s="7"/>
      <c r="T372" s="7"/>
      <c r="U372" s="7"/>
      <c r="V372" s="7"/>
      <c r="W372" s="7"/>
    </row>
    <row r="373" spans="1:23" x14ac:dyDescent="0.35">
      <c r="A373" s="251"/>
      <c r="B373" s="251"/>
      <c r="C373" s="252"/>
      <c r="D373" s="253"/>
      <c r="E373" s="253"/>
      <c r="F373" s="255"/>
      <c r="G373" s="251"/>
      <c r="H373" s="159" t="s">
        <v>76</v>
      </c>
      <c r="I373" s="158">
        <v>78125.119999999995</v>
      </c>
      <c r="J373" s="158">
        <f>I373/D371</f>
        <v>114.62</v>
      </c>
      <c r="K373" s="158">
        <v>158</v>
      </c>
      <c r="L373" s="7"/>
      <c r="M373" s="7"/>
      <c r="N373" s="7"/>
      <c r="O373" s="7"/>
      <c r="P373" s="7"/>
      <c r="Q373" s="7"/>
      <c r="R373" s="7"/>
      <c r="S373" s="7"/>
      <c r="T373" s="7"/>
      <c r="U373" s="7"/>
      <c r="V373" s="7"/>
      <c r="W373" s="7"/>
    </row>
    <row r="374" spans="1:23" ht="15.75" customHeight="1" x14ac:dyDescent="0.35">
      <c r="A374" s="256">
        <f>A371+1</f>
        <v>16</v>
      </c>
      <c r="B374" s="251">
        <v>5261</v>
      </c>
      <c r="C374" s="252" t="s">
        <v>693</v>
      </c>
      <c r="D374" s="253">
        <v>579.1</v>
      </c>
      <c r="E374" s="253" t="s">
        <v>75</v>
      </c>
      <c r="F374" s="255">
        <v>2</v>
      </c>
      <c r="G374" s="251" t="s">
        <v>72</v>
      </c>
      <c r="H374" s="159" t="s">
        <v>73</v>
      </c>
      <c r="I374" s="158">
        <f>I375+I376</f>
        <v>3413784.27</v>
      </c>
      <c r="J374" s="158">
        <f>J375+J376</f>
        <v>5894.98</v>
      </c>
      <c r="K374" s="158">
        <f>K375+K376</f>
        <v>7539</v>
      </c>
      <c r="L374" s="7"/>
      <c r="M374" s="7"/>
      <c r="N374" s="7"/>
      <c r="O374" s="7"/>
      <c r="P374" s="7"/>
      <c r="Q374" s="7"/>
      <c r="R374" s="7"/>
      <c r="S374" s="7"/>
      <c r="T374" s="7"/>
      <c r="U374" s="7"/>
      <c r="V374" s="7"/>
      <c r="W374" s="7"/>
    </row>
    <row r="375" spans="1:23" x14ac:dyDescent="0.35">
      <c r="A375" s="257"/>
      <c r="B375" s="251"/>
      <c r="C375" s="252"/>
      <c r="D375" s="253"/>
      <c r="E375" s="253"/>
      <c r="F375" s="255"/>
      <c r="G375" s="251"/>
      <c r="H375" s="159" t="s">
        <v>74</v>
      </c>
      <c r="I375" s="158">
        <v>3342611.83</v>
      </c>
      <c r="J375" s="158">
        <f>I375/D374</f>
        <v>5772.08</v>
      </c>
      <c r="K375" s="158">
        <v>7381</v>
      </c>
      <c r="L375" s="7"/>
      <c r="M375" s="7"/>
      <c r="N375" s="7"/>
      <c r="O375" s="7"/>
      <c r="P375" s="7"/>
      <c r="Q375" s="7"/>
      <c r="R375" s="7"/>
      <c r="S375" s="7"/>
      <c r="T375" s="7"/>
      <c r="U375" s="7"/>
      <c r="V375" s="7"/>
      <c r="W375" s="7"/>
    </row>
    <row r="376" spans="1:23" x14ac:dyDescent="0.35">
      <c r="A376" s="258"/>
      <c r="B376" s="251"/>
      <c r="C376" s="252"/>
      <c r="D376" s="253"/>
      <c r="E376" s="253"/>
      <c r="F376" s="255"/>
      <c r="G376" s="251"/>
      <c r="H376" s="159" t="s">
        <v>76</v>
      </c>
      <c r="I376" s="158">
        <v>71172.44</v>
      </c>
      <c r="J376" s="158">
        <f>I376/D374</f>
        <v>122.9</v>
      </c>
      <c r="K376" s="158">
        <v>158</v>
      </c>
      <c r="L376" s="7"/>
      <c r="M376" s="7"/>
      <c r="N376" s="7"/>
      <c r="O376" s="7"/>
      <c r="P376" s="7"/>
      <c r="Q376" s="7"/>
      <c r="R376" s="7"/>
      <c r="S376" s="7"/>
      <c r="T376" s="7"/>
      <c r="U376" s="7"/>
      <c r="V376" s="7"/>
      <c r="W376" s="7"/>
    </row>
    <row r="377" spans="1:23" x14ac:dyDescent="0.35">
      <c r="A377" s="153" t="s">
        <v>47</v>
      </c>
      <c r="B377" s="147"/>
      <c r="C377" s="153"/>
      <c r="D377" s="142">
        <f>D378+D381+D383+D386+D389+D391+D398+D405+D408+D415+D418+D421+D424+D426+D428+D431+D433+D436+D439+D441+D448+D451+D454+D457+D459+D462+D465+D468+D471+D474+D477+D480+D487+D490+D493+D497+D500+D503+D506+D509+D512+D515+D517+D524+D527+D530+D533+D535+D540+D543+D547+D549+D552+D557+D566+D568+D571+D573+D576+D579+D582+D585+D588+D591+D594+D597+D604+D611+D614+D616+D619+D622+D625+D628+D635+D638+D641+D644+D647+D649+D652+D654+D656+D659+D662+D664+D667+D670+D672+D685+D688+D690+D693+D700+D704+D717+D720+D723+D726+D745+D754+D759+D764+D767+D783+D811+D827+D837+D840+D843+D846+D849+D852+D855+D858+D861+D864+D867+D870+D873+D876+D879+D882+D895+D898+D902+D909+D912+D915+D918+D921+D926+D929+D932+D935+D938+D941+D944+D946+D953+D966+D970+D979+D986+D989+D992+D995+D1008+D1011+D1014+D1024+D1027+D1030+D1040+D1043+D1046</f>
        <v>601488.34</v>
      </c>
      <c r="E377" s="142"/>
      <c r="F377" s="31"/>
      <c r="G377" s="123"/>
      <c r="H377" s="159"/>
      <c r="I377" s="158">
        <f>I378+I381+I383+I386+I389+I391+I398+I405+I408+I415+I418+I421+I424+I426+I428+I431+I433+I436+I439+I441+I448+I451+I454+I457+I459+I462+I465+I468+I471+I474+I477+I480+I487+I490+I493+I497+I500+I503+I506+I509+I512+I515+I517+I524+I527+I530+I533+I535+I540+I543+I547+I549+I552+I557+I566+I568+I571+I573+I576+I579+I582+I585+I588+I591+I594+I597+I604+I611+I614+I616+I619+I622+I625+I628+I635+I638+I641+I644+I647+I649+I652+I654+I656+I659+I662+I664+I667+I670+I672+I685+I688+I690+I693+I700+I704+I717+I720+I723+I726+I745+I754+I759+I764+I767+I783+I811+I827+I837+I840+I843+I846+I849+I852+I855+I858+I861+I864+I867+I870+I873+I876+I879+I882+I895+I898+I902+I909+I912+I915+I918+I921+I926+I929+I932+I935+I938+I941+I944+I946+I953+I966+I970+I979+I986+I989+I992+I995+I1008+I1011+I1014+I1024+I1027+I1030+I1040+I1043+I1046</f>
        <v>562144146.09000003</v>
      </c>
      <c r="J377" s="158"/>
      <c r="K377" s="158"/>
      <c r="L377" s="7"/>
      <c r="M377" s="7"/>
      <c r="N377" s="7"/>
      <c r="O377" s="7"/>
      <c r="P377" s="7"/>
      <c r="Q377" s="7"/>
      <c r="R377" s="7"/>
      <c r="S377" s="7"/>
      <c r="T377" s="7"/>
      <c r="U377" s="7"/>
      <c r="V377" s="7"/>
      <c r="W377" s="7"/>
    </row>
    <row r="378" spans="1:23" ht="15.75" customHeight="1" x14ac:dyDescent="0.35">
      <c r="A378" s="251">
        <v>1</v>
      </c>
      <c r="B378" s="251">
        <v>734</v>
      </c>
      <c r="C378" s="252" t="s">
        <v>259</v>
      </c>
      <c r="D378" s="253">
        <v>3971.1</v>
      </c>
      <c r="E378" s="253" t="s">
        <v>71</v>
      </c>
      <c r="F378" s="255">
        <v>5</v>
      </c>
      <c r="G378" s="251" t="s">
        <v>72</v>
      </c>
      <c r="H378" s="159" t="s">
        <v>73</v>
      </c>
      <c r="I378" s="158">
        <f>I379+I380</f>
        <v>3949853.91</v>
      </c>
      <c r="J378" s="158">
        <f>J379+J380</f>
        <v>994.65</v>
      </c>
      <c r="K378" s="158">
        <f>K379+K380</f>
        <v>2936</v>
      </c>
      <c r="L378" s="7"/>
      <c r="M378" s="7"/>
      <c r="N378" s="7"/>
      <c r="O378" s="7"/>
      <c r="P378" s="7"/>
      <c r="Q378" s="7"/>
      <c r="R378" s="7"/>
      <c r="S378" s="7"/>
      <c r="T378" s="7"/>
      <c r="U378" s="7"/>
      <c r="V378" s="7"/>
      <c r="W378" s="7"/>
    </row>
    <row r="379" spans="1:23" ht="50.25" customHeight="1" x14ac:dyDescent="0.35">
      <c r="A379" s="251"/>
      <c r="B379" s="251"/>
      <c r="C379" s="252"/>
      <c r="D379" s="253"/>
      <c r="E379" s="253"/>
      <c r="F379" s="255"/>
      <c r="G379" s="251"/>
      <c r="H379" s="159" t="s">
        <v>705</v>
      </c>
      <c r="I379" s="158">
        <f>595862.85+D378*13</f>
        <v>647487.15</v>
      </c>
      <c r="J379" s="158">
        <f>I379/D378</f>
        <v>163.05000000000001</v>
      </c>
      <c r="K379" s="158">
        <f>151+13</f>
        <v>164</v>
      </c>
      <c r="L379" s="7"/>
      <c r="M379" s="7"/>
      <c r="N379" s="7"/>
      <c r="O379" s="7"/>
      <c r="P379" s="7"/>
      <c r="Q379" s="7"/>
      <c r="R379" s="7"/>
      <c r="S379" s="7"/>
      <c r="T379" s="7"/>
      <c r="U379" s="7"/>
      <c r="V379" s="7"/>
      <c r="W379" s="7"/>
    </row>
    <row r="380" spans="1:23" x14ac:dyDescent="0.35">
      <c r="A380" s="251"/>
      <c r="B380" s="251"/>
      <c r="C380" s="252"/>
      <c r="D380" s="253"/>
      <c r="E380" s="253"/>
      <c r="F380" s="255"/>
      <c r="G380" s="251"/>
      <c r="H380" s="159" t="s">
        <v>74</v>
      </c>
      <c r="I380" s="158">
        <f>K380*D378*0.3</f>
        <v>3302366.76</v>
      </c>
      <c r="J380" s="158">
        <f>I380/D378</f>
        <v>831.6</v>
      </c>
      <c r="K380" s="158">
        <v>2772</v>
      </c>
      <c r="L380" s="7"/>
      <c r="M380" s="7"/>
      <c r="N380" s="7"/>
      <c r="O380" s="7"/>
      <c r="P380" s="7"/>
      <c r="Q380" s="7"/>
      <c r="R380" s="7"/>
      <c r="S380" s="7"/>
      <c r="T380" s="7"/>
      <c r="U380" s="7"/>
      <c r="V380" s="7"/>
      <c r="W380" s="7"/>
    </row>
    <row r="381" spans="1:23" ht="15.75" customHeight="1" x14ac:dyDescent="0.35">
      <c r="A381" s="251">
        <f>A378+1</f>
        <v>2</v>
      </c>
      <c r="B381" s="251">
        <v>757</v>
      </c>
      <c r="C381" s="252" t="s">
        <v>260</v>
      </c>
      <c r="D381" s="253">
        <v>1020.67</v>
      </c>
      <c r="E381" s="253" t="s">
        <v>75</v>
      </c>
      <c r="F381" s="255">
        <v>5</v>
      </c>
      <c r="G381" s="251" t="s">
        <v>72</v>
      </c>
      <c r="H381" s="159" t="s">
        <v>73</v>
      </c>
      <c r="I381" s="158">
        <f>I382</f>
        <v>166420.07</v>
      </c>
      <c r="J381" s="158">
        <f>J382</f>
        <v>163.05000000000001</v>
      </c>
      <c r="K381" s="158">
        <f>K382</f>
        <v>164</v>
      </c>
      <c r="L381" s="7"/>
      <c r="M381" s="7"/>
      <c r="N381" s="7"/>
      <c r="O381" s="7"/>
      <c r="P381" s="7"/>
      <c r="Q381" s="7"/>
      <c r="R381" s="7"/>
      <c r="S381" s="7"/>
      <c r="T381" s="7"/>
      <c r="U381" s="7"/>
      <c r="V381" s="7"/>
      <c r="W381" s="7"/>
    </row>
    <row r="382" spans="1:23" ht="50.25" customHeight="1" x14ac:dyDescent="0.35">
      <c r="A382" s="251">
        <v>75</v>
      </c>
      <c r="B382" s="251"/>
      <c r="C382" s="252"/>
      <c r="D382" s="253"/>
      <c r="E382" s="253"/>
      <c r="F382" s="255"/>
      <c r="G382" s="251"/>
      <c r="H382" s="159" t="s">
        <v>705</v>
      </c>
      <c r="I382" s="158">
        <f>153151.36+D381*13</f>
        <v>166420.07</v>
      </c>
      <c r="J382" s="158">
        <f>I382/D381</f>
        <v>163.05000000000001</v>
      </c>
      <c r="K382" s="158">
        <f>151+13</f>
        <v>164</v>
      </c>
      <c r="L382" s="7"/>
      <c r="M382" s="7"/>
      <c r="N382" s="7"/>
      <c r="O382" s="7"/>
      <c r="P382" s="7"/>
      <c r="Q382" s="7"/>
      <c r="R382" s="7"/>
      <c r="S382" s="7"/>
      <c r="T382" s="7"/>
      <c r="U382" s="7"/>
      <c r="V382" s="7"/>
      <c r="W382" s="7"/>
    </row>
    <row r="383" spans="1:23" ht="15.75" customHeight="1" x14ac:dyDescent="0.35">
      <c r="A383" s="251">
        <f>A381+1</f>
        <v>3</v>
      </c>
      <c r="B383" s="251">
        <v>818</v>
      </c>
      <c r="C383" s="252" t="s">
        <v>262</v>
      </c>
      <c r="D383" s="253">
        <v>746.74</v>
      </c>
      <c r="E383" s="253" t="s">
        <v>75</v>
      </c>
      <c r="F383" s="255">
        <v>4</v>
      </c>
      <c r="G383" s="251" t="s">
        <v>72</v>
      </c>
      <c r="H383" s="159" t="s">
        <v>73</v>
      </c>
      <c r="I383" s="158">
        <f>I384+I385</f>
        <v>1102262.1499999999</v>
      </c>
      <c r="J383" s="158">
        <f>J384+J385</f>
        <v>1476.1</v>
      </c>
      <c r="K383" s="158">
        <f>K384+K385</f>
        <v>4793</v>
      </c>
      <c r="L383" s="7"/>
      <c r="M383" s="7"/>
      <c r="N383" s="7"/>
      <c r="O383" s="7"/>
      <c r="P383" s="7"/>
      <c r="Q383" s="7"/>
      <c r="R383" s="7"/>
      <c r="S383" s="7"/>
      <c r="T383" s="7"/>
      <c r="U383" s="7"/>
      <c r="V383" s="7"/>
      <c r="W383" s="7"/>
    </row>
    <row r="384" spans="1:23" ht="50.25" customHeight="1" x14ac:dyDescent="0.35">
      <c r="A384" s="251">
        <v>75</v>
      </c>
      <c r="B384" s="251"/>
      <c r="C384" s="252"/>
      <c r="D384" s="253"/>
      <c r="E384" s="253"/>
      <c r="F384" s="255"/>
      <c r="G384" s="251"/>
      <c r="H384" s="159" t="s">
        <v>705</v>
      </c>
      <c r="I384" s="158">
        <f>102008.46+D383*13</f>
        <v>111716.08</v>
      </c>
      <c r="J384" s="158">
        <f>I384/D383</f>
        <v>149.61000000000001</v>
      </c>
      <c r="K384" s="158">
        <f>151+13</f>
        <v>164</v>
      </c>
      <c r="L384" s="7"/>
      <c r="M384" s="7"/>
      <c r="N384" s="7"/>
      <c r="O384" s="7"/>
      <c r="P384" s="7"/>
      <c r="Q384" s="7"/>
      <c r="R384" s="7"/>
      <c r="S384" s="7"/>
      <c r="T384" s="7"/>
      <c r="U384" s="7"/>
      <c r="V384" s="7"/>
      <c r="W384" s="7"/>
    </row>
    <row r="385" spans="1:23" x14ac:dyDescent="0.35">
      <c r="A385" s="251"/>
      <c r="B385" s="251"/>
      <c r="C385" s="252"/>
      <c r="D385" s="253"/>
      <c r="E385" s="253"/>
      <c r="F385" s="255"/>
      <c r="G385" s="251"/>
      <c r="H385" s="159" t="s">
        <v>74</v>
      </c>
      <c r="I385" s="158">
        <f>3301820.23*0.3</f>
        <v>990546.07</v>
      </c>
      <c r="J385" s="158">
        <f>I385/D383</f>
        <v>1326.49</v>
      </c>
      <c r="K385" s="158">
        <v>4629</v>
      </c>
      <c r="L385" s="7"/>
      <c r="M385" s="7"/>
      <c r="N385" s="7"/>
      <c r="O385" s="7"/>
      <c r="P385" s="7"/>
      <c r="Q385" s="7"/>
      <c r="R385" s="7"/>
      <c r="S385" s="7"/>
      <c r="T385" s="7"/>
      <c r="U385" s="7"/>
      <c r="V385" s="7"/>
      <c r="W385" s="7"/>
    </row>
    <row r="386" spans="1:23" ht="15.75" customHeight="1" x14ac:dyDescent="0.35">
      <c r="A386" s="251">
        <f>A383+1</f>
        <v>4</v>
      </c>
      <c r="B386" s="251">
        <v>722</v>
      </c>
      <c r="C386" s="252" t="s">
        <v>263</v>
      </c>
      <c r="D386" s="253">
        <v>722.6</v>
      </c>
      <c r="E386" s="253" t="s">
        <v>75</v>
      </c>
      <c r="F386" s="255">
        <v>4</v>
      </c>
      <c r="G386" s="251" t="s">
        <v>72</v>
      </c>
      <c r="H386" s="159" t="s">
        <v>73</v>
      </c>
      <c r="I386" s="158">
        <f>I387+I388</f>
        <v>1069378.25</v>
      </c>
      <c r="J386" s="158">
        <f>J387+J388</f>
        <v>1479.9</v>
      </c>
      <c r="K386" s="158">
        <f>K387+K388</f>
        <v>4793</v>
      </c>
      <c r="L386" s="7"/>
      <c r="M386" s="7"/>
      <c r="N386" s="7"/>
      <c r="O386" s="7"/>
      <c r="P386" s="7"/>
      <c r="Q386" s="7"/>
      <c r="R386" s="7"/>
      <c r="S386" s="7"/>
      <c r="T386" s="7"/>
      <c r="U386" s="7"/>
      <c r="V386" s="7"/>
      <c r="W386" s="7"/>
    </row>
    <row r="387" spans="1:23" ht="51" customHeight="1" x14ac:dyDescent="0.35">
      <c r="A387" s="251">
        <v>75</v>
      </c>
      <c r="B387" s="251"/>
      <c r="C387" s="252"/>
      <c r="D387" s="253"/>
      <c r="E387" s="253"/>
      <c r="F387" s="255"/>
      <c r="G387" s="251"/>
      <c r="H387" s="159" t="s">
        <v>705</v>
      </c>
      <c r="I387" s="158">
        <f>108425.99+D386*13</f>
        <v>117819.79</v>
      </c>
      <c r="J387" s="158">
        <f>I387/D386</f>
        <v>163.05000000000001</v>
      </c>
      <c r="K387" s="158">
        <f>151+13</f>
        <v>164</v>
      </c>
      <c r="L387" s="7"/>
      <c r="M387" s="7"/>
      <c r="N387" s="7"/>
      <c r="O387" s="7"/>
      <c r="P387" s="7"/>
      <c r="Q387" s="7"/>
      <c r="R387" s="7"/>
      <c r="S387" s="7"/>
      <c r="T387" s="7"/>
      <c r="U387" s="7"/>
      <c r="V387" s="7"/>
      <c r="W387" s="7"/>
    </row>
    <row r="388" spans="1:23" x14ac:dyDescent="0.35">
      <c r="A388" s="251"/>
      <c r="B388" s="251"/>
      <c r="C388" s="252"/>
      <c r="D388" s="253"/>
      <c r="E388" s="253"/>
      <c r="F388" s="255"/>
      <c r="G388" s="251"/>
      <c r="H388" s="159" t="s">
        <v>74</v>
      </c>
      <c r="I388" s="158">
        <f>3171861.52*0.3</f>
        <v>951558.46</v>
      </c>
      <c r="J388" s="158">
        <f>I388/D386</f>
        <v>1316.85</v>
      </c>
      <c r="K388" s="158">
        <v>4629</v>
      </c>
      <c r="L388" s="7"/>
      <c r="M388" s="7"/>
      <c r="N388" s="7"/>
      <c r="O388" s="7"/>
      <c r="P388" s="7"/>
      <c r="Q388" s="7"/>
      <c r="R388" s="7"/>
      <c r="S388" s="7"/>
      <c r="T388" s="7"/>
      <c r="U388" s="7"/>
      <c r="V388" s="7"/>
      <c r="W388" s="7"/>
    </row>
    <row r="389" spans="1:23" ht="15.75" customHeight="1" x14ac:dyDescent="0.35">
      <c r="A389" s="251">
        <f>A386+1</f>
        <v>5</v>
      </c>
      <c r="B389" s="251">
        <v>743</v>
      </c>
      <c r="C389" s="252" t="s">
        <v>264</v>
      </c>
      <c r="D389" s="253">
        <v>3996.6</v>
      </c>
      <c r="E389" s="253" t="s">
        <v>71</v>
      </c>
      <c r="F389" s="255">
        <v>5</v>
      </c>
      <c r="G389" s="251" t="s">
        <v>72</v>
      </c>
      <c r="H389" s="159" t="s">
        <v>73</v>
      </c>
      <c r="I389" s="158">
        <f>I390</f>
        <v>655442.4</v>
      </c>
      <c r="J389" s="158">
        <f>J390</f>
        <v>164</v>
      </c>
      <c r="K389" s="158">
        <f>K390</f>
        <v>164</v>
      </c>
      <c r="L389" s="7"/>
      <c r="M389" s="7"/>
      <c r="N389" s="7"/>
      <c r="O389" s="7"/>
      <c r="P389" s="7"/>
      <c r="Q389" s="7"/>
      <c r="R389" s="7"/>
      <c r="S389" s="7"/>
      <c r="T389" s="7"/>
      <c r="U389" s="7"/>
      <c r="V389" s="7"/>
      <c r="W389" s="7"/>
    </row>
    <row r="390" spans="1:23" ht="46.5" x14ac:dyDescent="0.35">
      <c r="A390" s="251">
        <v>75</v>
      </c>
      <c r="B390" s="251"/>
      <c r="C390" s="252"/>
      <c r="D390" s="253"/>
      <c r="E390" s="253"/>
      <c r="F390" s="255"/>
      <c r="G390" s="251"/>
      <c r="H390" s="159" t="s">
        <v>795</v>
      </c>
      <c r="I390" s="158">
        <f>603486.6+D389*13</f>
        <v>655442.4</v>
      </c>
      <c r="J390" s="158">
        <f>I390/D389</f>
        <v>164</v>
      </c>
      <c r="K390" s="158">
        <f>151+13</f>
        <v>164</v>
      </c>
      <c r="L390" s="7"/>
      <c r="M390" s="7"/>
      <c r="N390" s="7"/>
      <c r="O390" s="7"/>
      <c r="P390" s="7"/>
      <c r="Q390" s="7"/>
      <c r="R390" s="7"/>
      <c r="S390" s="7"/>
      <c r="T390" s="7"/>
      <c r="U390" s="7"/>
      <c r="V390" s="7"/>
      <c r="W390" s="7"/>
    </row>
    <row r="391" spans="1:23" x14ac:dyDescent="0.35">
      <c r="A391" s="251">
        <f>A389+1</f>
        <v>6</v>
      </c>
      <c r="B391" s="251">
        <v>881</v>
      </c>
      <c r="C391" s="252" t="s">
        <v>265</v>
      </c>
      <c r="D391" s="253">
        <v>6399.8</v>
      </c>
      <c r="E391" s="253" t="s">
        <v>75</v>
      </c>
      <c r="F391" s="255">
        <v>10</v>
      </c>
      <c r="G391" s="123"/>
      <c r="H391" s="159" t="s">
        <v>73</v>
      </c>
      <c r="I391" s="158">
        <f>SUM(I392:I397)</f>
        <v>3915651.77</v>
      </c>
      <c r="J391" s="158">
        <f>SUM(J392:J397)</f>
        <v>611.84</v>
      </c>
      <c r="K391" s="158">
        <f>SUM(K392:K397)</f>
        <v>818.18</v>
      </c>
      <c r="L391" s="7"/>
      <c r="M391" s="7"/>
      <c r="N391" s="7"/>
      <c r="O391" s="7"/>
      <c r="P391" s="7"/>
      <c r="Q391" s="7"/>
      <c r="R391" s="7"/>
      <c r="S391" s="7"/>
      <c r="T391" s="7"/>
      <c r="U391" s="7"/>
      <c r="V391" s="7"/>
      <c r="W391" s="7"/>
    </row>
    <row r="392" spans="1:23" ht="15.75" customHeight="1" x14ac:dyDescent="0.35">
      <c r="A392" s="251">
        <v>756</v>
      </c>
      <c r="B392" s="251"/>
      <c r="C392" s="252"/>
      <c r="D392" s="253"/>
      <c r="E392" s="253"/>
      <c r="F392" s="255"/>
      <c r="G392" s="251" t="s">
        <v>673</v>
      </c>
      <c r="H392" s="159" t="s">
        <v>674</v>
      </c>
      <c r="I392" s="158">
        <v>1277852.29</v>
      </c>
      <c r="J392" s="158">
        <f>I392/D391</f>
        <v>199.67</v>
      </c>
      <c r="K392" s="158">
        <f>1708823/D391+0.01</f>
        <v>267.02</v>
      </c>
      <c r="L392" s="7"/>
      <c r="M392" s="7"/>
      <c r="N392" s="7"/>
      <c r="O392" s="7"/>
      <c r="P392" s="7"/>
      <c r="Q392" s="7"/>
      <c r="R392" s="7"/>
      <c r="S392" s="7"/>
      <c r="T392" s="7"/>
      <c r="U392" s="7"/>
      <c r="V392" s="7"/>
      <c r="W392" s="7"/>
    </row>
    <row r="393" spans="1:23" x14ac:dyDescent="0.35">
      <c r="A393" s="251">
        <v>757</v>
      </c>
      <c r="B393" s="251"/>
      <c r="C393" s="252"/>
      <c r="D393" s="253"/>
      <c r="E393" s="253"/>
      <c r="F393" s="255"/>
      <c r="G393" s="251"/>
      <c r="H393" s="159" t="s">
        <v>76</v>
      </c>
      <c r="I393" s="158">
        <v>27346.04</v>
      </c>
      <c r="J393" s="158">
        <f>I393/D391</f>
        <v>4.2699999999999996</v>
      </c>
      <c r="K393" s="158">
        <f>36569/D391</f>
        <v>5.71</v>
      </c>
      <c r="L393" s="7"/>
      <c r="M393" s="7"/>
      <c r="N393" s="7"/>
      <c r="O393" s="7"/>
      <c r="P393" s="7"/>
      <c r="Q393" s="7"/>
      <c r="R393" s="7"/>
      <c r="S393" s="7"/>
      <c r="T393" s="7"/>
      <c r="U393" s="7"/>
      <c r="V393" s="7"/>
      <c r="W393" s="7"/>
    </row>
    <row r="394" spans="1:23" ht="15.75" customHeight="1" x14ac:dyDescent="0.35">
      <c r="A394" s="251"/>
      <c r="B394" s="251"/>
      <c r="C394" s="252"/>
      <c r="D394" s="253"/>
      <c r="E394" s="253"/>
      <c r="F394" s="255"/>
      <c r="G394" s="251" t="s">
        <v>679</v>
      </c>
      <c r="H394" s="159" t="s">
        <v>674</v>
      </c>
      <c r="I394" s="158">
        <v>1277852.29</v>
      </c>
      <c r="J394" s="158">
        <f>I394/D391+0.01</f>
        <v>199.68</v>
      </c>
      <c r="K394" s="158">
        <f>1708823/D391+0.01</f>
        <v>267.02</v>
      </c>
      <c r="L394" s="7"/>
      <c r="M394" s="7"/>
      <c r="N394" s="7"/>
      <c r="O394" s="7"/>
      <c r="P394" s="7"/>
      <c r="Q394" s="7"/>
      <c r="R394" s="7"/>
      <c r="S394" s="7"/>
      <c r="T394" s="7"/>
      <c r="U394" s="7"/>
      <c r="V394" s="7"/>
      <c r="W394" s="7"/>
    </row>
    <row r="395" spans="1:23" x14ac:dyDescent="0.35">
      <c r="A395" s="251"/>
      <c r="B395" s="251"/>
      <c r="C395" s="252"/>
      <c r="D395" s="253"/>
      <c r="E395" s="253"/>
      <c r="F395" s="255"/>
      <c r="G395" s="251"/>
      <c r="H395" s="159" t="s">
        <v>76</v>
      </c>
      <c r="I395" s="158">
        <v>27346.04</v>
      </c>
      <c r="J395" s="158">
        <f>I395/D391</f>
        <v>4.2699999999999996</v>
      </c>
      <c r="K395" s="158">
        <f>36569/D391</f>
        <v>5.71</v>
      </c>
      <c r="L395" s="7"/>
      <c r="M395" s="7"/>
      <c r="N395" s="7"/>
      <c r="O395" s="7"/>
      <c r="P395" s="7"/>
      <c r="Q395" s="7"/>
      <c r="R395" s="7"/>
      <c r="S395" s="7"/>
      <c r="T395" s="7"/>
      <c r="U395" s="7"/>
      <c r="V395" s="7"/>
      <c r="W395" s="7"/>
    </row>
    <row r="396" spans="1:23" ht="15.75" customHeight="1" x14ac:dyDescent="0.35">
      <c r="A396" s="251"/>
      <c r="B396" s="251"/>
      <c r="C396" s="252"/>
      <c r="D396" s="253"/>
      <c r="E396" s="253"/>
      <c r="F396" s="255"/>
      <c r="G396" s="251" t="s">
        <v>680</v>
      </c>
      <c r="H396" s="159" t="s">
        <v>674</v>
      </c>
      <c r="I396" s="158">
        <v>1277907.8799999999</v>
      </c>
      <c r="J396" s="158">
        <f>I396/D391</f>
        <v>199.68</v>
      </c>
      <c r="K396" s="158">
        <f>1708823/D391</f>
        <v>267.01</v>
      </c>
      <c r="L396" s="7"/>
      <c r="M396" s="7"/>
      <c r="N396" s="7"/>
      <c r="O396" s="7"/>
      <c r="P396" s="7"/>
      <c r="Q396" s="7"/>
      <c r="R396" s="7"/>
      <c r="S396" s="7"/>
      <c r="T396" s="7"/>
      <c r="U396" s="7"/>
      <c r="V396" s="7"/>
      <c r="W396" s="7"/>
    </row>
    <row r="397" spans="1:23" x14ac:dyDescent="0.35">
      <c r="A397" s="251"/>
      <c r="B397" s="251"/>
      <c r="C397" s="252"/>
      <c r="D397" s="253"/>
      <c r="E397" s="253"/>
      <c r="F397" s="255"/>
      <c r="G397" s="251"/>
      <c r="H397" s="159" t="s">
        <v>76</v>
      </c>
      <c r="I397" s="158">
        <v>27347.23</v>
      </c>
      <c r="J397" s="158">
        <f>I397/D391</f>
        <v>4.2699999999999996</v>
      </c>
      <c r="K397" s="158">
        <f>36569/D391</f>
        <v>5.71</v>
      </c>
      <c r="L397" s="7"/>
      <c r="M397" s="7"/>
      <c r="N397" s="7"/>
      <c r="O397" s="7"/>
      <c r="P397" s="7"/>
      <c r="Q397" s="7"/>
      <c r="R397" s="7"/>
      <c r="S397" s="7"/>
      <c r="T397" s="7"/>
      <c r="U397" s="7"/>
      <c r="V397" s="7"/>
      <c r="W397" s="7"/>
    </row>
    <row r="398" spans="1:23" ht="15.75" customHeight="1" x14ac:dyDescent="0.35">
      <c r="A398" s="251">
        <f>A391+1</f>
        <v>7</v>
      </c>
      <c r="B398" s="251">
        <v>548</v>
      </c>
      <c r="C398" s="252" t="s">
        <v>266</v>
      </c>
      <c r="D398" s="253">
        <v>2962.5</v>
      </c>
      <c r="E398" s="253" t="s">
        <v>75</v>
      </c>
      <c r="F398" s="255">
        <v>5</v>
      </c>
      <c r="G398" s="123"/>
      <c r="H398" s="159" t="s">
        <v>73</v>
      </c>
      <c r="I398" s="158">
        <f>I399+I400+I401+I402+I403+I404</f>
        <v>8844854.4000000004</v>
      </c>
      <c r="J398" s="158">
        <f>J399+J400+J401+J402+J403+J404</f>
        <v>2985.6</v>
      </c>
      <c r="K398" s="158">
        <f>K399+K400+K401+K402+K403+K404</f>
        <v>3640</v>
      </c>
      <c r="L398" s="7"/>
      <c r="M398" s="7"/>
      <c r="N398" s="7"/>
      <c r="O398" s="7"/>
      <c r="P398" s="7"/>
      <c r="Q398" s="7"/>
      <c r="R398" s="7"/>
      <c r="S398" s="7"/>
      <c r="T398" s="7"/>
      <c r="U398" s="7"/>
      <c r="V398" s="7"/>
      <c r="W398" s="7"/>
    </row>
    <row r="399" spans="1:23" ht="15.75" customHeight="1" x14ac:dyDescent="0.35">
      <c r="A399" s="251">
        <v>882</v>
      </c>
      <c r="B399" s="251"/>
      <c r="C399" s="252"/>
      <c r="D399" s="253"/>
      <c r="E399" s="253"/>
      <c r="F399" s="255"/>
      <c r="G399" s="251" t="s">
        <v>77</v>
      </c>
      <c r="H399" s="159" t="s">
        <v>74</v>
      </c>
      <c r="I399" s="158">
        <v>6624685.4100000001</v>
      </c>
      <c r="J399" s="158">
        <f>I399/D398</f>
        <v>2236.1799999999998</v>
      </c>
      <c r="K399" s="158">
        <v>2691</v>
      </c>
      <c r="L399" s="7"/>
      <c r="M399" s="7"/>
      <c r="N399" s="7"/>
      <c r="O399" s="7"/>
      <c r="P399" s="7"/>
      <c r="Q399" s="7"/>
      <c r="R399" s="7"/>
      <c r="S399" s="7"/>
      <c r="T399" s="7"/>
      <c r="U399" s="7"/>
      <c r="V399" s="7"/>
      <c r="W399" s="7"/>
    </row>
    <row r="400" spans="1:23" x14ac:dyDescent="0.35">
      <c r="A400" s="251">
        <v>883</v>
      </c>
      <c r="B400" s="251"/>
      <c r="C400" s="252"/>
      <c r="D400" s="253"/>
      <c r="E400" s="253"/>
      <c r="F400" s="255"/>
      <c r="G400" s="251"/>
      <c r="H400" s="159" t="s">
        <v>76</v>
      </c>
      <c r="I400" s="158">
        <v>87986.25</v>
      </c>
      <c r="J400" s="158">
        <f>I400/D398</f>
        <v>29.7</v>
      </c>
      <c r="K400" s="158">
        <v>58</v>
      </c>
      <c r="L400" s="7"/>
      <c r="M400" s="7"/>
      <c r="N400" s="7"/>
      <c r="O400" s="7"/>
      <c r="P400" s="7"/>
      <c r="Q400" s="7"/>
      <c r="R400" s="7"/>
      <c r="S400" s="7"/>
      <c r="T400" s="7"/>
      <c r="U400" s="7"/>
      <c r="V400" s="7"/>
      <c r="W400" s="7"/>
    </row>
    <row r="401" spans="1:23" ht="22.5" customHeight="1" x14ac:dyDescent="0.35">
      <c r="A401" s="251">
        <v>884</v>
      </c>
      <c r="B401" s="251"/>
      <c r="C401" s="252"/>
      <c r="D401" s="253"/>
      <c r="E401" s="253"/>
      <c r="F401" s="255"/>
      <c r="G401" s="251" t="s">
        <v>78</v>
      </c>
      <c r="H401" s="159" t="s">
        <v>74</v>
      </c>
      <c r="I401" s="158">
        <v>870661.37</v>
      </c>
      <c r="J401" s="158">
        <f>I401/D398</f>
        <v>293.89</v>
      </c>
      <c r="K401" s="158">
        <v>463</v>
      </c>
      <c r="L401" s="7"/>
      <c r="M401" s="7"/>
      <c r="N401" s="7"/>
      <c r="O401" s="7"/>
      <c r="P401" s="7"/>
      <c r="Q401" s="7"/>
      <c r="R401" s="7"/>
      <c r="S401" s="7"/>
      <c r="T401" s="7"/>
      <c r="U401" s="7"/>
      <c r="V401" s="7"/>
      <c r="W401" s="7"/>
    </row>
    <row r="402" spans="1:23" x14ac:dyDescent="0.35">
      <c r="A402" s="251">
        <v>885</v>
      </c>
      <c r="B402" s="251"/>
      <c r="C402" s="252"/>
      <c r="D402" s="253"/>
      <c r="E402" s="253"/>
      <c r="F402" s="255"/>
      <c r="G402" s="251"/>
      <c r="H402" s="159" t="s">
        <v>76</v>
      </c>
      <c r="I402" s="158">
        <v>29328.75</v>
      </c>
      <c r="J402" s="158">
        <f>I402/D398</f>
        <v>9.9</v>
      </c>
      <c r="K402" s="158">
        <v>10</v>
      </c>
      <c r="L402" s="7"/>
      <c r="M402" s="7"/>
      <c r="N402" s="7"/>
      <c r="O402" s="7"/>
      <c r="P402" s="7"/>
      <c r="Q402" s="7"/>
      <c r="R402" s="7"/>
      <c r="S402" s="7"/>
      <c r="T402" s="7"/>
      <c r="U402" s="7"/>
      <c r="V402" s="7"/>
      <c r="W402" s="7"/>
    </row>
    <row r="403" spans="1:23" ht="22.5" customHeight="1" x14ac:dyDescent="0.35">
      <c r="A403" s="251">
        <v>886</v>
      </c>
      <c r="B403" s="251"/>
      <c r="C403" s="252"/>
      <c r="D403" s="253"/>
      <c r="E403" s="253"/>
      <c r="F403" s="255"/>
      <c r="G403" s="251" t="s">
        <v>79</v>
      </c>
      <c r="H403" s="159" t="s">
        <v>74</v>
      </c>
      <c r="I403" s="158">
        <f>D398*K403</f>
        <v>1211662.5</v>
      </c>
      <c r="J403" s="158">
        <f>I403/D398</f>
        <v>409</v>
      </c>
      <c r="K403" s="158">
        <v>409</v>
      </c>
      <c r="L403" s="7"/>
      <c r="M403" s="7"/>
      <c r="N403" s="7"/>
      <c r="O403" s="7"/>
      <c r="P403" s="7"/>
      <c r="Q403" s="7"/>
      <c r="R403" s="7"/>
      <c r="S403" s="7"/>
      <c r="T403" s="7"/>
      <c r="U403" s="7"/>
      <c r="V403" s="7"/>
      <c r="W403" s="7"/>
    </row>
    <row r="404" spans="1:23" x14ac:dyDescent="0.35">
      <c r="A404" s="251">
        <v>887</v>
      </c>
      <c r="B404" s="251"/>
      <c r="C404" s="252"/>
      <c r="D404" s="253"/>
      <c r="E404" s="253"/>
      <c r="F404" s="255"/>
      <c r="G404" s="251"/>
      <c r="H404" s="159" t="s">
        <v>76</v>
      </c>
      <c r="I404" s="158">
        <v>20530.12</v>
      </c>
      <c r="J404" s="158">
        <f>I404/D398</f>
        <v>6.93</v>
      </c>
      <c r="K404" s="158">
        <v>9</v>
      </c>
      <c r="L404" s="7"/>
      <c r="M404" s="7"/>
      <c r="N404" s="7"/>
      <c r="O404" s="7"/>
      <c r="P404" s="7"/>
      <c r="Q404" s="7"/>
      <c r="R404" s="7"/>
      <c r="S404" s="7"/>
      <c r="T404" s="7"/>
      <c r="U404" s="7"/>
      <c r="V404" s="7"/>
      <c r="W404" s="7"/>
    </row>
    <row r="405" spans="1:23" x14ac:dyDescent="0.35">
      <c r="A405" s="251">
        <f>A398+1</f>
        <v>8</v>
      </c>
      <c r="B405" s="251">
        <v>324</v>
      </c>
      <c r="C405" s="252" t="s">
        <v>268</v>
      </c>
      <c r="D405" s="274">
        <v>3374.5</v>
      </c>
      <c r="E405" s="274" t="s">
        <v>75</v>
      </c>
      <c r="F405" s="293">
        <v>5</v>
      </c>
      <c r="G405" s="251" t="s">
        <v>72</v>
      </c>
      <c r="H405" s="159" t="s">
        <v>73</v>
      </c>
      <c r="I405" s="158">
        <f>I406+I407</f>
        <v>5737346.5800000001</v>
      </c>
      <c r="J405" s="158">
        <f>J406+J407</f>
        <v>1700.21</v>
      </c>
      <c r="K405" s="158">
        <f>K406+K407</f>
        <v>2831</v>
      </c>
      <c r="L405" s="7"/>
      <c r="M405" s="7"/>
      <c r="N405" s="7"/>
      <c r="O405" s="7"/>
      <c r="P405" s="7"/>
      <c r="Q405" s="7"/>
      <c r="R405" s="7"/>
      <c r="S405" s="7"/>
      <c r="T405" s="7"/>
      <c r="U405" s="7"/>
      <c r="V405" s="7"/>
      <c r="W405" s="7"/>
    </row>
    <row r="406" spans="1:23" x14ac:dyDescent="0.35">
      <c r="A406" s="251">
        <v>75</v>
      </c>
      <c r="B406" s="251"/>
      <c r="C406" s="252"/>
      <c r="D406" s="274"/>
      <c r="E406" s="274"/>
      <c r="F406" s="293"/>
      <c r="G406" s="251"/>
      <c r="H406" s="159" t="s">
        <v>74</v>
      </c>
      <c r="I406" s="158">
        <v>5617139.79</v>
      </c>
      <c r="J406" s="158">
        <f>I406/D405+0.01</f>
        <v>1664.59</v>
      </c>
      <c r="K406" s="158">
        <v>2772</v>
      </c>
      <c r="L406" s="7"/>
      <c r="M406" s="7"/>
      <c r="N406" s="7"/>
      <c r="O406" s="7"/>
      <c r="P406" s="7"/>
      <c r="Q406" s="7"/>
      <c r="R406" s="7"/>
      <c r="S406" s="7"/>
      <c r="T406" s="7"/>
      <c r="U406" s="7"/>
      <c r="V406" s="7"/>
      <c r="W406" s="7"/>
    </row>
    <row r="407" spans="1:23" x14ac:dyDescent="0.35">
      <c r="A407" s="251">
        <v>76</v>
      </c>
      <c r="B407" s="251"/>
      <c r="C407" s="252"/>
      <c r="D407" s="274"/>
      <c r="E407" s="274"/>
      <c r="F407" s="293"/>
      <c r="G407" s="251"/>
      <c r="H407" s="159" t="s">
        <v>76</v>
      </c>
      <c r="I407" s="158">
        <v>120206.79</v>
      </c>
      <c r="J407" s="158">
        <f>I407/D405</f>
        <v>35.619999999999997</v>
      </c>
      <c r="K407" s="158">
        <v>59</v>
      </c>
      <c r="L407" s="7"/>
      <c r="M407" s="7"/>
      <c r="N407" s="7"/>
      <c r="O407" s="7"/>
      <c r="P407" s="7"/>
      <c r="Q407" s="7"/>
      <c r="R407" s="7"/>
      <c r="S407" s="7"/>
      <c r="T407" s="7"/>
      <c r="U407" s="7"/>
      <c r="V407" s="7"/>
      <c r="W407" s="7"/>
    </row>
    <row r="408" spans="1:23" x14ac:dyDescent="0.35">
      <c r="A408" s="251">
        <f>A405+1</f>
        <v>9</v>
      </c>
      <c r="B408" s="251">
        <v>373</v>
      </c>
      <c r="C408" s="252" t="s">
        <v>269</v>
      </c>
      <c r="D408" s="253">
        <v>3339.5</v>
      </c>
      <c r="E408" s="253" t="s">
        <v>75</v>
      </c>
      <c r="F408" s="255">
        <v>5</v>
      </c>
      <c r="G408" s="123"/>
      <c r="H408" s="159" t="s">
        <v>73</v>
      </c>
      <c r="I408" s="158">
        <f>I409+I410+I411+I412+I413+I414</f>
        <v>4598043.3600000003</v>
      </c>
      <c r="J408" s="158">
        <f>J409+J410+J411+J412+J413+J414</f>
        <v>1376.87</v>
      </c>
      <c r="K408" s="158">
        <f>K409+K410+K411+K412+K413+K414</f>
        <v>3055</v>
      </c>
      <c r="L408" s="7"/>
      <c r="M408" s="7"/>
      <c r="N408" s="7"/>
      <c r="O408" s="7"/>
      <c r="P408" s="7"/>
      <c r="Q408" s="7"/>
      <c r="R408" s="7"/>
      <c r="S408" s="7"/>
      <c r="T408" s="7"/>
      <c r="U408" s="7"/>
      <c r="V408" s="7"/>
      <c r="W408" s="7"/>
    </row>
    <row r="409" spans="1:23" ht="15.75" customHeight="1" x14ac:dyDescent="0.35">
      <c r="A409" s="251">
        <v>882</v>
      </c>
      <c r="B409" s="251"/>
      <c r="C409" s="252"/>
      <c r="D409" s="253"/>
      <c r="E409" s="253"/>
      <c r="F409" s="255"/>
      <c r="G409" s="251" t="s">
        <v>77</v>
      </c>
      <c r="H409" s="159" t="s">
        <v>74</v>
      </c>
      <c r="I409" s="158">
        <v>3631407.38</v>
      </c>
      <c r="J409" s="158">
        <f>I409/D408+0.01</f>
        <v>1087.42</v>
      </c>
      <c r="K409" s="158">
        <v>2119</v>
      </c>
      <c r="L409" s="7"/>
      <c r="M409" s="7"/>
      <c r="N409" s="7"/>
      <c r="O409" s="7"/>
      <c r="P409" s="7"/>
      <c r="Q409" s="7"/>
      <c r="R409" s="7"/>
      <c r="S409" s="7"/>
      <c r="T409" s="7"/>
      <c r="U409" s="7"/>
      <c r="V409" s="7"/>
      <c r="W409" s="7"/>
    </row>
    <row r="410" spans="1:23" x14ac:dyDescent="0.35">
      <c r="A410" s="251">
        <v>883</v>
      </c>
      <c r="B410" s="251"/>
      <c r="C410" s="252"/>
      <c r="D410" s="253"/>
      <c r="E410" s="253"/>
      <c r="F410" s="255"/>
      <c r="G410" s="251"/>
      <c r="H410" s="159" t="s">
        <v>76</v>
      </c>
      <c r="I410" s="158">
        <v>50089.15</v>
      </c>
      <c r="J410" s="158">
        <f>I410/D408</f>
        <v>15</v>
      </c>
      <c r="K410" s="158">
        <v>45</v>
      </c>
      <c r="L410" s="7"/>
      <c r="M410" s="7"/>
      <c r="N410" s="7"/>
      <c r="O410" s="7"/>
      <c r="P410" s="7"/>
      <c r="Q410" s="7"/>
      <c r="R410" s="7"/>
      <c r="S410" s="7"/>
      <c r="T410" s="7"/>
      <c r="U410" s="7"/>
      <c r="V410" s="7"/>
      <c r="W410" s="7"/>
    </row>
    <row r="411" spans="1:23" ht="15.75" customHeight="1" x14ac:dyDescent="0.35">
      <c r="A411" s="251">
        <v>884</v>
      </c>
      <c r="B411" s="251"/>
      <c r="C411" s="252"/>
      <c r="D411" s="253"/>
      <c r="E411" s="253"/>
      <c r="F411" s="255"/>
      <c r="G411" s="251" t="s">
        <v>78</v>
      </c>
      <c r="H411" s="159" t="s">
        <v>74</v>
      </c>
      <c r="I411" s="158">
        <v>320798.92</v>
      </c>
      <c r="J411" s="158">
        <f>I411/D408</f>
        <v>96.06</v>
      </c>
      <c r="K411" s="158">
        <v>463</v>
      </c>
      <c r="L411" s="7"/>
      <c r="M411" s="7"/>
      <c r="N411" s="7"/>
      <c r="O411" s="7"/>
      <c r="P411" s="7"/>
      <c r="Q411" s="7"/>
      <c r="R411" s="7"/>
      <c r="S411" s="7"/>
      <c r="T411" s="7"/>
      <c r="U411" s="7"/>
      <c r="V411" s="7"/>
      <c r="W411" s="7"/>
    </row>
    <row r="412" spans="1:23" x14ac:dyDescent="0.35">
      <c r="A412" s="251">
        <v>885</v>
      </c>
      <c r="B412" s="251"/>
      <c r="C412" s="252"/>
      <c r="D412" s="253"/>
      <c r="E412" s="253"/>
      <c r="F412" s="255"/>
      <c r="G412" s="251"/>
      <c r="H412" s="159" t="s">
        <v>76</v>
      </c>
      <c r="I412" s="158">
        <v>16696.38</v>
      </c>
      <c r="J412" s="158">
        <f>I412/D408</f>
        <v>5</v>
      </c>
      <c r="K412" s="158">
        <v>10</v>
      </c>
      <c r="L412" s="7"/>
      <c r="M412" s="7"/>
      <c r="N412" s="7"/>
      <c r="O412" s="7"/>
      <c r="P412" s="7"/>
      <c r="Q412" s="7"/>
      <c r="R412" s="7"/>
      <c r="S412" s="7"/>
      <c r="T412" s="7"/>
      <c r="U412" s="7"/>
      <c r="V412" s="7"/>
      <c r="W412" s="7"/>
    </row>
    <row r="413" spans="1:23" ht="15.75" customHeight="1" x14ac:dyDescent="0.35">
      <c r="A413" s="251">
        <v>886</v>
      </c>
      <c r="B413" s="251"/>
      <c r="C413" s="252"/>
      <c r="D413" s="253"/>
      <c r="E413" s="253"/>
      <c r="F413" s="255"/>
      <c r="G413" s="251" t="s">
        <v>79</v>
      </c>
      <c r="H413" s="159" t="s">
        <v>74</v>
      </c>
      <c r="I413" s="158">
        <v>567364.06000000006</v>
      </c>
      <c r="J413" s="158">
        <f>I413/D408</f>
        <v>169.89</v>
      </c>
      <c r="K413" s="158">
        <v>409</v>
      </c>
      <c r="L413" s="7"/>
      <c r="M413" s="7"/>
      <c r="N413" s="7"/>
      <c r="O413" s="7"/>
      <c r="P413" s="7"/>
      <c r="Q413" s="7"/>
      <c r="R413" s="7"/>
      <c r="S413" s="7"/>
      <c r="T413" s="7"/>
      <c r="U413" s="7"/>
      <c r="V413" s="7"/>
      <c r="W413" s="7"/>
    </row>
    <row r="414" spans="1:23" x14ac:dyDescent="0.35">
      <c r="A414" s="251">
        <v>887</v>
      </c>
      <c r="B414" s="251"/>
      <c r="C414" s="252"/>
      <c r="D414" s="253"/>
      <c r="E414" s="253"/>
      <c r="F414" s="255"/>
      <c r="G414" s="251"/>
      <c r="H414" s="159" t="s">
        <v>76</v>
      </c>
      <c r="I414" s="158">
        <v>11687.47</v>
      </c>
      <c r="J414" s="158">
        <f>I414/D408</f>
        <v>3.5</v>
      </c>
      <c r="K414" s="158">
        <v>9</v>
      </c>
      <c r="L414" s="7"/>
      <c r="M414" s="7"/>
      <c r="N414" s="7"/>
      <c r="O414" s="7"/>
      <c r="P414" s="7"/>
      <c r="Q414" s="7"/>
      <c r="R414" s="7"/>
      <c r="S414" s="7"/>
      <c r="T414" s="7"/>
      <c r="U414" s="7"/>
      <c r="V414" s="7"/>
      <c r="W414" s="7"/>
    </row>
    <row r="415" spans="1:23" x14ac:dyDescent="0.35">
      <c r="A415" s="251">
        <f>A408+1</f>
        <v>10</v>
      </c>
      <c r="B415" s="251">
        <v>339</v>
      </c>
      <c r="C415" s="252" t="s">
        <v>270</v>
      </c>
      <c r="D415" s="253">
        <v>7469.5</v>
      </c>
      <c r="E415" s="253" t="s">
        <v>75</v>
      </c>
      <c r="F415" s="255">
        <v>5</v>
      </c>
      <c r="G415" s="251" t="s">
        <v>72</v>
      </c>
      <c r="H415" s="159" t="s">
        <v>73</v>
      </c>
      <c r="I415" s="158">
        <f>I416+I417</f>
        <v>2311662.9900000002</v>
      </c>
      <c r="J415" s="158">
        <f>J416+J417</f>
        <v>309.48</v>
      </c>
      <c r="K415" s="158">
        <f>K416+K417</f>
        <v>2936</v>
      </c>
      <c r="L415" s="7"/>
      <c r="M415" s="7"/>
      <c r="N415" s="7"/>
      <c r="O415" s="7"/>
      <c r="P415" s="7"/>
      <c r="Q415" s="7"/>
      <c r="R415" s="7"/>
      <c r="S415" s="7"/>
      <c r="T415" s="7"/>
      <c r="U415" s="7"/>
      <c r="V415" s="7"/>
      <c r="W415" s="7"/>
    </row>
    <row r="416" spans="1:23" ht="49.5" customHeight="1" x14ac:dyDescent="0.35">
      <c r="A416" s="251">
        <v>75</v>
      </c>
      <c r="B416" s="251"/>
      <c r="C416" s="252"/>
      <c r="D416" s="253"/>
      <c r="E416" s="253"/>
      <c r="F416" s="255"/>
      <c r="G416" s="251"/>
      <c r="H416" s="159" t="s">
        <v>705</v>
      </c>
      <c r="I416" s="158">
        <f>44060.27+2037.93</f>
        <v>46098.2</v>
      </c>
      <c r="J416" s="158">
        <f>I416/D415</f>
        <v>6.17</v>
      </c>
      <c r="K416" s="158">
        <f>151+13</f>
        <v>164</v>
      </c>
      <c r="L416" s="7"/>
      <c r="M416" s="7"/>
      <c r="N416" s="7"/>
      <c r="O416" s="7"/>
      <c r="P416" s="7"/>
      <c r="Q416" s="7"/>
      <c r="R416" s="7"/>
      <c r="S416" s="7"/>
      <c r="T416" s="7"/>
      <c r="U416" s="7"/>
      <c r="V416" s="7"/>
      <c r="W416" s="7"/>
    </row>
    <row r="417" spans="1:23" x14ac:dyDescent="0.35">
      <c r="A417" s="251">
        <v>77</v>
      </c>
      <c r="B417" s="251"/>
      <c r="C417" s="252"/>
      <c r="D417" s="253"/>
      <c r="E417" s="253"/>
      <c r="F417" s="255"/>
      <c r="G417" s="251"/>
      <c r="H417" s="159" t="s">
        <v>74</v>
      </c>
      <c r="I417" s="158">
        <f>7551882.63*0.3</f>
        <v>2265564.79</v>
      </c>
      <c r="J417" s="158">
        <f>I417/D415</f>
        <v>303.31</v>
      </c>
      <c r="K417" s="158">
        <v>2772</v>
      </c>
      <c r="L417" s="7"/>
      <c r="M417" s="7"/>
      <c r="N417" s="7"/>
      <c r="O417" s="7"/>
      <c r="P417" s="7"/>
      <c r="Q417" s="7"/>
      <c r="R417" s="7"/>
      <c r="S417" s="7"/>
      <c r="T417" s="7"/>
      <c r="U417" s="7"/>
      <c r="V417" s="7"/>
      <c r="W417" s="7"/>
    </row>
    <row r="418" spans="1:23" ht="15.75" customHeight="1" x14ac:dyDescent="0.35">
      <c r="A418" s="251">
        <f>A415+1</f>
        <v>11</v>
      </c>
      <c r="B418" s="251">
        <v>124</v>
      </c>
      <c r="C418" s="252" t="s">
        <v>271</v>
      </c>
      <c r="D418" s="253">
        <v>562.79999999999995</v>
      </c>
      <c r="E418" s="253" t="s">
        <v>665</v>
      </c>
      <c r="F418" s="255">
        <v>2</v>
      </c>
      <c r="G418" s="251" t="s">
        <v>72</v>
      </c>
      <c r="H418" s="159" t="s">
        <v>73</v>
      </c>
      <c r="I418" s="158">
        <f>I419+I420</f>
        <v>2478607.6</v>
      </c>
      <c r="J418" s="158">
        <f>J419+J420</f>
        <v>4404.0600000000004</v>
      </c>
      <c r="K418" s="158">
        <f>K419+K420</f>
        <v>7066</v>
      </c>
      <c r="L418" s="7"/>
      <c r="M418" s="7"/>
      <c r="N418" s="7"/>
      <c r="O418" s="7"/>
      <c r="P418" s="7"/>
      <c r="Q418" s="7"/>
      <c r="R418" s="7"/>
      <c r="S418" s="7"/>
      <c r="T418" s="7"/>
      <c r="U418" s="7"/>
      <c r="V418" s="7"/>
      <c r="W418" s="7"/>
    </row>
    <row r="419" spans="1:23" x14ac:dyDescent="0.35">
      <c r="A419" s="251">
        <v>75</v>
      </c>
      <c r="B419" s="251"/>
      <c r="C419" s="252"/>
      <c r="D419" s="253"/>
      <c r="E419" s="253"/>
      <c r="F419" s="255"/>
      <c r="G419" s="251"/>
      <c r="H419" s="159" t="s">
        <v>74</v>
      </c>
      <c r="I419" s="158">
        <v>2450475</v>
      </c>
      <c r="J419" s="158">
        <f>I419/D418-0.01</f>
        <v>4354.07</v>
      </c>
      <c r="K419" s="158">
        <v>6918</v>
      </c>
      <c r="L419" s="7"/>
      <c r="M419" s="7"/>
      <c r="N419" s="7"/>
      <c r="O419" s="7"/>
      <c r="P419" s="7"/>
      <c r="Q419" s="7"/>
      <c r="R419" s="7"/>
      <c r="S419" s="7"/>
      <c r="T419" s="7"/>
      <c r="U419" s="7"/>
      <c r="V419" s="7"/>
      <c r="W419" s="7"/>
    </row>
    <row r="420" spans="1:23" x14ac:dyDescent="0.35">
      <c r="A420" s="251">
        <v>76</v>
      </c>
      <c r="B420" s="251"/>
      <c r="C420" s="252"/>
      <c r="D420" s="253"/>
      <c r="E420" s="253"/>
      <c r="F420" s="255"/>
      <c r="G420" s="251"/>
      <c r="H420" s="159" t="s">
        <v>76</v>
      </c>
      <c r="I420" s="158">
        <v>28132.6</v>
      </c>
      <c r="J420" s="158">
        <f>I420/D418</f>
        <v>49.99</v>
      </c>
      <c r="K420" s="158">
        <v>148</v>
      </c>
      <c r="L420" s="7"/>
      <c r="M420" s="7"/>
      <c r="N420" s="7"/>
      <c r="O420" s="7"/>
      <c r="P420" s="7"/>
      <c r="Q420" s="7"/>
      <c r="R420" s="7"/>
      <c r="S420" s="7"/>
      <c r="T420" s="7"/>
      <c r="U420" s="7"/>
      <c r="V420" s="7"/>
      <c r="W420" s="7"/>
    </row>
    <row r="421" spans="1:23" ht="15.75" customHeight="1" x14ac:dyDescent="0.35">
      <c r="A421" s="251">
        <f>A418+1</f>
        <v>12</v>
      </c>
      <c r="B421" s="251">
        <v>626</v>
      </c>
      <c r="C421" s="252" t="s">
        <v>272</v>
      </c>
      <c r="D421" s="253">
        <v>2793.5</v>
      </c>
      <c r="E421" s="253" t="s">
        <v>71</v>
      </c>
      <c r="F421" s="255">
        <v>5</v>
      </c>
      <c r="G421" s="251" t="s">
        <v>72</v>
      </c>
      <c r="H421" s="159" t="s">
        <v>73</v>
      </c>
      <c r="I421" s="158">
        <f>I422+I423</f>
        <v>2778445.98</v>
      </c>
      <c r="J421" s="158">
        <f>J422+J423</f>
        <v>994.61</v>
      </c>
      <c r="K421" s="158">
        <f>K422+K423</f>
        <v>2936</v>
      </c>
      <c r="L421" s="7"/>
      <c r="M421" s="7"/>
      <c r="N421" s="7"/>
      <c r="O421" s="7"/>
      <c r="P421" s="7"/>
      <c r="Q421" s="7"/>
      <c r="R421" s="7"/>
      <c r="S421" s="7"/>
      <c r="T421" s="7"/>
      <c r="U421" s="7"/>
      <c r="V421" s="7"/>
      <c r="W421" s="7"/>
    </row>
    <row r="422" spans="1:23" ht="50.25" customHeight="1" x14ac:dyDescent="0.35">
      <c r="A422" s="251">
        <v>75</v>
      </c>
      <c r="B422" s="251"/>
      <c r="C422" s="252"/>
      <c r="D422" s="253"/>
      <c r="E422" s="253"/>
      <c r="F422" s="255"/>
      <c r="G422" s="251"/>
      <c r="H422" s="159" t="s">
        <v>705</v>
      </c>
      <c r="I422" s="158">
        <f>419055.88+D421*13</f>
        <v>455371.38</v>
      </c>
      <c r="J422" s="158">
        <f>I422/D421</f>
        <v>163.01</v>
      </c>
      <c r="K422" s="158">
        <f>151+13</f>
        <v>164</v>
      </c>
      <c r="L422" s="7"/>
      <c r="M422" s="7"/>
      <c r="N422" s="7"/>
      <c r="O422" s="7"/>
      <c r="P422" s="7"/>
      <c r="Q422" s="7"/>
      <c r="R422" s="7"/>
      <c r="S422" s="7"/>
      <c r="T422" s="7"/>
      <c r="U422" s="7"/>
      <c r="V422" s="7"/>
      <c r="W422" s="7"/>
    </row>
    <row r="423" spans="1:23" x14ac:dyDescent="0.35">
      <c r="A423" s="251"/>
      <c r="B423" s="251"/>
      <c r="C423" s="252"/>
      <c r="D423" s="253"/>
      <c r="E423" s="253"/>
      <c r="F423" s="255"/>
      <c r="G423" s="251"/>
      <c r="H423" s="159" t="s">
        <v>74</v>
      </c>
      <c r="I423" s="158">
        <f>K423*D421*0.3</f>
        <v>2323074.6</v>
      </c>
      <c r="J423" s="158">
        <f>I423/D421</f>
        <v>831.6</v>
      </c>
      <c r="K423" s="158">
        <v>2772</v>
      </c>
      <c r="L423" s="7"/>
      <c r="M423" s="7"/>
      <c r="N423" s="7"/>
      <c r="O423" s="7"/>
      <c r="P423" s="7"/>
      <c r="Q423" s="7"/>
      <c r="R423" s="7"/>
      <c r="S423" s="7"/>
      <c r="T423" s="7"/>
      <c r="U423" s="7"/>
      <c r="V423" s="7"/>
      <c r="W423" s="7"/>
    </row>
    <row r="424" spans="1:23" ht="15.75" customHeight="1" x14ac:dyDescent="0.35">
      <c r="A424" s="251">
        <f>A421+1</f>
        <v>13</v>
      </c>
      <c r="B424" s="251">
        <v>842</v>
      </c>
      <c r="C424" s="252" t="s">
        <v>273</v>
      </c>
      <c r="D424" s="253">
        <v>4014.5</v>
      </c>
      <c r="E424" s="253" t="s">
        <v>71</v>
      </c>
      <c r="F424" s="255">
        <v>5</v>
      </c>
      <c r="G424" s="251" t="s">
        <v>72</v>
      </c>
      <c r="H424" s="159" t="s">
        <v>73</v>
      </c>
      <c r="I424" s="158">
        <f>I425</f>
        <v>611106.02</v>
      </c>
      <c r="J424" s="158">
        <f>J425</f>
        <v>152.22</v>
      </c>
      <c r="K424" s="158">
        <f>K425</f>
        <v>164</v>
      </c>
      <c r="L424" s="7"/>
      <c r="M424" s="7"/>
      <c r="N424" s="7"/>
      <c r="O424" s="7"/>
      <c r="P424" s="7"/>
      <c r="Q424" s="7"/>
      <c r="R424" s="7"/>
      <c r="S424" s="7"/>
      <c r="T424" s="7"/>
      <c r="U424" s="7"/>
      <c r="V424" s="7"/>
      <c r="W424" s="7"/>
    </row>
    <row r="425" spans="1:23" ht="50.25" customHeight="1" x14ac:dyDescent="0.35">
      <c r="A425" s="251">
        <v>75</v>
      </c>
      <c r="B425" s="251"/>
      <c r="C425" s="252"/>
      <c r="D425" s="253"/>
      <c r="E425" s="253"/>
      <c r="F425" s="255"/>
      <c r="G425" s="251"/>
      <c r="H425" s="159" t="s">
        <v>705</v>
      </c>
      <c r="I425" s="158">
        <f>558917.52+D424*13</f>
        <v>611106.02</v>
      </c>
      <c r="J425" s="158">
        <f>I425/D424</f>
        <v>152.22</v>
      </c>
      <c r="K425" s="158">
        <f>151+13</f>
        <v>164</v>
      </c>
      <c r="L425" s="7"/>
      <c r="M425" s="7"/>
      <c r="N425" s="7"/>
      <c r="O425" s="7"/>
      <c r="P425" s="7"/>
      <c r="Q425" s="7"/>
      <c r="R425" s="7"/>
      <c r="S425" s="7"/>
      <c r="T425" s="7"/>
      <c r="U425" s="7"/>
      <c r="V425" s="7"/>
      <c r="W425" s="7"/>
    </row>
    <row r="426" spans="1:23" ht="15.75" customHeight="1" x14ac:dyDescent="0.35">
      <c r="A426" s="251">
        <f>A424+1</f>
        <v>14</v>
      </c>
      <c r="B426" s="251">
        <v>767</v>
      </c>
      <c r="C426" s="252" t="s">
        <v>274</v>
      </c>
      <c r="D426" s="253">
        <v>1666.3</v>
      </c>
      <c r="E426" s="253" t="s">
        <v>75</v>
      </c>
      <c r="F426" s="255">
        <v>4</v>
      </c>
      <c r="G426" s="251" t="s">
        <v>72</v>
      </c>
      <c r="H426" s="159" t="s">
        <v>73</v>
      </c>
      <c r="I426" s="158">
        <f>I427</f>
        <v>179219.18</v>
      </c>
      <c r="J426" s="158">
        <f>J427</f>
        <v>107.56</v>
      </c>
      <c r="K426" s="158">
        <f>K427</f>
        <v>164</v>
      </c>
      <c r="L426" s="7"/>
      <c r="M426" s="7"/>
      <c r="N426" s="7"/>
      <c r="O426" s="7"/>
      <c r="P426" s="7"/>
      <c r="Q426" s="7"/>
      <c r="R426" s="7"/>
      <c r="S426" s="7"/>
      <c r="T426" s="7"/>
      <c r="U426" s="7"/>
      <c r="V426" s="7"/>
      <c r="W426" s="7"/>
    </row>
    <row r="427" spans="1:23" ht="51" customHeight="1" x14ac:dyDescent="0.35">
      <c r="A427" s="251">
        <v>75</v>
      </c>
      <c r="B427" s="251"/>
      <c r="C427" s="252"/>
      <c r="D427" s="253"/>
      <c r="E427" s="253"/>
      <c r="F427" s="255"/>
      <c r="G427" s="251"/>
      <c r="H427" s="159" t="s">
        <v>705</v>
      </c>
      <c r="I427" s="158">
        <v>179219.18</v>
      </c>
      <c r="J427" s="158">
        <f>I427/D426</f>
        <v>107.56</v>
      </c>
      <c r="K427" s="158">
        <f>151+13</f>
        <v>164</v>
      </c>
      <c r="L427" s="7"/>
      <c r="M427" s="7"/>
      <c r="N427" s="7"/>
      <c r="O427" s="7"/>
      <c r="P427" s="7"/>
      <c r="Q427" s="7"/>
      <c r="R427" s="7"/>
      <c r="S427" s="7"/>
      <c r="T427" s="7"/>
      <c r="U427" s="7"/>
      <c r="V427" s="7"/>
      <c r="W427" s="7"/>
    </row>
    <row r="428" spans="1:23" ht="15.75" customHeight="1" x14ac:dyDescent="0.35">
      <c r="A428" s="251">
        <f>A426+1</f>
        <v>15</v>
      </c>
      <c r="B428" s="251">
        <v>759</v>
      </c>
      <c r="C428" s="252" t="s">
        <v>275</v>
      </c>
      <c r="D428" s="253">
        <v>1217.5</v>
      </c>
      <c r="E428" s="253" t="s">
        <v>75</v>
      </c>
      <c r="F428" s="255">
        <v>4</v>
      </c>
      <c r="G428" s="251" t="s">
        <v>72</v>
      </c>
      <c r="H428" s="159" t="s">
        <v>73</v>
      </c>
      <c r="I428" s="158">
        <f>I429+I430</f>
        <v>1845303.48</v>
      </c>
      <c r="J428" s="158">
        <f>J429+J430</f>
        <v>1515.65</v>
      </c>
      <c r="K428" s="158">
        <f>K429+K430</f>
        <v>4793</v>
      </c>
      <c r="L428" s="7"/>
      <c r="M428" s="7"/>
      <c r="N428" s="7"/>
      <c r="O428" s="7"/>
      <c r="P428" s="7"/>
      <c r="Q428" s="7"/>
      <c r="R428" s="7"/>
      <c r="S428" s="7"/>
      <c r="T428" s="7"/>
      <c r="U428" s="7"/>
      <c r="V428" s="7"/>
      <c r="W428" s="7"/>
    </row>
    <row r="429" spans="1:23" ht="51.75" customHeight="1" x14ac:dyDescent="0.35">
      <c r="A429" s="251">
        <v>75</v>
      </c>
      <c r="B429" s="251"/>
      <c r="C429" s="252"/>
      <c r="D429" s="253"/>
      <c r="E429" s="253"/>
      <c r="F429" s="255"/>
      <c r="G429" s="251"/>
      <c r="H429" s="159" t="s">
        <v>705</v>
      </c>
      <c r="I429" s="158">
        <f>138733.73+D428*13</f>
        <v>154561.23000000001</v>
      </c>
      <c r="J429" s="158">
        <f>I429/D428</f>
        <v>126.95</v>
      </c>
      <c r="K429" s="158">
        <f>151+13</f>
        <v>164</v>
      </c>
      <c r="L429" s="7"/>
      <c r="M429" s="7"/>
      <c r="N429" s="7"/>
      <c r="O429" s="7"/>
      <c r="P429" s="7"/>
      <c r="Q429" s="7"/>
      <c r="R429" s="7"/>
      <c r="S429" s="7"/>
      <c r="T429" s="7"/>
      <c r="U429" s="7"/>
      <c r="V429" s="7"/>
      <c r="W429" s="7"/>
    </row>
    <row r="430" spans="1:23" x14ac:dyDescent="0.35">
      <c r="A430" s="251"/>
      <c r="B430" s="251"/>
      <c r="C430" s="252"/>
      <c r="D430" s="253"/>
      <c r="E430" s="253"/>
      <c r="F430" s="255"/>
      <c r="G430" s="251"/>
      <c r="H430" s="159" t="s">
        <v>74</v>
      </c>
      <c r="I430" s="158">
        <f>K430*D428*0.3</f>
        <v>1690742.25</v>
      </c>
      <c r="J430" s="158">
        <f>I430/D428</f>
        <v>1388.7</v>
      </c>
      <c r="K430" s="158">
        <v>4629</v>
      </c>
      <c r="L430" s="7"/>
      <c r="M430" s="7"/>
      <c r="N430" s="7"/>
      <c r="O430" s="7"/>
      <c r="P430" s="7"/>
      <c r="Q430" s="7"/>
      <c r="R430" s="7"/>
      <c r="S430" s="7"/>
      <c r="T430" s="7"/>
      <c r="U430" s="7"/>
      <c r="V430" s="7"/>
      <c r="W430" s="7"/>
    </row>
    <row r="431" spans="1:23" ht="15.75" customHeight="1" x14ac:dyDescent="0.35">
      <c r="A431" s="251">
        <f>A428+1</f>
        <v>16</v>
      </c>
      <c r="B431" s="251">
        <v>845</v>
      </c>
      <c r="C431" s="252" t="s">
        <v>276</v>
      </c>
      <c r="D431" s="253">
        <v>2810.3</v>
      </c>
      <c r="E431" s="253" t="s">
        <v>75</v>
      </c>
      <c r="F431" s="255">
        <v>5</v>
      </c>
      <c r="G431" s="251" t="s">
        <v>72</v>
      </c>
      <c r="H431" s="159" t="s">
        <v>73</v>
      </c>
      <c r="I431" s="158">
        <f>I432</f>
        <v>215887.41</v>
      </c>
      <c r="J431" s="158">
        <f>J432</f>
        <v>76.819999999999993</v>
      </c>
      <c r="K431" s="158">
        <f>K432</f>
        <v>164</v>
      </c>
      <c r="L431" s="7"/>
      <c r="M431" s="7"/>
      <c r="N431" s="7"/>
      <c r="O431" s="7"/>
      <c r="P431" s="7"/>
      <c r="Q431" s="7"/>
      <c r="R431" s="7"/>
      <c r="S431" s="7"/>
      <c r="T431" s="7"/>
      <c r="U431" s="7"/>
      <c r="V431" s="7"/>
      <c r="W431" s="7"/>
    </row>
    <row r="432" spans="1:23" ht="51.75" customHeight="1" x14ac:dyDescent="0.35">
      <c r="A432" s="251"/>
      <c r="B432" s="251"/>
      <c r="C432" s="252"/>
      <c r="D432" s="253"/>
      <c r="E432" s="253"/>
      <c r="F432" s="255"/>
      <c r="G432" s="251"/>
      <c r="H432" s="159" t="s">
        <v>705</v>
      </c>
      <c r="I432" s="158">
        <f>179353.51+D431*13</f>
        <v>215887.41</v>
      </c>
      <c r="J432" s="158">
        <f>I432/D431</f>
        <v>76.819999999999993</v>
      </c>
      <c r="K432" s="158">
        <f>151+13</f>
        <v>164</v>
      </c>
      <c r="L432" s="7"/>
      <c r="M432" s="7"/>
      <c r="N432" s="7"/>
      <c r="O432" s="7"/>
      <c r="P432" s="7"/>
      <c r="Q432" s="7"/>
      <c r="R432" s="7"/>
      <c r="S432" s="7"/>
      <c r="T432" s="7"/>
      <c r="U432" s="7"/>
      <c r="V432" s="7"/>
      <c r="W432" s="7"/>
    </row>
    <row r="433" spans="1:23" x14ac:dyDescent="0.35">
      <c r="A433" s="251">
        <f>A431+1</f>
        <v>17</v>
      </c>
      <c r="B433" s="251">
        <v>202</v>
      </c>
      <c r="C433" s="252" t="s">
        <v>277</v>
      </c>
      <c r="D433" s="253">
        <v>1028.7</v>
      </c>
      <c r="E433" s="253" t="s">
        <v>80</v>
      </c>
      <c r="F433" s="255">
        <v>3</v>
      </c>
      <c r="G433" s="251" t="s">
        <v>72</v>
      </c>
      <c r="H433" s="159" t="s">
        <v>73</v>
      </c>
      <c r="I433" s="158">
        <f>I434+I435</f>
        <v>2958165.6</v>
      </c>
      <c r="J433" s="158">
        <f>J434+J435</f>
        <v>2875.63</v>
      </c>
      <c r="K433" s="158">
        <f>K434+K435</f>
        <v>4728</v>
      </c>
      <c r="L433" s="7"/>
      <c r="M433" s="7"/>
      <c r="N433" s="7"/>
      <c r="O433" s="7"/>
      <c r="P433" s="7"/>
      <c r="Q433" s="7"/>
      <c r="R433" s="7"/>
      <c r="S433" s="7"/>
      <c r="T433" s="7"/>
      <c r="U433" s="7"/>
      <c r="V433" s="7"/>
      <c r="W433" s="7"/>
    </row>
    <row r="434" spans="1:23" x14ac:dyDescent="0.35">
      <c r="A434" s="251">
        <v>75</v>
      </c>
      <c r="B434" s="251"/>
      <c r="C434" s="252"/>
      <c r="D434" s="253"/>
      <c r="E434" s="253"/>
      <c r="F434" s="255"/>
      <c r="G434" s="251"/>
      <c r="H434" s="159" t="s">
        <v>74</v>
      </c>
      <c r="I434" s="158">
        <v>2920859</v>
      </c>
      <c r="J434" s="158">
        <f>I434/D433-0.01</f>
        <v>2839.36</v>
      </c>
      <c r="K434" s="158">
        <v>4629</v>
      </c>
      <c r="L434" s="7"/>
      <c r="M434" s="7"/>
      <c r="N434" s="7"/>
      <c r="O434" s="7"/>
      <c r="P434" s="7"/>
      <c r="Q434" s="7"/>
      <c r="R434" s="7"/>
      <c r="S434" s="7"/>
      <c r="T434" s="7"/>
      <c r="U434" s="7"/>
      <c r="V434" s="7"/>
      <c r="W434" s="7"/>
    </row>
    <row r="435" spans="1:23" x14ac:dyDescent="0.35">
      <c r="A435" s="251">
        <v>76</v>
      </c>
      <c r="B435" s="251"/>
      <c r="C435" s="252"/>
      <c r="D435" s="253"/>
      <c r="E435" s="253"/>
      <c r="F435" s="255"/>
      <c r="G435" s="251"/>
      <c r="H435" s="159" t="s">
        <v>76</v>
      </c>
      <c r="I435" s="158">
        <v>37306.6</v>
      </c>
      <c r="J435" s="158">
        <f>I435/D433</f>
        <v>36.270000000000003</v>
      </c>
      <c r="K435" s="158">
        <v>99</v>
      </c>
      <c r="L435" s="7"/>
      <c r="M435" s="7"/>
      <c r="N435" s="7"/>
      <c r="O435" s="7"/>
      <c r="P435" s="7"/>
      <c r="Q435" s="7"/>
      <c r="R435" s="7"/>
      <c r="S435" s="7"/>
      <c r="T435" s="7"/>
      <c r="U435" s="7"/>
      <c r="V435" s="7"/>
      <c r="W435" s="7"/>
    </row>
    <row r="436" spans="1:23" x14ac:dyDescent="0.35">
      <c r="A436" s="251">
        <f>A433+1</f>
        <v>18</v>
      </c>
      <c r="B436" s="251">
        <v>236</v>
      </c>
      <c r="C436" s="252" t="s">
        <v>278</v>
      </c>
      <c r="D436" s="253">
        <v>741.7</v>
      </c>
      <c r="E436" s="253" t="s">
        <v>80</v>
      </c>
      <c r="F436" s="255">
        <v>2</v>
      </c>
      <c r="G436" s="251" t="s">
        <v>72</v>
      </c>
      <c r="H436" s="159" t="s">
        <v>73</v>
      </c>
      <c r="I436" s="158">
        <f>I437+I438</f>
        <v>3115705.07</v>
      </c>
      <c r="J436" s="158">
        <f>J437+J438</f>
        <v>4200.76</v>
      </c>
      <c r="K436" s="158">
        <f>K437+K438</f>
        <v>7066</v>
      </c>
      <c r="L436" s="7"/>
      <c r="M436" s="7"/>
      <c r="N436" s="7"/>
      <c r="O436" s="7"/>
      <c r="P436" s="7"/>
      <c r="Q436" s="7"/>
      <c r="R436" s="7"/>
      <c r="S436" s="7"/>
      <c r="T436" s="7"/>
      <c r="U436" s="7"/>
      <c r="V436" s="7"/>
      <c r="W436" s="7"/>
    </row>
    <row r="437" spans="1:23" x14ac:dyDescent="0.35">
      <c r="A437" s="251">
        <v>75</v>
      </c>
      <c r="B437" s="251"/>
      <c r="C437" s="252"/>
      <c r="D437" s="253"/>
      <c r="E437" s="253"/>
      <c r="F437" s="255"/>
      <c r="G437" s="251"/>
      <c r="H437" s="159" t="s">
        <v>74</v>
      </c>
      <c r="I437" s="158">
        <v>3074467.27</v>
      </c>
      <c r="J437" s="158">
        <f>I437/D436</f>
        <v>4145.16</v>
      </c>
      <c r="K437" s="158">
        <v>6918</v>
      </c>
      <c r="L437" s="7"/>
      <c r="M437" s="7"/>
      <c r="N437" s="7"/>
      <c r="O437" s="7"/>
      <c r="P437" s="7"/>
      <c r="Q437" s="7"/>
      <c r="R437" s="7"/>
      <c r="S437" s="7"/>
      <c r="T437" s="7"/>
      <c r="U437" s="7"/>
      <c r="V437" s="7"/>
      <c r="W437" s="7"/>
    </row>
    <row r="438" spans="1:23" x14ac:dyDescent="0.35">
      <c r="A438" s="251">
        <v>76</v>
      </c>
      <c r="B438" s="251"/>
      <c r="C438" s="252"/>
      <c r="D438" s="253"/>
      <c r="E438" s="253"/>
      <c r="F438" s="255"/>
      <c r="G438" s="251"/>
      <c r="H438" s="159" t="s">
        <v>76</v>
      </c>
      <c r="I438" s="158">
        <v>41237.800000000003</v>
      </c>
      <c r="J438" s="158">
        <f>I438/D436</f>
        <v>55.6</v>
      </c>
      <c r="K438" s="158">
        <v>148</v>
      </c>
      <c r="L438" s="7"/>
      <c r="M438" s="7"/>
      <c r="N438" s="7"/>
      <c r="O438" s="7"/>
      <c r="P438" s="7"/>
      <c r="Q438" s="7"/>
      <c r="R438" s="7"/>
      <c r="S438" s="7"/>
      <c r="T438" s="7"/>
      <c r="U438" s="7"/>
      <c r="V438" s="7"/>
      <c r="W438" s="7"/>
    </row>
    <row r="439" spans="1:23" x14ac:dyDescent="0.35">
      <c r="A439" s="251">
        <f>A436+1</f>
        <v>19</v>
      </c>
      <c r="B439" s="251">
        <v>664</v>
      </c>
      <c r="C439" s="252" t="s">
        <v>279</v>
      </c>
      <c r="D439" s="253">
        <v>4429</v>
      </c>
      <c r="E439" s="253" t="s">
        <v>71</v>
      </c>
      <c r="F439" s="255">
        <v>5</v>
      </c>
      <c r="G439" s="251" t="s">
        <v>72</v>
      </c>
      <c r="H439" s="159" t="s">
        <v>73</v>
      </c>
      <c r="I439" s="158">
        <f>I440</f>
        <v>695011.08</v>
      </c>
      <c r="J439" s="158">
        <f>J440</f>
        <v>156.91999999999999</v>
      </c>
      <c r="K439" s="158">
        <f>K440</f>
        <v>164</v>
      </c>
      <c r="L439" s="7"/>
      <c r="M439" s="7"/>
      <c r="N439" s="7"/>
      <c r="O439" s="7"/>
      <c r="P439" s="7"/>
      <c r="Q439" s="7"/>
      <c r="R439" s="7"/>
      <c r="S439" s="7"/>
      <c r="T439" s="7"/>
      <c r="U439" s="7"/>
      <c r="V439" s="7"/>
      <c r="W439" s="7"/>
    </row>
    <row r="440" spans="1:23" ht="51" customHeight="1" x14ac:dyDescent="0.35">
      <c r="A440" s="251">
        <v>75</v>
      </c>
      <c r="B440" s="251"/>
      <c r="C440" s="252"/>
      <c r="D440" s="253"/>
      <c r="E440" s="253"/>
      <c r="F440" s="255"/>
      <c r="G440" s="251"/>
      <c r="H440" s="159" t="s">
        <v>705</v>
      </c>
      <c r="I440" s="158">
        <f>664637.88+30373.2</f>
        <v>695011.08</v>
      </c>
      <c r="J440" s="158">
        <f>I440/D439</f>
        <v>156.91999999999999</v>
      </c>
      <c r="K440" s="158">
        <f>151+13</f>
        <v>164</v>
      </c>
      <c r="L440" s="7"/>
      <c r="M440" s="7"/>
      <c r="N440" s="7"/>
      <c r="O440" s="7"/>
      <c r="P440" s="7"/>
      <c r="Q440" s="7"/>
      <c r="R440" s="7"/>
      <c r="S440" s="7"/>
      <c r="T440" s="7"/>
      <c r="U440" s="7"/>
      <c r="V440" s="7"/>
      <c r="W440" s="7"/>
    </row>
    <row r="441" spans="1:23" x14ac:dyDescent="0.35">
      <c r="A441" s="251">
        <f>A439+1</f>
        <v>20</v>
      </c>
      <c r="B441" s="251">
        <v>883</v>
      </c>
      <c r="C441" s="252" t="s">
        <v>280</v>
      </c>
      <c r="D441" s="253">
        <v>6735.9</v>
      </c>
      <c r="E441" s="253" t="s">
        <v>71</v>
      </c>
      <c r="F441" s="255">
        <v>10</v>
      </c>
      <c r="G441" s="123"/>
      <c r="H441" s="159" t="s">
        <v>73</v>
      </c>
      <c r="I441" s="158">
        <f>SUM(I442:I447)</f>
        <v>3888446.08</v>
      </c>
      <c r="J441" s="158">
        <f>SUM(J442:J447)</f>
        <v>577.27</v>
      </c>
      <c r="K441" s="158">
        <f>SUM(K442:K447)</f>
        <v>777.35</v>
      </c>
      <c r="L441" s="7"/>
      <c r="M441" s="7"/>
      <c r="N441" s="7"/>
      <c r="O441" s="7"/>
      <c r="P441" s="7"/>
      <c r="Q441" s="7"/>
      <c r="R441" s="7"/>
      <c r="S441" s="7"/>
      <c r="T441" s="7"/>
      <c r="U441" s="7"/>
      <c r="V441" s="7"/>
      <c r="W441" s="7"/>
    </row>
    <row r="442" spans="1:23" ht="15.75" customHeight="1" x14ac:dyDescent="0.35">
      <c r="A442" s="251">
        <v>756</v>
      </c>
      <c r="B442" s="251"/>
      <c r="C442" s="252"/>
      <c r="D442" s="253"/>
      <c r="E442" s="253"/>
      <c r="F442" s="255"/>
      <c r="G442" s="251" t="s">
        <v>673</v>
      </c>
      <c r="H442" s="159" t="s">
        <v>674</v>
      </c>
      <c r="I442" s="158">
        <v>1277859.47</v>
      </c>
      <c r="J442" s="158">
        <f>I442/D441+0.01</f>
        <v>189.72</v>
      </c>
      <c r="K442" s="158">
        <f>1708823/D441-0.01</f>
        <v>253.68</v>
      </c>
      <c r="L442" s="7"/>
      <c r="M442" s="7"/>
      <c r="N442" s="7"/>
      <c r="O442" s="7"/>
      <c r="P442" s="7"/>
      <c r="Q442" s="7"/>
      <c r="R442" s="7"/>
      <c r="S442" s="7"/>
      <c r="T442" s="7"/>
      <c r="U442" s="7"/>
      <c r="V442" s="7"/>
      <c r="W442" s="7"/>
    </row>
    <row r="443" spans="1:23" x14ac:dyDescent="0.35">
      <c r="A443" s="251">
        <v>757</v>
      </c>
      <c r="B443" s="251"/>
      <c r="C443" s="252"/>
      <c r="D443" s="253"/>
      <c r="E443" s="253"/>
      <c r="F443" s="255"/>
      <c r="G443" s="251"/>
      <c r="H443" s="159" t="s">
        <v>76</v>
      </c>
      <c r="I443" s="158">
        <v>18283.330000000002</v>
      </c>
      <c r="J443" s="158">
        <f>I443/D441</f>
        <v>2.71</v>
      </c>
      <c r="K443" s="158">
        <f>36569/D441</f>
        <v>5.43</v>
      </c>
      <c r="L443" s="7"/>
      <c r="M443" s="7"/>
      <c r="N443" s="7"/>
      <c r="O443" s="7"/>
      <c r="P443" s="7"/>
      <c r="Q443" s="7"/>
      <c r="R443" s="7"/>
      <c r="S443" s="7"/>
      <c r="T443" s="7"/>
      <c r="U443" s="7"/>
      <c r="V443" s="7"/>
      <c r="W443" s="7"/>
    </row>
    <row r="444" spans="1:23" ht="15.75" customHeight="1" x14ac:dyDescent="0.35">
      <c r="A444" s="251"/>
      <c r="B444" s="251"/>
      <c r="C444" s="252"/>
      <c r="D444" s="253"/>
      <c r="E444" s="253"/>
      <c r="F444" s="255"/>
      <c r="G444" s="251" t="s">
        <v>679</v>
      </c>
      <c r="H444" s="159" t="s">
        <v>674</v>
      </c>
      <c r="I444" s="158">
        <v>1277877.1399999999</v>
      </c>
      <c r="J444" s="158">
        <f>I444/D441</f>
        <v>189.71</v>
      </c>
      <c r="K444" s="158">
        <f>1708823/D441</f>
        <v>253.69</v>
      </c>
      <c r="L444" s="7"/>
      <c r="M444" s="7"/>
      <c r="N444" s="7"/>
      <c r="O444" s="7"/>
      <c r="P444" s="7"/>
      <c r="Q444" s="7"/>
      <c r="R444" s="7"/>
      <c r="S444" s="7"/>
      <c r="T444" s="7"/>
      <c r="U444" s="7"/>
      <c r="V444" s="7"/>
      <c r="W444" s="7"/>
    </row>
    <row r="445" spans="1:23" x14ac:dyDescent="0.35">
      <c r="A445" s="251"/>
      <c r="B445" s="251"/>
      <c r="C445" s="252"/>
      <c r="D445" s="253"/>
      <c r="E445" s="253"/>
      <c r="F445" s="255"/>
      <c r="G445" s="251"/>
      <c r="H445" s="159" t="s">
        <v>76</v>
      </c>
      <c r="I445" s="158">
        <v>18283.330000000002</v>
      </c>
      <c r="J445" s="158">
        <f>I445/D441</f>
        <v>2.71</v>
      </c>
      <c r="K445" s="158">
        <f>36569/D441</f>
        <v>5.43</v>
      </c>
      <c r="L445" s="7"/>
      <c r="M445" s="7"/>
      <c r="N445" s="7"/>
      <c r="O445" s="7"/>
      <c r="P445" s="7"/>
      <c r="Q445" s="7"/>
      <c r="R445" s="7"/>
      <c r="S445" s="7"/>
      <c r="T445" s="7"/>
      <c r="U445" s="7"/>
      <c r="V445" s="7"/>
      <c r="W445" s="7"/>
    </row>
    <row r="446" spans="1:23" ht="15.75" customHeight="1" x14ac:dyDescent="0.35">
      <c r="A446" s="251"/>
      <c r="B446" s="251"/>
      <c r="C446" s="252"/>
      <c r="D446" s="253"/>
      <c r="E446" s="253"/>
      <c r="F446" s="255"/>
      <c r="G446" s="251" t="s">
        <v>680</v>
      </c>
      <c r="H446" s="159" t="s">
        <v>674</v>
      </c>
      <c r="I446" s="158">
        <v>1277859.47</v>
      </c>
      <c r="J446" s="158">
        <f>I446/D441</f>
        <v>189.71</v>
      </c>
      <c r="K446" s="158">
        <f>1708823/D441</f>
        <v>253.69</v>
      </c>
      <c r="L446" s="7"/>
      <c r="M446" s="7"/>
      <c r="N446" s="7"/>
      <c r="O446" s="7"/>
      <c r="P446" s="7"/>
      <c r="Q446" s="7"/>
      <c r="R446" s="7"/>
      <c r="S446" s="7"/>
      <c r="T446" s="7"/>
      <c r="U446" s="7"/>
      <c r="V446" s="7"/>
      <c r="W446" s="7"/>
    </row>
    <row r="447" spans="1:23" x14ac:dyDescent="0.35">
      <c r="A447" s="251"/>
      <c r="B447" s="251"/>
      <c r="C447" s="252"/>
      <c r="D447" s="253"/>
      <c r="E447" s="253"/>
      <c r="F447" s="255"/>
      <c r="G447" s="251"/>
      <c r="H447" s="159" t="s">
        <v>76</v>
      </c>
      <c r="I447" s="158">
        <v>18283.34</v>
      </c>
      <c r="J447" s="158">
        <f>I447/D441</f>
        <v>2.71</v>
      </c>
      <c r="K447" s="158">
        <f>36569/D441</f>
        <v>5.43</v>
      </c>
      <c r="L447" s="7"/>
      <c r="M447" s="7"/>
      <c r="N447" s="7"/>
      <c r="O447" s="7"/>
      <c r="P447" s="7"/>
      <c r="Q447" s="7"/>
      <c r="R447" s="7"/>
      <c r="S447" s="7"/>
      <c r="T447" s="7"/>
      <c r="U447" s="7"/>
      <c r="V447" s="7"/>
      <c r="W447" s="7"/>
    </row>
    <row r="448" spans="1:23" x14ac:dyDescent="0.35">
      <c r="A448" s="251">
        <f>A441+1</f>
        <v>21</v>
      </c>
      <c r="B448" s="251">
        <v>585</v>
      </c>
      <c r="C448" s="252" t="s">
        <v>281</v>
      </c>
      <c r="D448" s="253">
        <v>4627.3999999999996</v>
      </c>
      <c r="E448" s="253" t="s">
        <v>75</v>
      </c>
      <c r="F448" s="255">
        <v>5</v>
      </c>
      <c r="G448" s="251" t="s">
        <v>72</v>
      </c>
      <c r="H448" s="159" t="s">
        <v>73</v>
      </c>
      <c r="I448" s="158">
        <f>I449+I450</f>
        <v>4160040.58</v>
      </c>
      <c r="J448" s="158">
        <f>J449+J450</f>
        <v>899</v>
      </c>
      <c r="K448" s="158">
        <f>K449+K450</f>
        <v>2936</v>
      </c>
      <c r="L448" s="7"/>
      <c r="M448" s="7"/>
      <c r="N448" s="7"/>
      <c r="O448" s="7"/>
      <c r="P448" s="7"/>
      <c r="Q448" s="7"/>
      <c r="R448" s="7"/>
      <c r="S448" s="7"/>
      <c r="T448" s="7"/>
      <c r="U448" s="7"/>
      <c r="V448" s="7"/>
      <c r="W448" s="7"/>
    </row>
    <row r="449" spans="1:23" ht="50.25" customHeight="1" x14ac:dyDescent="0.35">
      <c r="A449" s="251">
        <v>75</v>
      </c>
      <c r="B449" s="251"/>
      <c r="C449" s="252"/>
      <c r="D449" s="253"/>
      <c r="E449" s="253"/>
      <c r="F449" s="255"/>
      <c r="G449" s="251"/>
      <c r="H449" s="159" t="s">
        <v>705</v>
      </c>
      <c r="I449" s="158">
        <f>251738.54+D448*13</f>
        <v>311894.74</v>
      </c>
      <c r="J449" s="158">
        <f>I449/D448</f>
        <v>67.400000000000006</v>
      </c>
      <c r="K449" s="158">
        <f>151+13</f>
        <v>164</v>
      </c>
      <c r="L449" s="7"/>
      <c r="M449" s="7"/>
      <c r="N449" s="7"/>
      <c r="O449" s="7"/>
      <c r="P449" s="7"/>
      <c r="Q449" s="7"/>
      <c r="R449" s="7"/>
      <c r="S449" s="7"/>
      <c r="T449" s="7"/>
      <c r="U449" s="7"/>
      <c r="V449" s="7"/>
      <c r="W449" s="7"/>
    </row>
    <row r="450" spans="1:23" x14ac:dyDescent="0.35">
      <c r="A450" s="251"/>
      <c r="B450" s="251"/>
      <c r="C450" s="252"/>
      <c r="D450" s="253"/>
      <c r="E450" s="253"/>
      <c r="F450" s="255"/>
      <c r="G450" s="251"/>
      <c r="H450" s="159" t="s">
        <v>74</v>
      </c>
      <c r="I450" s="158">
        <f>K450*D448*0.3</f>
        <v>3848145.84</v>
      </c>
      <c r="J450" s="158">
        <f>I450/D448</f>
        <v>831.6</v>
      </c>
      <c r="K450" s="158">
        <v>2772</v>
      </c>
      <c r="L450" s="7"/>
      <c r="M450" s="7"/>
      <c r="N450" s="7"/>
      <c r="O450" s="7"/>
      <c r="P450" s="7"/>
      <c r="Q450" s="7"/>
      <c r="R450" s="7"/>
      <c r="S450" s="7"/>
      <c r="T450" s="7"/>
      <c r="U450" s="7"/>
      <c r="V450" s="7"/>
      <c r="W450" s="7"/>
    </row>
    <row r="451" spans="1:23" ht="15.75" customHeight="1" x14ac:dyDescent="0.35">
      <c r="A451" s="251">
        <f>A448+1</f>
        <v>22</v>
      </c>
      <c r="B451" s="251">
        <v>293</v>
      </c>
      <c r="C451" s="252" t="s">
        <v>283</v>
      </c>
      <c r="D451" s="262">
        <v>1262.0999999999999</v>
      </c>
      <c r="E451" s="262" t="s">
        <v>75</v>
      </c>
      <c r="F451" s="265">
        <v>4</v>
      </c>
      <c r="G451" s="251" t="s">
        <v>72</v>
      </c>
      <c r="H451" s="159" t="s">
        <v>73</v>
      </c>
      <c r="I451" s="158">
        <f>I452+I453</f>
        <v>2710650.86</v>
      </c>
      <c r="J451" s="158">
        <f>J452+J453</f>
        <v>2147.73</v>
      </c>
      <c r="K451" s="158">
        <f>K452+K453</f>
        <v>4728</v>
      </c>
      <c r="L451" s="7"/>
      <c r="M451" s="7"/>
      <c r="N451" s="7"/>
      <c r="O451" s="7"/>
      <c r="P451" s="7"/>
      <c r="Q451" s="7"/>
      <c r="R451" s="7"/>
      <c r="S451" s="7"/>
      <c r="T451" s="7"/>
      <c r="U451" s="7"/>
      <c r="V451" s="7"/>
      <c r="W451" s="7"/>
    </row>
    <row r="452" spans="1:23" x14ac:dyDescent="0.35">
      <c r="A452" s="251">
        <v>75</v>
      </c>
      <c r="B452" s="251"/>
      <c r="C452" s="252"/>
      <c r="D452" s="263"/>
      <c r="E452" s="263"/>
      <c r="F452" s="266"/>
      <c r="G452" s="251"/>
      <c r="H452" s="159" t="s">
        <v>74</v>
      </c>
      <c r="I452" s="158">
        <v>2654696.79</v>
      </c>
      <c r="J452" s="158">
        <f>I452/D451</f>
        <v>2103.4</v>
      </c>
      <c r="K452" s="158">
        <v>4629</v>
      </c>
      <c r="L452" s="7"/>
      <c r="M452" s="7"/>
      <c r="N452" s="7"/>
      <c r="O452" s="7"/>
      <c r="P452" s="7"/>
      <c r="Q452" s="7"/>
      <c r="R452" s="7"/>
      <c r="S452" s="7"/>
      <c r="T452" s="7"/>
      <c r="U452" s="7"/>
      <c r="V452" s="7"/>
      <c r="W452" s="7"/>
    </row>
    <row r="453" spans="1:23" x14ac:dyDescent="0.35">
      <c r="A453" s="251">
        <v>76</v>
      </c>
      <c r="B453" s="251"/>
      <c r="C453" s="252"/>
      <c r="D453" s="264"/>
      <c r="E453" s="264"/>
      <c r="F453" s="267"/>
      <c r="G453" s="251"/>
      <c r="H453" s="159" t="s">
        <v>76</v>
      </c>
      <c r="I453" s="158">
        <v>55954.07</v>
      </c>
      <c r="J453" s="158">
        <f>I453/D451</f>
        <v>44.33</v>
      </c>
      <c r="K453" s="158">
        <v>99</v>
      </c>
      <c r="L453" s="7"/>
      <c r="M453" s="7"/>
      <c r="N453" s="7"/>
      <c r="O453" s="7"/>
      <c r="P453" s="7"/>
      <c r="Q453" s="7"/>
      <c r="R453" s="7"/>
      <c r="S453" s="7"/>
      <c r="T453" s="7"/>
      <c r="U453" s="7"/>
      <c r="V453" s="7"/>
      <c r="W453" s="7"/>
    </row>
    <row r="454" spans="1:23" x14ac:dyDescent="0.35">
      <c r="A454" s="251">
        <f>A451+1</f>
        <v>23</v>
      </c>
      <c r="B454" s="251">
        <v>527</v>
      </c>
      <c r="C454" s="252" t="s">
        <v>284</v>
      </c>
      <c r="D454" s="253">
        <v>3506</v>
      </c>
      <c r="E454" s="253" t="s">
        <v>71</v>
      </c>
      <c r="F454" s="255">
        <v>5</v>
      </c>
      <c r="G454" s="251" t="s">
        <v>72</v>
      </c>
      <c r="H454" s="159" t="s">
        <v>73</v>
      </c>
      <c r="I454" s="158">
        <f>I455+I456</f>
        <v>3149883.64</v>
      </c>
      <c r="J454" s="158">
        <f>J455+J456</f>
        <v>898.43</v>
      </c>
      <c r="K454" s="158">
        <f>K455+K456</f>
        <v>2936</v>
      </c>
      <c r="L454" s="7"/>
      <c r="M454" s="7"/>
      <c r="N454" s="7"/>
      <c r="O454" s="7"/>
      <c r="P454" s="7"/>
      <c r="Q454" s="7"/>
      <c r="R454" s="7"/>
      <c r="S454" s="7"/>
      <c r="T454" s="7"/>
      <c r="U454" s="7"/>
      <c r="V454" s="7"/>
      <c r="W454" s="7"/>
    </row>
    <row r="455" spans="1:23" ht="53.25" customHeight="1" x14ac:dyDescent="0.35">
      <c r="A455" s="251">
        <v>75</v>
      </c>
      <c r="B455" s="251"/>
      <c r="C455" s="252"/>
      <c r="D455" s="253"/>
      <c r="E455" s="253"/>
      <c r="F455" s="255"/>
      <c r="G455" s="251"/>
      <c r="H455" s="159" t="s">
        <v>705</v>
      </c>
      <c r="I455" s="158">
        <v>234294.04</v>
      </c>
      <c r="J455" s="158">
        <f>I455/D454</f>
        <v>66.83</v>
      </c>
      <c r="K455" s="158">
        <f>151+13</f>
        <v>164</v>
      </c>
      <c r="L455" s="7"/>
      <c r="M455" s="7"/>
      <c r="N455" s="7"/>
      <c r="O455" s="7"/>
      <c r="P455" s="7"/>
      <c r="Q455" s="7"/>
      <c r="R455" s="7"/>
      <c r="S455" s="7"/>
      <c r="T455" s="7"/>
      <c r="U455" s="7"/>
      <c r="V455" s="7"/>
      <c r="W455" s="7"/>
    </row>
    <row r="456" spans="1:23" x14ac:dyDescent="0.35">
      <c r="A456" s="251"/>
      <c r="B456" s="251"/>
      <c r="C456" s="252"/>
      <c r="D456" s="253"/>
      <c r="E456" s="253"/>
      <c r="F456" s="255"/>
      <c r="G456" s="251"/>
      <c r="H456" s="159" t="s">
        <v>74</v>
      </c>
      <c r="I456" s="158">
        <f>K456*D454*0.3</f>
        <v>2915589.6</v>
      </c>
      <c r="J456" s="158">
        <f>I456/D454</f>
        <v>831.6</v>
      </c>
      <c r="K456" s="158">
        <v>2772</v>
      </c>
      <c r="L456" s="7"/>
      <c r="M456" s="7"/>
      <c r="N456" s="7"/>
      <c r="O456" s="7"/>
      <c r="P456" s="7"/>
      <c r="Q456" s="7"/>
      <c r="R456" s="7"/>
      <c r="S456" s="7"/>
      <c r="T456" s="7"/>
      <c r="U456" s="7"/>
      <c r="V456" s="7"/>
      <c r="W456" s="7"/>
    </row>
    <row r="457" spans="1:23" x14ac:dyDescent="0.35">
      <c r="A457" s="251">
        <f>A454+1</f>
        <v>24</v>
      </c>
      <c r="B457" s="251">
        <v>860</v>
      </c>
      <c r="C457" s="252" t="s">
        <v>285</v>
      </c>
      <c r="D457" s="253">
        <v>3521.6</v>
      </c>
      <c r="E457" s="253" t="s">
        <v>75</v>
      </c>
      <c r="F457" s="255">
        <v>6</v>
      </c>
      <c r="G457" s="251" t="s">
        <v>72</v>
      </c>
      <c r="H457" s="159" t="s">
        <v>73</v>
      </c>
      <c r="I457" s="158">
        <f>I458</f>
        <v>245941.8</v>
      </c>
      <c r="J457" s="158">
        <f>J458</f>
        <v>69.84</v>
      </c>
      <c r="K457" s="158">
        <f>K458</f>
        <v>164</v>
      </c>
      <c r="L457" s="7"/>
      <c r="M457" s="7"/>
      <c r="N457" s="7"/>
      <c r="O457" s="7"/>
      <c r="P457" s="7"/>
      <c r="Q457" s="7"/>
      <c r="R457" s="7"/>
      <c r="S457" s="7"/>
      <c r="T457" s="7"/>
      <c r="U457" s="7"/>
      <c r="V457" s="7"/>
      <c r="W457" s="7"/>
    </row>
    <row r="458" spans="1:23" ht="50.25" customHeight="1" x14ac:dyDescent="0.35">
      <c r="A458" s="251">
        <v>75</v>
      </c>
      <c r="B458" s="251"/>
      <c r="C458" s="252"/>
      <c r="D458" s="253"/>
      <c r="E458" s="253"/>
      <c r="F458" s="255"/>
      <c r="G458" s="251"/>
      <c r="H458" s="159" t="s">
        <v>705</v>
      </c>
      <c r="I458" s="158">
        <f>200161+D457*13</f>
        <v>245941.8</v>
      </c>
      <c r="J458" s="158">
        <f>I458/D457</f>
        <v>69.84</v>
      </c>
      <c r="K458" s="158">
        <f>151+13</f>
        <v>164</v>
      </c>
      <c r="L458" s="7"/>
      <c r="M458" s="7"/>
      <c r="N458" s="7"/>
      <c r="O458" s="7"/>
      <c r="P458" s="7"/>
      <c r="Q458" s="7"/>
      <c r="R458" s="7"/>
      <c r="S458" s="7"/>
      <c r="T458" s="7"/>
      <c r="U458" s="7"/>
      <c r="V458" s="7"/>
      <c r="W458" s="7"/>
    </row>
    <row r="459" spans="1:23" x14ac:dyDescent="0.35">
      <c r="A459" s="251">
        <f>A457+1</f>
        <v>25</v>
      </c>
      <c r="B459" s="251">
        <v>414</v>
      </c>
      <c r="C459" s="252" t="s">
        <v>286</v>
      </c>
      <c r="D459" s="253">
        <v>2522.1999999999998</v>
      </c>
      <c r="E459" s="253" t="s">
        <v>75</v>
      </c>
      <c r="F459" s="255">
        <v>4</v>
      </c>
      <c r="G459" s="251" t="s">
        <v>72</v>
      </c>
      <c r="H459" s="159" t="s">
        <v>73</v>
      </c>
      <c r="I459" s="158">
        <f>I460+I461</f>
        <v>5464498.3899999997</v>
      </c>
      <c r="J459" s="158">
        <f>J460+J461</f>
        <v>2166.56</v>
      </c>
      <c r="K459" s="158">
        <f>K460+K461</f>
        <v>4728</v>
      </c>
      <c r="L459" s="7"/>
      <c r="M459" s="7"/>
      <c r="N459" s="7"/>
      <c r="O459" s="7"/>
      <c r="P459" s="7"/>
      <c r="Q459" s="7"/>
      <c r="R459" s="7"/>
      <c r="S459" s="7"/>
      <c r="T459" s="7"/>
      <c r="U459" s="7"/>
      <c r="V459" s="7"/>
      <c r="W459" s="7"/>
    </row>
    <row r="460" spans="1:23" x14ac:dyDescent="0.35">
      <c r="A460" s="251">
        <v>75</v>
      </c>
      <c r="B460" s="251"/>
      <c r="C460" s="252"/>
      <c r="D460" s="253"/>
      <c r="E460" s="253"/>
      <c r="F460" s="255"/>
      <c r="G460" s="251"/>
      <c r="H460" s="159" t="s">
        <v>74</v>
      </c>
      <c r="I460" s="158">
        <v>5350008.21</v>
      </c>
      <c r="J460" s="158">
        <f>I460/D459</f>
        <v>2121.17</v>
      </c>
      <c r="K460" s="158">
        <v>4629</v>
      </c>
      <c r="L460" s="7"/>
      <c r="M460" s="7"/>
      <c r="N460" s="7"/>
      <c r="O460" s="7"/>
      <c r="P460" s="7"/>
      <c r="Q460" s="7"/>
      <c r="R460" s="7"/>
      <c r="S460" s="7"/>
      <c r="T460" s="7"/>
      <c r="U460" s="7"/>
      <c r="V460" s="7"/>
      <c r="W460" s="7"/>
    </row>
    <row r="461" spans="1:23" x14ac:dyDescent="0.35">
      <c r="A461" s="251">
        <v>76</v>
      </c>
      <c r="B461" s="251"/>
      <c r="C461" s="252"/>
      <c r="D461" s="253"/>
      <c r="E461" s="253"/>
      <c r="F461" s="255"/>
      <c r="G461" s="251"/>
      <c r="H461" s="159" t="s">
        <v>76</v>
      </c>
      <c r="I461" s="158">
        <v>114490.18</v>
      </c>
      <c r="J461" s="158">
        <f>I461/D459</f>
        <v>45.39</v>
      </c>
      <c r="K461" s="158">
        <v>99</v>
      </c>
      <c r="L461" s="7"/>
      <c r="M461" s="7"/>
      <c r="N461" s="7"/>
      <c r="O461" s="7"/>
      <c r="P461" s="7"/>
      <c r="Q461" s="7"/>
      <c r="R461" s="7"/>
      <c r="S461" s="7"/>
      <c r="T461" s="7"/>
      <c r="U461" s="7"/>
      <c r="V461" s="7"/>
      <c r="W461" s="7"/>
    </row>
    <row r="462" spans="1:23" x14ac:dyDescent="0.35">
      <c r="A462" s="251">
        <f>A459+1</f>
        <v>26</v>
      </c>
      <c r="B462" s="251">
        <v>546</v>
      </c>
      <c r="C462" s="252" t="s">
        <v>287</v>
      </c>
      <c r="D462" s="253">
        <v>3568.8</v>
      </c>
      <c r="E462" s="253" t="s">
        <v>71</v>
      </c>
      <c r="F462" s="255">
        <v>5</v>
      </c>
      <c r="G462" s="251" t="s">
        <v>72</v>
      </c>
      <c r="H462" s="159" t="s">
        <v>73</v>
      </c>
      <c r="I462" s="158">
        <f>I463+I464</f>
        <v>3523559.48</v>
      </c>
      <c r="J462" s="158">
        <f>J463+J464</f>
        <v>987.32</v>
      </c>
      <c r="K462" s="158">
        <f>K463+K464</f>
        <v>2936</v>
      </c>
      <c r="L462" s="7"/>
      <c r="M462" s="7"/>
      <c r="N462" s="7"/>
      <c r="O462" s="7"/>
      <c r="P462" s="7"/>
      <c r="Q462" s="7"/>
      <c r="R462" s="7"/>
      <c r="S462" s="7"/>
      <c r="T462" s="7"/>
      <c r="U462" s="7"/>
      <c r="V462" s="7"/>
      <c r="W462" s="7"/>
    </row>
    <row r="463" spans="1:23" ht="49.5" customHeight="1" x14ac:dyDescent="0.35">
      <c r="A463" s="251">
        <v>75</v>
      </c>
      <c r="B463" s="251"/>
      <c r="C463" s="252"/>
      <c r="D463" s="253"/>
      <c r="E463" s="253"/>
      <c r="F463" s="255"/>
      <c r="G463" s="251"/>
      <c r="H463" s="159" t="s">
        <v>705</v>
      </c>
      <c r="I463" s="158">
        <f>535243.49+20501.91</f>
        <v>555745.4</v>
      </c>
      <c r="J463" s="158">
        <f>I463/D462</f>
        <v>155.72</v>
      </c>
      <c r="K463" s="158">
        <f>151+13</f>
        <v>164</v>
      </c>
      <c r="L463" s="7"/>
      <c r="M463" s="7"/>
      <c r="N463" s="7"/>
      <c r="O463" s="7"/>
      <c r="P463" s="7"/>
      <c r="Q463" s="7"/>
      <c r="R463" s="7"/>
      <c r="S463" s="7"/>
      <c r="T463" s="7"/>
      <c r="U463" s="7"/>
      <c r="V463" s="7"/>
      <c r="W463" s="7"/>
    </row>
    <row r="464" spans="1:23" x14ac:dyDescent="0.35">
      <c r="A464" s="251"/>
      <c r="B464" s="251"/>
      <c r="C464" s="252"/>
      <c r="D464" s="253"/>
      <c r="E464" s="253"/>
      <c r="F464" s="255"/>
      <c r="G464" s="251"/>
      <c r="H464" s="159" t="s">
        <v>74</v>
      </c>
      <c r="I464" s="158">
        <f>K464*D462*0.3</f>
        <v>2967814.08</v>
      </c>
      <c r="J464" s="158">
        <f>I464/D462</f>
        <v>831.6</v>
      </c>
      <c r="K464" s="158">
        <v>2772</v>
      </c>
      <c r="L464" s="7"/>
      <c r="M464" s="7"/>
      <c r="N464" s="7"/>
      <c r="O464" s="7"/>
      <c r="P464" s="7"/>
      <c r="Q464" s="7"/>
      <c r="R464" s="7"/>
      <c r="S464" s="7"/>
      <c r="T464" s="7"/>
      <c r="U464" s="7"/>
      <c r="V464" s="7"/>
      <c r="W464" s="7"/>
    </row>
    <row r="465" spans="1:23" x14ac:dyDescent="0.35">
      <c r="A465" s="251">
        <f>A462+1</f>
        <v>27</v>
      </c>
      <c r="B465" s="251">
        <v>559</v>
      </c>
      <c r="C465" s="252" t="s">
        <v>288</v>
      </c>
      <c r="D465" s="253">
        <v>3585.2</v>
      </c>
      <c r="E465" s="253" t="s">
        <v>71</v>
      </c>
      <c r="F465" s="255">
        <v>5</v>
      </c>
      <c r="G465" s="251" t="s">
        <v>72</v>
      </c>
      <c r="H465" s="159" t="s">
        <v>73</v>
      </c>
      <c r="I465" s="158">
        <f>I466+I467</f>
        <v>3210129.94</v>
      </c>
      <c r="J465" s="158">
        <f>J466+J467</f>
        <v>895.38</v>
      </c>
      <c r="K465" s="158">
        <f>K466+K467</f>
        <v>2936</v>
      </c>
      <c r="L465" s="7"/>
      <c r="M465" s="7"/>
      <c r="N465" s="7"/>
      <c r="O465" s="7"/>
      <c r="P465" s="7"/>
      <c r="Q465" s="7"/>
      <c r="R465" s="7"/>
      <c r="S465" s="7"/>
      <c r="T465" s="7"/>
      <c r="U465" s="7"/>
      <c r="V465" s="7"/>
      <c r="W465" s="7"/>
    </row>
    <row r="466" spans="1:23" ht="50.25" customHeight="1" x14ac:dyDescent="0.35">
      <c r="A466" s="251">
        <v>75</v>
      </c>
      <c r="B466" s="251"/>
      <c r="C466" s="252"/>
      <c r="D466" s="253"/>
      <c r="E466" s="253"/>
      <c r="F466" s="255"/>
      <c r="G466" s="251"/>
      <c r="H466" s="159" t="s">
        <v>705</v>
      </c>
      <c r="I466" s="158">
        <f>209996.93+18680.69</f>
        <v>228677.62</v>
      </c>
      <c r="J466" s="158">
        <f>I466/D465</f>
        <v>63.78</v>
      </c>
      <c r="K466" s="158">
        <f>151+13</f>
        <v>164</v>
      </c>
      <c r="L466" s="7"/>
      <c r="M466" s="7"/>
      <c r="N466" s="7"/>
      <c r="O466" s="7"/>
      <c r="P466" s="7"/>
      <c r="Q466" s="7"/>
      <c r="R466" s="7"/>
      <c r="S466" s="7"/>
      <c r="T466" s="7"/>
      <c r="U466" s="7"/>
      <c r="V466" s="7"/>
      <c r="W466" s="7"/>
    </row>
    <row r="467" spans="1:23" x14ac:dyDescent="0.35">
      <c r="A467" s="251"/>
      <c r="B467" s="251"/>
      <c r="C467" s="252"/>
      <c r="D467" s="253"/>
      <c r="E467" s="253"/>
      <c r="F467" s="255"/>
      <c r="G467" s="251"/>
      <c r="H467" s="159" t="s">
        <v>74</v>
      </c>
      <c r="I467" s="158">
        <f>K467*D465*0.3</f>
        <v>2981452.32</v>
      </c>
      <c r="J467" s="158">
        <f>I467/D465</f>
        <v>831.6</v>
      </c>
      <c r="K467" s="158">
        <v>2772</v>
      </c>
      <c r="L467" s="7"/>
      <c r="M467" s="7"/>
      <c r="N467" s="7"/>
      <c r="O467" s="7"/>
      <c r="P467" s="7"/>
      <c r="Q467" s="7"/>
      <c r="R467" s="7"/>
      <c r="S467" s="7"/>
      <c r="T467" s="7"/>
      <c r="U467" s="7"/>
      <c r="V467" s="7"/>
      <c r="W467" s="7"/>
    </row>
    <row r="468" spans="1:23" ht="15.75" customHeight="1" x14ac:dyDescent="0.35">
      <c r="A468" s="251">
        <f>A465+1</f>
        <v>28</v>
      </c>
      <c r="B468" s="251">
        <v>524</v>
      </c>
      <c r="C468" s="252" t="s">
        <v>289</v>
      </c>
      <c r="D468" s="253">
        <v>3856.05</v>
      </c>
      <c r="E468" s="253" t="s">
        <v>75</v>
      </c>
      <c r="F468" s="255">
        <v>5</v>
      </c>
      <c r="G468" s="251" t="s">
        <v>72</v>
      </c>
      <c r="H468" s="159" t="s">
        <v>73</v>
      </c>
      <c r="I468" s="158">
        <f>I469+I470</f>
        <v>2688445.24</v>
      </c>
      <c r="J468" s="158">
        <f>J469+J470</f>
        <v>697.2</v>
      </c>
      <c r="K468" s="158">
        <f>K469+K470</f>
        <v>2936</v>
      </c>
      <c r="L468" s="7"/>
      <c r="M468" s="7"/>
      <c r="N468" s="7"/>
      <c r="O468" s="7"/>
      <c r="P468" s="7"/>
      <c r="Q468" s="7"/>
      <c r="R468" s="7"/>
      <c r="S468" s="7"/>
      <c r="T468" s="7"/>
      <c r="U468" s="7"/>
      <c r="V468" s="7"/>
      <c r="W468" s="7"/>
    </row>
    <row r="469" spans="1:23" ht="46.5" x14ac:dyDescent="0.35">
      <c r="A469" s="251">
        <v>75</v>
      </c>
      <c r="B469" s="251"/>
      <c r="C469" s="252"/>
      <c r="D469" s="253"/>
      <c r="E469" s="253"/>
      <c r="F469" s="255"/>
      <c r="G469" s="251"/>
      <c r="H469" s="159" t="s">
        <v>705</v>
      </c>
      <c r="I469" s="158">
        <f>217226.47+50048.05</f>
        <v>267274.52</v>
      </c>
      <c r="J469" s="158">
        <f>I469/D468</f>
        <v>69.31</v>
      </c>
      <c r="K469" s="158">
        <f>151+13</f>
        <v>164</v>
      </c>
      <c r="L469" s="7"/>
      <c r="M469" s="7"/>
      <c r="N469" s="7"/>
      <c r="O469" s="7"/>
      <c r="P469" s="7"/>
      <c r="Q469" s="7"/>
      <c r="R469" s="7"/>
      <c r="S469" s="7"/>
      <c r="T469" s="7"/>
      <c r="U469" s="7"/>
      <c r="V469" s="7"/>
      <c r="W469" s="7"/>
    </row>
    <row r="470" spans="1:23" x14ac:dyDescent="0.35">
      <c r="A470" s="251"/>
      <c r="B470" s="251"/>
      <c r="C470" s="252"/>
      <c r="D470" s="253"/>
      <c r="E470" s="253"/>
      <c r="F470" s="255"/>
      <c r="G470" s="251"/>
      <c r="H470" s="159" t="s">
        <v>74</v>
      </c>
      <c r="I470" s="158">
        <f>8070569.08*0.3</f>
        <v>2421170.7200000002</v>
      </c>
      <c r="J470" s="158">
        <f>I470/D468</f>
        <v>627.89</v>
      </c>
      <c r="K470" s="158">
        <v>2772</v>
      </c>
      <c r="L470" s="7"/>
      <c r="M470" s="7"/>
      <c r="N470" s="7"/>
      <c r="O470" s="7"/>
      <c r="P470" s="7"/>
      <c r="Q470" s="7"/>
      <c r="R470" s="7"/>
      <c r="S470" s="7"/>
      <c r="T470" s="7"/>
      <c r="U470" s="7"/>
      <c r="V470" s="7"/>
      <c r="W470" s="7"/>
    </row>
    <row r="471" spans="1:23" x14ac:dyDescent="0.35">
      <c r="A471" s="251">
        <f>A468+1</f>
        <v>29</v>
      </c>
      <c r="B471" s="251">
        <v>509</v>
      </c>
      <c r="C471" s="252" t="s">
        <v>290</v>
      </c>
      <c r="D471" s="253">
        <v>3004.2</v>
      </c>
      <c r="E471" s="253" t="s">
        <v>75</v>
      </c>
      <c r="F471" s="255">
        <v>5</v>
      </c>
      <c r="G471" s="251" t="s">
        <v>72</v>
      </c>
      <c r="H471" s="159" t="s">
        <v>73</v>
      </c>
      <c r="I471" s="158">
        <f>I472+I473</f>
        <v>2472001.6</v>
      </c>
      <c r="J471" s="158">
        <f>J472+J473</f>
        <v>822.85</v>
      </c>
      <c r="K471" s="158">
        <f>K472+K473</f>
        <v>2936</v>
      </c>
      <c r="L471" s="7"/>
      <c r="M471" s="7"/>
      <c r="N471" s="7"/>
      <c r="O471" s="7"/>
      <c r="P471" s="7"/>
      <c r="Q471" s="7"/>
      <c r="R471" s="7"/>
      <c r="S471" s="7"/>
      <c r="T471" s="7"/>
      <c r="U471" s="7"/>
      <c r="V471" s="7"/>
      <c r="W471" s="7"/>
    </row>
    <row r="472" spans="1:23" ht="46.5" x14ac:dyDescent="0.35">
      <c r="A472" s="251">
        <v>75</v>
      </c>
      <c r="B472" s="251"/>
      <c r="C472" s="252"/>
      <c r="D472" s="253"/>
      <c r="E472" s="253"/>
      <c r="F472" s="255"/>
      <c r="G472" s="251"/>
      <c r="H472" s="159" t="s">
        <v>705</v>
      </c>
      <c r="I472" s="158">
        <f>226059.68+17440</f>
        <v>243499.68</v>
      </c>
      <c r="J472" s="158">
        <f>I472/D471</f>
        <v>81.05</v>
      </c>
      <c r="K472" s="158">
        <f>151+13</f>
        <v>164</v>
      </c>
      <c r="L472" s="7"/>
      <c r="M472" s="7"/>
      <c r="N472" s="7"/>
      <c r="O472" s="7"/>
      <c r="P472" s="7"/>
      <c r="Q472" s="7"/>
      <c r="R472" s="7"/>
      <c r="S472" s="7"/>
      <c r="T472" s="7"/>
      <c r="U472" s="7"/>
      <c r="V472" s="7"/>
      <c r="W472" s="7"/>
    </row>
    <row r="473" spans="1:23" x14ac:dyDescent="0.35">
      <c r="A473" s="251"/>
      <c r="B473" s="251"/>
      <c r="C473" s="252"/>
      <c r="D473" s="253"/>
      <c r="E473" s="253"/>
      <c r="F473" s="255"/>
      <c r="G473" s="251"/>
      <c r="H473" s="159" t="s">
        <v>74</v>
      </c>
      <c r="I473" s="158">
        <f>7428339.72*0.3</f>
        <v>2228501.92</v>
      </c>
      <c r="J473" s="158">
        <f>I473/D471</f>
        <v>741.8</v>
      </c>
      <c r="K473" s="158">
        <v>2772</v>
      </c>
      <c r="L473" s="7"/>
      <c r="M473" s="7"/>
      <c r="N473" s="7"/>
      <c r="O473" s="7"/>
      <c r="P473" s="7"/>
      <c r="Q473" s="7"/>
      <c r="R473" s="7"/>
      <c r="S473" s="7"/>
      <c r="T473" s="7"/>
      <c r="U473" s="7"/>
      <c r="V473" s="7"/>
      <c r="W473" s="7"/>
    </row>
    <row r="474" spans="1:23" x14ac:dyDescent="0.35">
      <c r="A474" s="251">
        <f>A471+1</f>
        <v>30</v>
      </c>
      <c r="B474" s="251">
        <v>617</v>
      </c>
      <c r="C474" s="252" t="s">
        <v>291</v>
      </c>
      <c r="D474" s="253">
        <v>4525.22</v>
      </c>
      <c r="E474" s="253" t="s">
        <v>75</v>
      </c>
      <c r="F474" s="255">
        <v>5</v>
      </c>
      <c r="G474" s="251" t="s">
        <v>72</v>
      </c>
      <c r="H474" s="159" t="s">
        <v>73</v>
      </c>
      <c r="I474" s="158">
        <f>I475+I476</f>
        <v>3153965.94</v>
      </c>
      <c r="J474" s="158">
        <f>J475+J476</f>
        <v>696.98</v>
      </c>
      <c r="K474" s="158">
        <f>K475+K476</f>
        <v>2936</v>
      </c>
      <c r="L474" s="7"/>
      <c r="M474" s="7"/>
      <c r="N474" s="7"/>
      <c r="O474" s="7"/>
      <c r="P474" s="7"/>
      <c r="Q474" s="7"/>
      <c r="R474" s="7"/>
      <c r="S474" s="7"/>
      <c r="T474" s="7"/>
      <c r="U474" s="7"/>
      <c r="V474" s="7"/>
      <c r="W474" s="7"/>
    </row>
    <row r="475" spans="1:23" ht="46.5" x14ac:dyDescent="0.35">
      <c r="A475" s="251">
        <v>75</v>
      </c>
      <c r="B475" s="251"/>
      <c r="C475" s="252"/>
      <c r="D475" s="253"/>
      <c r="E475" s="253"/>
      <c r="F475" s="255"/>
      <c r="G475" s="251"/>
      <c r="H475" s="159" t="s">
        <v>705</v>
      </c>
      <c r="I475" s="158">
        <f>273591.61+19440</f>
        <v>293031.61</v>
      </c>
      <c r="J475" s="158">
        <f>I475/D474</f>
        <v>64.760000000000005</v>
      </c>
      <c r="K475" s="158">
        <f>151+13</f>
        <v>164</v>
      </c>
      <c r="L475" s="7"/>
      <c r="M475" s="7"/>
      <c r="N475" s="7"/>
      <c r="O475" s="7"/>
      <c r="P475" s="7"/>
      <c r="Q475" s="7"/>
      <c r="R475" s="7"/>
      <c r="S475" s="7"/>
      <c r="T475" s="7"/>
      <c r="U475" s="7"/>
      <c r="V475" s="7"/>
      <c r="W475" s="7"/>
    </row>
    <row r="476" spans="1:23" x14ac:dyDescent="0.35">
      <c r="A476" s="251"/>
      <c r="B476" s="251"/>
      <c r="C476" s="252"/>
      <c r="D476" s="253"/>
      <c r="E476" s="253"/>
      <c r="F476" s="255"/>
      <c r="G476" s="251"/>
      <c r="H476" s="159" t="s">
        <v>74</v>
      </c>
      <c r="I476" s="158">
        <f>9536447.77*0.3</f>
        <v>2860934.33</v>
      </c>
      <c r="J476" s="158">
        <f>I476/D474</f>
        <v>632.22</v>
      </c>
      <c r="K476" s="158">
        <v>2772</v>
      </c>
      <c r="L476" s="7"/>
      <c r="M476" s="7"/>
      <c r="N476" s="7"/>
      <c r="O476" s="7"/>
      <c r="P476" s="7"/>
      <c r="Q476" s="7"/>
      <c r="R476" s="7"/>
      <c r="S476" s="7"/>
      <c r="T476" s="7"/>
      <c r="U476" s="7"/>
      <c r="V476" s="7"/>
      <c r="W476" s="7"/>
    </row>
    <row r="477" spans="1:23" x14ac:dyDescent="0.35">
      <c r="A477" s="251">
        <f>A474+1</f>
        <v>31</v>
      </c>
      <c r="B477" s="251">
        <v>574</v>
      </c>
      <c r="C477" s="252" t="s">
        <v>294</v>
      </c>
      <c r="D477" s="253">
        <v>3042.6</v>
      </c>
      <c r="E477" s="253" t="s">
        <v>75</v>
      </c>
      <c r="F477" s="255">
        <v>5</v>
      </c>
      <c r="G477" s="251" t="s">
        <v>72</v>
      </c>
      <c r="H477" s="159" t="s">
        <v>73</v>
      </c>
      <c r="I477" s="158">
        <f>I478+I479</f>
        <v>2301908.66</v>
      </c>
      <c r="J477" s="158">
        <f>J478+J479</f>
        <v>756.56</v>
      </c>
      <c r="K477" s="158">
        <f>K478+K479</f>
        <v>2936</v>
      </c>
      <c r="L477" s="7"/>
      <c r="M477" s="7"/>
      <c r="N477" s="7"/>
      <c r="O477" s="7"/>
      <c r="P477" s="7"/>
      <c r="Q477" s="7"/>
      <c r="R477" s="7"/>
      <c r="S477" s="7"/>
      <c r="T477" s="7"/>
      <c r="U477" s="7"/>
      <c r="V477" s="7"/>
      <c r="W477" s="7"/>
    </row>
    <row r="478" spans="1:23" ht="46.5" x14ac:dyDescent="0.35">
      <c r="A478" s="251">
        <v>75</v>
      </c>
      <c r="B478" s="251"/>
      <c r="C478" s="252"/>
      <c r="D478" s="253"/>
      <c r="E478" s="253"/>
      <c r="F478" s="255"/>
      <c r="G478" s="251"/>
      <c r="H478" s="159" t="s">
        <v>705</v>
      </c>
      <c r="I478" s="158">
        <f>232309.93+17730.94</f>
        <v>250040.87</v>
      </c>
      <c r="J478" s="158">
        <f>I478/D477</f>
        <v>82.18</v>
      </c>
      <c r="K478" s="158">
        <f>151+13</f>
        <v>164</v>
      </c>
      <c r="L478" s="7"/>
      <c r="M478" s="7"/>
      <c r="N478" s="7"/>
      <c r="O478" s="7"/>
      <c r="P478" s="7"/>
      <c r="Q478" s="7"/>
      <c r="R478" s="7"/>
      <c r="S478" s="7"/>
      <c r="T478" s="7"/>
      <c r="U478" s="7"/>
      <c r="V478" s="7"/>
      <c r="W478" s="7"/>
    </row>
    <row r="479" spans="1:23" x14ac:dyDescent="0.35">
      <c r="A479" s="251"/>
      <c r="B479" s="251"/>
      <c r="C479" s="252"/>
      <c r="D479" s="253"/>
      <c r="E479" s="253"/>
      <c r="F479" s="255"/>
      <c r="G479" s="251"/>
      <c r="H479" s="159" t="s">
        <v>74</v>
      </c>
      <c r="I479" s="158">
        <f>6839559.31*0.3</f>
        <v>2051867.79</v>
      </c>
      <c r="J479" s="158">
        <f>I479/D477</f>
        <v>674.38</v>
      </c>
      <c r="K479" s="158">
        <v>2772</v>
      </c>
      <c r="L479" s="7"/>
      <c r="M479" s="7"/>
      <c r="N479" s="7"/>
      <c r="O479" s="7"/>
      <c r="P479" s="7"/>
      <c r="Q479" s="7"/>
      <c r="R479" s="7"/>
      <c r="S479" s="7"/>
      <c r="T479" s="7"/>
      <c r="U479" s="7"/>
      <c r="V479" s="7"/>
      <c r="W479" s="7"/>
    </row>
    <row r="480" spans="1:23" ht="15.75" customHeight="1" x14ac:dyDescent="0.35">
      <c r="A480" s="251">
        <f>A477+1</f>
        <v>32</v>
      </c>
      <c r="B480" s="251">
        <v>402</v>
      </c>
      <c r="C480" s="252" t="s">
        <v>295</v>
      </c>
      <c r="D480" s="253">
        <v>1350.1</v>
      </c>
      <c r="E480" s="253" t="s">
        <v>75</v>
      </c>
      <c r="F480" s="255">
        <v>4</v>
      </c>
      <c r="G480" s="123"/>
      <c r="H480" s="159" t="s">
        <v>73</v>
      </c>
      <c r="I480" s="158">
        <f>I481+I482+I483+I484+I485+I486</f>
        <v>3275335.36</v>
      </c>
      <c r="J480" s="158">
        <f>J481+J482+J483+J484+J485+J486</f>
        <v>2425.9899999999998</v>
      </c>
      <c r="K480" s="158">
        <f>K481+K482+K483+K484+K485+K486</f>
        <v>3640</v>
      </c>
      <c r="L480" s="7"/>
      <c r="M480" s="7"/>
      <c r="N480" s="7"/>
      <c r="O480" s="7"/>
      <c r="P480" s="7"/>
      <c r="Q480" s="7"/>
      <c r="R480" s="7"/>
      <c r="S480" s="7"/>
      <c r="T480" s="7"/>
      <c r="U480" s="7"/>
      <c r="V480" s="7"/>
      <c r="W480" s="7"/>
    </row>
    <row r="481" spans="1:23" ht="15.75" customHeight="1" x14ac:dyDescent="0.35">
      <c r="A481" s="251">
        <v>882</v>
      </c>
      <c r="B481" s="251"/>
      <c r="C481" s="252"/>
      <c r="D481" s="253"/>
      <c r="E481" s="253"/>
      <c r="F481" s="255"/>
      <c r="G481" s="251" t="s">
        <v>77</v>
      </c>
      <c r="H481" s="159" t="s">
        <v>74</v>
      </c>
      <c r="I481" s="158">
        <v>2615082.36</v>
      </c>
      <c r="J481" s="158">
        <f>I481/D480</f>
        <v>1936.95</v>
      </c>
      <c r="K481" s="158">
        <v>2691</v>
      </c>
      <c r="L481" s="7"/>
      <c r="M481" s="7"/>
      <c r="N481" s="7"/>
      <c r="O481" s="7"/>
      <c r="P481" s="7"/>
      <c r="Q481" s="7"/>
      <c r="R481" s="7"/>
      <c r="S481" s="7"/>
      <c r="T481" s="7"/>
      <c r="U481" s="7"/>
      <c r="V481" s="7"/>
      <c r="W481" s="7"/>
    </row>
    <row r="482" spans="1:23" x14ac:dyDescent="0.35">
      <c r="A482" s="251">
        <v>883</v>
      </c>
      <c r="B482" s="251"/>
      <c r="C482" s="252"/>
      <c r="D482" s="253"/>
      <c r="E482" s="253"/>
      <c r="F482" s="255"/>
      <c r="G482" s="251"/>
      <c r="H482" s="159" t="s">
        <v>76</v>
      </c>
      <c r="I482" s="158">
        <v>39692.93</v>
      </c>
      <c r="J482" s="158">
        <f>I482/D480</f>
        <v>29.4</v>
      </c>
      <c r="K482" s="158">
        <v>58</v>
      </c>
      <c r="L482" s="7"/>
      <c r="M482" s="7"/>
      <c r="N482" s="7"/>
      <c r="O482" s="7"/>
      <c r="P482" s="7"/>
      <c r="Q482" s="7"/>
      <c r="R482" s="7"/>
      <c r="S482" s="7"/>
      <c r="T482" s="7"/>
      <c r="U482" s="7"/>
      <c r="V482" s="7"/>
      <c r="W482" s="7"/>
    </row>
    <row r="483" spans="1:23" ht="25.5" customHeight="1" x14ac:dyDescent="0.35">
      <c r="A483" s="251">
        <v>884</v>
      </c>
      <c r="B483" s="251"/>
      <c r="C483" s="252"/>
      <c r="D483" s="253"/>
      <c r="E483" s="253"/>
      <c r="F483" s="255"/>
      <c r="G483" s="251" t="s">
        <v>78</v>
      </c>
      <c r="H483" s="159" t="s">
        <v>74</v>
      </c>
      <c r="I483" s="158">
        <v>206656.75</v>
      </c>
      <c r="J483" s="158">
        <f>I483/D480</f>
        <v>153.07</v>
      </c>
      <c r="K483" s="158">
        <v>463</v>
      </c>
      <c r="L483" s="7"/>
      <c r="M483" s="7"/>
      <c r="N483" s="7"/>
      <c r="O483" s="7"/>
      <c r="P483" s="7"/>
      <c r="Q483" s="7"/>
      <c r="R483" s="7"/>
      <c r="S483" s="7"/>
      <c r="T483" s="7"/>
      <c r="U483" s="7"/>
      <c r="V483" s="7"/>
      <c r="W483" s="7"/>
    </row>
    <row r="484" spans="1:23" x14ac:dyDescent="0.35">
      <c r="A484" s="251">
        <v>885</v>
      </c>
      <c r="B484" s="251"/>
      <c r="C484" s="252"/>
      <c r="D484" s="253"/>
      <c r="E484" s="253"/>
      <c r="F484" s="255"/>
      <c r="G484" s="251"/>
      <c r="H484" s="159" t="s">
        <v>76</v>
      </c>
      <c r="I484" s="158">
        <v>13230.98</v>
      </c>
      <c r="J484" s="158">
        <f>I484/D480</f>
        <v>9.8000000000000007</v>
      </c>
      <c r="K484" s="158">
        <v>10</v>
      </c>
      <c r="L484" s="7"/>
      <c r="M484" s="7"/>
      <c r="N484" s="7"/>
      <c r="O484" s="7"/>
      <c r="P484" s="7"/>
      <c r="Q484" s="7"/>
      <c r="R484" s="7"/>
      <c r="S484" s="7"/>
      <c r="T484" s="7"/>
      <c r="U484" s="7"/>
      <c r="V484" s="7"/>
      <c r="W484" s="7"/>
    </row>
    <row r="485" spans="1:23" ht="25.5" customHeight="1" x14ac:dyDescent="0.35">
      <c r="A485" s="251">
        <v>886</v>
      </c>
      <c r="B485" s="251"/>
      <c r="C485" s="252"/>
      <c r="D485" s="253"/>
      <c r="E485" s="253"/>
      <c r="F485" s="255"/>
      <c r="G485" s="251" t="s">
        <v>79</v>
      </c>
      <c r="H485" s="159" t="s">
        <v>74</v>
      </c>
      <c r="I485" s="158">
        <v>391410.65</v>
      </c>
      <c r="J485" s="158">
        <f>I485/D480</f>
        <v>289.91000000000003</v>
      </c>
      <c r="K485" s="158">
        <v>409</v>
      </c>
      <c r="L485" s="7"/>
      <c r="M485" s="7"/>
      <c r="N485" s="7"/>
      <c r="O485" s="7"/>
      <c r="P485" s="7"/>
      <c r="Q485" s="7"/>
      <c r="R485" s="7"/>
      <c r="S485" s="7"/>
      <c r="T485" s="7"/>
      <c r="U485" s="7"/>
      <c r="V485" s="7"/>
      <c r="W485" s="7"/>
    </row>
    <row r="486" spans="1:23" x14ac:dyDescent="0.35">
      <c r="A486" s="251">
        <v>887</v>
      </c>
      <c r="B486" s="251"/>
      <c r="C486" s="252"/>
      <c r="D486" s="253"/>
      <c r="E486" s="253"/>
      <c r="F486" s="255"/>
      <c r="G486" s="251"/>
      <c r="H486" s="159" t="s">
        <v>76</v>
      </c>
      <c r="I486" s="158">
        <v>9261.69</v>
      </c>
      <c r="J486" s="158">
        <f>I486/D480</f>
        <v>6.86</v>
      </c>
      <c r="K486" s="158">
        <v>9</v>
      </c>
      <c r="L486" s="7"/>
      <c r="M486" s="7"/>
      <c r="N486" s="7"/>
      <c r="O486" s="7"/>
      <c r="P486" s="7"/>
      <c r="Q486" s="7"/>
      <c r="R486" s="7"/>
      <c r="S486" s="7"/>
      <c r="T486" s="7"/>
      <c r="U486" s="7"/>
      <c r="V486" s="7"/>
      <c r="W486" s="7"/>
    </row>
    <row r="487" spans="1:23" x14ac:dyDescent="0.35">
      <c r="A487" s="251">
        <f>A480+1</f>
        <v>33</v>
      </c>
      <c r="B487" s="251">
        <v>566</v>
      </c>
      <c r="C487" s="259" t="s">
        <v>296</v>
      </c>
      <c r="D487" s="253">
        <v>3195.7</v>
      </c>
      <c r="E487" s="253" t="s">
        <v>75</v>
      </c>
      <c r="F487" s="255">
        <v>5</v>
      </c>
      <c r="G487" s="251" t="s">
        <v>72</v>
      </c>
      <c r="H487" s="159" t="s">
        <v>73</v>
      </c>
      <c r="I487" s="158">
        <f>I488+I489</f>
        <v>2099527.02</v>
      </c>
      <c r="J487" s="158">
        <f>J488+J489</f>
        <v>656.99</v>
      </c>
      <c r="K487" s="158">
        <f>K488+K489</f>
        <v>2936</v>
      </c>
      <c r="L487" s="7"/>
      <c r="M487" s="7"/>
      <c r="N487" s="7"/>
      <c r="O487" s="7"/>
      <c r="P487" s="7"/>
      <c r="Q487" s="7"/>
      <c r="R487" s="7"/>
      <c r="S487" s="7"/>
      <c r="T487" s="7"/>
      <c r="U487" s="7"/>
      <c r="V487" s="7"/>
      <c r="W487" s="7"/>
    </row>
    <row r="488" spans="1:23" ht="49.5" customHeight="1" x14ac:dyDescent="0.35">
      <c r="A488" s="251">
        <v>75</v>
      </c>
      <c r="B488" s="251"/>
      <c r="C488" s="260"/>
      <c r="D488" s="253"/>
      <c r="E488" s="253"/>
      <c r="F488" s="255"/>
      <c r="G488" s="251"/>
      <c r="H488" s="159" t="s">
        <v>705</v>
      </c>
      <c r="I488" s="158">
        <v>245534.68</v>
      </c>
      <c r="J488" s="158">
        <f>I488/D487+0.01</f>
        <v>76.84</v>
      </c>
      <c r="K488" s="158">
        <f>151+13</f>
        <v>164</v>
      </c>
      <c r="L488" s="7"/>
      <c r="M488" s="7"/>
      <c r="N488" s="7"/>
      <c r="O488" s="7"/>
      <c r="P488" s="7"/>
      <c r="Q488" s="7"/>
      <c r="R488" s="7"/>
      <c r="S488" s="7"/>
      <c r="T488" s="7"/>
      <c r="U488" s="7"/>
      <c r="V488" s="7"/>
      <c r="W488" s="7"/>
    </row>
    <row r="489" spans="1:23" x14ac:dyDescent="0.35">
      <c r="A489" s="251"/>
      <c r="B489" s="251"/>
      <c r="C489" s="261"/>
      <c r="D489" s="253"/>
      <c r="E489" s="253"/>
      <c r="F489" s="255"/>
      <c r="G489" s="251"/>
      <c r="H489" s="159" t="s">
        <v>74</v>
      </c>
      <c r="I489" s="158">
        <f>6179974.47*0.3</f>
        <v>1853992.34</v>
      </c>
      <c r="J489" s="158">
        <f>I489/D487</f>
        <v>580.15</v>
      </c>
      <c r="K489" s="158">
        <v>2772</v>
      </c>
      <c r="L489" s="7"/>
      <c r="M489" s="7"/>
      <c r="N489" s="7"/>
      <c r="O489" s="7"/>
      <c r="P489" s="7"/>
      <c r="Q489" s="7"/>
      <c r="R489" s="7"/>
      <c r="S489" s="7"/>
      <c r="T489" s="7"/>
      <c r="U489" s="7"/>
      <c r="V489" s="7"/>
      <c r="W489" s="7"/>
    </row>
    <row r="490" spans="1:23" x14ac:dyDescent="0.35">
      <c r="A490" s="251">
        <f>A487+1</f>
        <v>34</v>
      </c>
      <c r="B490" s="251">
        <v>653</v>
      </c>
      <c r="C490" s="252" t="s">
        <v>297</v>
      </c>
      <c r="D490" s="253">
        <v>3054.95</v>
      </c>
      <c r="E490" s="253" t="s">
        <v>75</v>
      </c>
      <c r="F490" s="255">
        <v>5</v>
      </c>
      <c r="G490" s="251" t="s">
        <v>72</v>
      </c>
      <c r="H490" s="159" t="s">
        <v>73</v>
      </c>
      <c r="I490" s="158">
        <f>I491+I492</f>
        <v>2247604.9700000002</v>
      </c>
      <c r="J490" s="158">
        <f>J491+J492</f>
        <v>735.73</v>
      </c>
      <c r="K490" s="158">
        <f>K491+K492</f>
        <v>2936</v>
      </c>
      <c r="L490" s="7"/>
      <c r="M490" s="7"/>
      <c r="N490" s="7"/>
      <c r="O490" s="7"/>
      <c r="P490" s="7"/>
      <c r="Q490" s="7"/>
      <c r="R490" s="7"/>
      <c r="S490" s="7"/>
      <c r="T490" s="7"/>
      <c r="U490" s="7"/>
      <c r="V490" s="7"/>
      <c r="W490" s="7"/>
    </row>
    <row r="491" spans="1:23" ht="46.5" x14ac:dyDescent="0.35">
      <c r="A491" s="251">
        <v>75</v>
      </c>
      <c r="B491" s="251"/>
      <c r="C491" s="252"/>
      <c r="D491" s="253"/>
      <c r="E491" s="253"/>
      <c r="F491" s="255"/>
      <c r="G491" s="251"/>
      <c r="H491" s="159" t="s">
        <v>705</v>
      </c>
      <c r="I491" s="158">
        <v>243531.7</v>
      </c>
      <c r="J491" s="158">
        <f>I491/D490</f>
        <v>79.72</v>
      </c>
      <c r="K491" s="158">
        <f>151+13</f>
        <v>164</v>
      </c>
      <c r="L491" s="7"/>
      <c r="M491" s="7"/>
      <c r="N491" s="7"/>
      <c r="O491" s="7"/>
      <c r="P491" s="7"/>
      <c r="Q491" s="7"/>
      <c r="R491" s="7"/>
      <c r="S491" s="7"/>
      <c r="T491" s="7"/>
      <c r="U491" s="7"/>
      <c r="V491" s="7"/>
      <c r="W491" s="7"/>
    </row>
    <row r="492" spans="1:23" x14ac:dyDescent="0.35">
      <c r="A492" s="251"/>
      <c r="B492" s="251"/>
      <c r="C492" s="252"/>
      <c r="D492" s="253"/>
      <c r="E492" s="253"/>
      <c r="F492" s="255"/>
      <c r="G492" s="251"/>
      <c r="H492" s="159" t="s">
        <v>74</v>
      </c>
      <c r="I492" s="158">
        <f>6680244.24*0.3</f>
        <v>2004073.27</v>
      </c>
      <c r="J492" s="158">
        <f>I492/D490</f>
        <v>656.01</v>
      </c>
      <c r="K492" s="158">
        <v>2772</v>
      </c>
      <c r="L492" s="7"/>
      <c r="M492" s="7"/>
      <c r="N492" s="7"/>
      <c r="O492" s="7"/>
      <c r="P492" s="7"/>
      <c r="Q492" s="7"/>
      <c r="R492" s="7"/>
      <c r="S492" s="7"/>
      <c r="T492" s="7"/>
      <c r="U492" s="7"/>
      <c r="V492" s="7"/>
      <c r="W492" s="7"/>
    </row>
    <row r="493" spans="1:23" ht="15.75" customHeight="1" x14ac:dyDescent="0.35">
      <c r="A493" s="256">
        <f>A490+1</f>
        <v>35</v>
      </c>
      <c r="B493" s="256">
        <v>647</v>
      </c>
      <c r="C493" s="259" t="s">
        <v>298</v>
      </c>
      <c r="D493" s="279">
        <v>2026</v>
      </c>
      <c r="E493" s="279" t="s">
        <v>75</v>
      </c>
      <c r="F493" s="291">
        <v>9</v>
      </c>
      <c r="G493" s="123"/>
      <c r="H493" s="159" t="s">
        <v>73</v>
      </c>
      <c r="I493" s="158">
        <f>I494+I495+I496</f>
        <v>314030</v>
      </c>
      <c r="J493" s="158">
        <f>J494+J495+J496</f>
        <v>155</v>
      </c>
      <c r="K493" s="158">
        <f>K494+K495+K496</f>
        <v>155</v>
      </c>
      <c r="L493" s="7"/>
      <c r="M493" s="7"/>
      <c r="N493" s="7"/>
      <c r="O493" s="7"/>
      <c r="P493" s="7"/>
      <c r="Q493" s="7"/>
      <c r="R493" s="7"/>
      <c r="S493" s="7"/>
      <c r="T493" s="7"/>
      <c r="U493" s="7"/>
      <c r="V493" s="7"/>
      <c r="W493" s="7"/>
    </row>
    <row r="494" spans="1:23" ht="31" x14ac:dyDescent="0.35">
      <c r="A494" s="257"/>
      <c r="B494" s="257"/>
      <c r="C494" s="260"/>
      <c r="D494" s="280"/>
      <c r="E494" s="280"/>
      <c r="F494" s="292"/>
      <c r="G494" s="120" t="s">
        <v>77</v>
      </c>
      <c r="H494" s="159" t="s">
        <v>666</v>
      </c>
      <c r="I494" s="158">
        <f>D493*K494</f>
        <v>237042</v>
      </c>
      <c r="J494" s="158">
        <f>I494/D493</f>
        <v>117</v>
      </c>
      <c r="K494" s="158">
        <f>108+9</f>
        <v>117</v>
      </c>
      <c r="L494" s="7"/>
      <c r="M494" s="7"/>
      <c r="N494" s="7"/>
      <c r="O494" s="7"/>
      <c r="P494" s="7"/>
      <c r="Q494" s="7"/>
      <c r="R494" s="7"/>
      <c r="S494" s="7"/>
      <c r="T494" s="7"/>
      <c r="U494" s="7"/>
      <c r="V494" s="7"/>
      <c r="W494" s="7"/>
    </row>
    <row r="495" spans="1:23" ht="46.5" x14ac:dyDescent="0.35">
      <c r="A495" s="257"/>
      <c r="B495" s="257"/>
      <c r="C495" s="260"/>
      <c r="D495" s="280"/>
      <c r="E495" s="280"/>
      <c r="F495" s="292"/>
      <c r="G495" s="120" t="s">
        <v>78</v>
      </c>
      <c r="H495" s="159" t="s">
        <v>666</v>
      </c>
      <c r="I495" s="158">
        <f>D493*K495</f>
        <v>42546</v>
      </c>
      <c r="J495" s="158">
        <f>I495/D493</f>
        <v>21</v>
      </c>
      <c r="K495" s="158">
        <f>19+2</f>
        <v>21</v>
      </c>
      <c r="L495" s="7"/>
      <c r="M495" s="7"/>
      <c r="N495" s="7"/>
      <c r="O495" s="7"/>
      <c r="P495" s="7"/>
      <c r="Q495" s="7"/>
      <c r="R495" s="7"/>
      <c r="S495" s="7"/>
      <c r="T495" s="7"/>
      <c r="U495" s="7"/>
      <c r="V495" s="7"/>
      <c r="W495" s="7"/>
    </row>
    <row r="496" spans="1:23" ht="31" x14ac:dyDescent="0.35">
      <c r="A496" s="257"/>
      <c r="B496" s="257"/>
      <c r="C496" s="260"/>
      <c r="D496" s="280"/>
      <c r="E496" s="280"/>
      <c r="F496" s="292"/>
      <c r="G496" s="120" t="s">
        <v>79</v>
      </c>
      <c r="H496" s="159" t="s">
        <v>666</v>
      </c>
      <c r="I496" s="158">
        <f>D493*K496</f>
        <v>34442</v>
      </c>
      <c r="J496" s="158">
        <f>I496/D493</f>
        <v>17</v>
      </c>
      <c r="K496" s="158">
        <f>16+1</f>
        <v>17</v>
      </c>
      <c r="L496" s="7"/>
      <c r="M496" s="7"/>
      <c r="N496" s="7"/>
      <c r="O496" s="7"/>
      <c r="P496" s="7"/>
      <c r="Q496" s="7"/>
      <c r="R496" s="7"/>
      <c r="S496" s="7"/>
      <c r="T496" s="7"/>
      <c r="U496" s="7"/>
      <c r="V496" s="7"/>
      <c r="W496" s="7"/>
    </row>
    <row r="497" spans="1:23" x14ac:dyDescent="0.35">
      <c r="A497" s="251">
        <f>A493+1</f>
        <v>36</v>
      </c>
      <c r="B497" s="251">
        <v>472</v>
      </c>
      <c r="C497" s="252" t="s">
        <v>299</v>
      </c>
      <c r="D497" s="274">
        <v>3361.23</v>
      </c>
      <c r="E497" s="274" t="s">
        <v>75</v>
      </c>
      <c r="F497" s="293">
        <v>5</v>
      </c>
      <c r="G497" s="251" t="s">
        <v>72</v>
      </c>
      <c r="H497" s="159" t="s">
        <v>73</v>
      </c>
      <c r="I497" s="158">
        <f>I498+I499</f>
        <v>5417303.2400000002</v>
      </c>
      <c r="J497" s="158">
        <f>J498+J499</f>
        <v>1611.7</v>
      </c>
      <c r="K497" s="158">
        <f>K498+K499</f>
        <v>2831</v>
      </c>
      <c r="L497" s="7"/>
      <c r="M497" s="7"/>
      <c r="N497" s="7"/>
      <c r="O497" s="7"/>
      <c r="P497" s="7"/>
      <c r="Q497" s="7"/>
      <c r="R497" s="7"/>
      <c r="S497" s="7"/>
      <c r="T497" s="7"/>
      <c r="U497" s="7"/>
      <c r="V497" s="7"/>
      <c r="W497" s="7"/>
    </row>
    <row r="498" spans="1:23" x14ac:dyDescent="0.35">
      <c r="A498" s="251">
        <v>75</v>
      </c>
      <c r="B498" s="251"/>
      <c r="C498" s="252"/>
      <c r="D498" s="274"/>
      <c r="E498" s="274"/>
      <c r="F498" s="293"/>
      <c r="G498" s="251"/>
      <c r="H498" s="159" t="s">
        <v>74</v>
      </c>
      <c r="I498" s="158">
        <v>5340083</v>
      </c>
      <c r="J498" s="158">
        <f>I498/D497</f>
        <v>1588.73</v>
      </c>
      <c r="K498" s="158">
        <v>2772</v>
      </c>
      <c r="L498" s="7"/>
      <c r="M498" s="7"/>
      <c r="N498" s="7"/>
      <c r="O498" s="7"/>
      <c r="P498" s="7"/>
      <c r="Q498" s="7"/>
      <c r="R498" s="7"/>
      <c r="S498" s="7"/>
      <c r="T498" s="7"/>
      <c r="U498" s="7"/>
      <c r="V498" s="7"/>
      <c r="W498" s="7"/>
    </row>
    <row r="499" spans="1:23" x14ac:dyDescent="0.35">
      <c r="A499" s="251">
        <v>76</v>
      </c>
      <c r="B499" s="251"/>
      <c r="C499" s="252"/>
      <c r="D499" s="274"/>
      <c r="E499" s="274"/>
      <c r="F499" s="293"/>
      <c r="G499" s="251"/>
      <c r="H499" s="159" t="s">
        <v>76</v>
      </c>
      <c r="I499" s="158">
        <v>77220.240000000005</v>
      </c>
      <c r="J499" s="158">
        <f>I499/D497</f>
        <v>22.97</v>
      </c>
      <c r="K499" s="158">
        <v>59</v>
      </c>
      <c r="L499" s="7"/>
      <c r="M499" s="7"/>
      <c r="N499" s="7"/>
      <c r="O499" s="7"/>
      <c r="P499" s="7"/>
      <c r="Q499" s="7"/>
      <c r="R499" s="7"/>
      <c r="S499" s="7"/>
      <c r="T499" s="7"/>
      <c r="U499" s="7"/>
      <c r="V499" s="7"/>
      <c r="W499" s="7"/>
    </row>
    <row r="500" spans="1:23" x14ac:dyDescent="0.35">
      <c r="A500" s="251">
        <f>A497+1</f>
        <v>37</v>
      </c>
      <c r="B500" s="251">
        <v>362</v>
      </c>
      <c r="C500" s="252" t="s">
        <v>300</v>
      </c>
      <c r="D500" s="253">
        <v>632.6</v>
      </c>
      <c r="E500" s="253" t="s">
        <v>80</v>
      </c>
      <c r="F500" s="255">
        <v>2</v>
      </c>
      <c r="G500" s="251" t="s">
        <v>72</v>
      </c>
      <c r="H500" s="159" t="s">
        <v>73</v>
      </c>
      <c r="I500" s="158">
        <f>I501+I502</f>
        <v>2925112.4</v>
      </c>
      <c r="J500" s="158">
        <f>J501+J502</f>
        <v>4623.95</v>
      </c>
      <c r="K500" s="158">
        <f>K501+K502</f>
        <v>7066</v>
      </c>
      <c r="L500" s="7"/>
      <c r="M500" s="7"/>
      <c r="N500" s="7"/>
      <c r="O500" s="7"/>
      <c r="P500" s="7"/>
      <c r="Q500" s="7"/>
      <c r="R500" s="7"/>
      <c r="S500" s="7"/>
      <c r="T500" s="7"/>
      <c r="U500" s="7"/>
      <c r="V500" s="7"/>
      <c r="W500" s="7"/>
    </row>
    <row r="501" spans="1:23" x14ac:dyDescent="0.35">
      <c r="A501" s="251">
        <v>75</v>
      </c>
      <c r="B501" s="251"/>
      <c r="C501" s="252"/>
      <c r="D501" s="253"/>
      <c r="E501" s="253"/>
      <c r="F501" s="255"/>
      <c r="G501" s="251"/>
      <c r="H501" s="159" t="s">
        <v>74</v>
      </c>
      <c r="I501" s="158">
        <v>2890096</v>
      </c>
      <c r="J501" s="158">
        <f>I501/D500</f>
        <v>4568.6000000000004</v>
      </c>
      <c r="K501" s="158">
        <v>6918</v>
      </c>
      <c r="L501" s="7"/>
      <c r="M501" s="7"/>
      <c r="N501" s="7"/>
      <c r="O501" s="7"/>
      <c r="P501" s="7"/>
      <c r="Q501" s="7"/>
      <c r="R501" s="7"/>
      <c r="S501" s="7"/>
      <c r="T501" s="7"/>
      <c r="U501" s="7"/>
      <c r="V501" s="7"/>
      <c r="W501" s="7"/>
    </row>
    <row r="502" spans="1:23" x14ac:dyDescent="0.35">
      <c r="A502" s="251">
        <v>76</v>
      </c>
      <c r="B502" s="251"/>
      <c r="C502" s="252"/>
      <c r="D502" s="253"/>
      <c r="E502" s="253"/>
      <c r="F502" s="255"/>
      <c r="G502" s="251"/>
      <c r="H502" s="159" t="s">
        <v>76</v>
      </c>
      <c r="I502" s="158">
        <v>35016.400000000001</v>
      </c>
      <c r="J502" s="158">
        <f>I502/D500</f>
        <v>55.35</v>
      </c>
      <c r="K502" s="158">
        <v>148</v>
      </c>
      <c r="L502" s="7"/>
      <c r="M502" s="7"/>
      <c r="N502" s="7"/>
      <c r="O502" s="7"/>
      <c r="P502" s="7"/>
      <c r="Q502" s="7"/>
      <c r="R502" s="7"/>
      <c r="S502" s="7"/>
      <c r="T502" s="7"/>
      <c r="U502" s="7"/>
      <c r="V502" s="7"/>
      <c r="W502" s="7"/>
    </row>
    <row r="503" spans="1:23" x14ac:dyDescent="0.35">
      <c r="A503" s="251">
        <f>A500+1</f>
        <v>38</v>
      </c>
      <c r="B503" s="251">
        <v>465</v>
      </c>
      <c r="C503" s="252" t="s">
        <v>301</v>
      </c>
      <c r="D503" s="262">
        <v>620.79999999999995</v>
      </c>
      <c r="E503" s="262" t="s">
        <v>75</v>
      </c>
      <c r="F503" s="265">
        <v>2</v>
      </c>
      <c r="G503" s="251" t="s">
        <v>72</v>
      </c>
      <c r="H503" s="159" t="s">
        <v>73</v>
      </c>
      <c r="I503" s="158">
        <f>I504+I505</f>
        <v>2945000.09</v>
      </c>
      <c r="J503" s="158">
        <f>J504+J505</f>
        <v>4743.88</v>
      </c>
      <c r="K503" s="158">
        <f>K504+K505</f>
        <v>7066</v>
      </c>
      <c r="L503" s="7"/>
      <c r="M503" s="7"/>
      <c r="N503" s="7"/>
      <c r="O503" s="7"/>
      <c r="P503" s="7"/>
      <c r="Q503" s="7"/>
      <c r="R503" s="7"/>
      <c r="S503" s="7"/>
      <c r="T503" s="7"/>
      <c r="U503" s="7"/>
      <c r="V503" s="7"/>
      <c r="W503" s="7"/>
    </row>
    <row r="504" spans="1:23" x14ac:dyDescent="0.35">
      <c r="A504" s="251">
        <v>75</v>
      </c>
      <c r="B504" s="251"/>
      <c r="C504" s="252"/>
      <c r="D504" s="263"/>
      <c r="E504" s="263"/>
      <c r="F504" s="266"/>
      <c r="G504" s="251"/>
      <c r="H504" s="159" t="s">
        <v>74</v>
      </c>
      <c r="I504" s="158">
        <v>2909950</v>
      </c>
      <c r="J504" s="158">
        <f>I504/D503</f>
        <v>4687.42</v>
      </c>
      <c r="K504" s="158">
        <v>6918</v>
      </c>
      <c r="L504" s="7"/>
      <c r="M504" s="7"/>
      <c r="N504" s="7"/>
      <c r="O504" s="7"/>
      <c r="P504" s="7"/>
      <c r="Q504" s="7"/>
      <c r="R504" s="7"/>
      <c r="S504" s="7"/>
      <c r="T504" s="7"/>
      <c r="U504" s="7"/>
      <c r="V504" s="7"/>
      <c r="W504" s="7"/>
    </row>
    <row r="505" spans="1:23" x14ac:dyDescent="0.35">
      <c r="A505" s="251">
        <v>76</v>
      </c>
      <c r="B505" s="251"/>
      <c r="C505" s="252"/>
      <c r="D505" s="264"/>
      <c r="E505" s="264"/>
      <c r="F505" s="267"/>
      <c r="G505" s="251"/>
      <c r="H505" s="159" t="s">
        <v>76</v>
      </c>
      <c r="I505" s="158">
        <v>35050.089999999997</v>
      </c>
      <c r="J505" s="158">
        <f>I505/D503</f>
        <v>56.46</v>
      </c>
      <c r="K505" s="158">
        <v>148</v>
      </c>
      <c r="L505" s="7"/>
      <c r="M505" s="7"/>
      <c r="N505" s="7"/>
      <c r="O505" s="7"/>
      <c r="P505" s="7"/>
      <c r="Q505" s="7"/>
      <c r="R505" s="7"/>
      <c r="S505" s="7"/>
      <c r="T505" s="7"/>
      <c r="U505" s="7"/>
      <c r="V505" s="7"/>
      <c r="W505" s="7"/>
    </row>
    <row r="506" spans="1:23" x14ac:dyDescent="0.35">
      <c r="A506" s="251">
        <f>A503+1</f>
        <v>39</v>
      </c>
      <c r="B506" s="251">
        <v>296</v>
      </c>
      <c r="C506" s="252" t="s">
        <v>302</v>
      </c>
      <c r="D506" s="253">
        <v>1337.8</v>
      </c>
      <c r="E506" s="253" t="s">
        <v>80</v>
      </c>
      <c r="F506" s="255">
        <v>2</v>
      </c>
      <c r="G506" s="251" t="s">
        <v>72</v>
      </c>
      <c r="H506" s="159" t="s">
        <v>73</v>
      </c>
      <c r="I506" s="158">
        <f>I507+I508</f>
        <v>6751531.5999999996</v>
      </c>
      <c r="J506" s="158">
        <f>J507+J508</f>
        <v>5046.74</v>
      </c>
      <c r="K506" s="158">
        <f>K507+K508</f>
        <v>7066</v>
      </c>
      <c r="L506" s="7"/>
      <c r="M506" s="7"/>
      <c r="N506" s="7"/>
      <c r="O506" s="7"/>
      <c r="P506" s="7"/>
      <c r="Q506" s="7"/>
      <c r="R506" s="7"/>
      <c r="S506" s="7"/>
      <c r="T506" s="7"/>
      <c r="U506" s="7"/>
      <c r="V506" s="7"/>
      <c r="W506" s="7"/>
    </row>
    <row r="507" spans="1:23" x14ac:dyDescent="0.35">
      <c r="A507" s="251">
        <v>75</v>
      </c>
      <c r="B507" s="251"/>
      <c r="C507" s="252"/>
      <c r="D507" s="253"/>
      <c r="E507" s="253"/>
      <c r="F507" s="255"/>
      <c r="G507" s="251"/>
      <c r="H507" s="159" t="s">
        <v>74</v>
      </c>
      <c r="I507" s="158">
        <v>6669220.0800000001</v>
      </c>
      <c r="J507" s="158">
        <f>I507/D506</f>
        <v>4985.21</v>
      </c>
      <c r="K507" s="158">
        <v>6918</v>
      </c>
      <c r="L507" s="7"/>
      <c r="M507" s="7"/>
      <c r="N507" s="7"/>
      <c r="O507" s="7"/>
      <c r="P507" s="7"/>
      <c r="Q507" s="7"/>
      <c r="R507" s="7"/>
      <c r="S507" s="7"/>
      <c r="T507" s="7"/>
      <c r="U507" s="7"/>
      <c r="V507" s="7"/>
      <c r="W507" s="7"/>
    </row>
    <row r="508" spans="1:23" x14ac:dyDescent="0.35">
      <c r="A508" s="251">
        <v>76</v>
      </c>
      <c r="B508" s="251"/>
      <c r="C508" s="252"/>
      <c r="D508" s="253"/>
      <c r="E508" s="253"/>
      <c r="F508" s="255"/>
      <c r="G508" s="251"/>
      <c r="H508" s="159" t="s">
        <v>76</v>
      </c>
      <c r="I508" s="158">
        <v>82311.520000000004</v>
      </c>
      <c r="J508" s="158">
        <f>I508/D506</f>
        <v>61.53</v>
      </c>
      <c r="K508" s="158">
        <v>148</v>
      </c>
      <c r="L508" s="7"/>
      <c r="M508" s="7"/>
      <c r="N508" s="7"/>
      <c r="O508" s="7"/>
      <c r="P508" s="7"/>
      <c r="Q508" s="7"/>
      <c r="R508" s="7"/>
      <c r="S508" s="7"/>
      <c r="T508" s="7"/>
      <c r="U508" s="7"/>
      <c r="V508" s="7"/>
      <c r="W508" s="7"/>
    </row>
    <row r="509" spans="1:23" x14ac:dyDescent="0.35">
      <c r="A509" s="251">
        <f>A506+1</f>
        <v>40</v>
      </c>
      <c r="B509" s="251">
        <v>532</v>
      </c>
      <c r="C509" s="252" t="s">
        <v>303</v>
      </c>
      <c r="D509" s="253">
        <v>3750.3</v>
      </c>
      <c r="E509" s="253" t="s">
        <v>75</v>
      </c>
      <c r="F509" s="255">
        <v>5</v>
      </c>
      <c r="G509" s="251" t="s">
        <v>72</v>
      </c>
      <c r="H509" s="159" t="s">
        <v>73</v>
      </c>
      <c r="I509" s="158">
        <f>I510+I511</f>
        <v>2934509.96</v>
      </c>
      <c r="J509" s="158">
        <f>J510+J511</f>
        <v>782.47</v>
      </c>
      <c r="K509" s="158">
        <f>K510+K511</f>
        <v>2936</v>
      </c>
      <c r="L509" s="7"/>
      <c r="M509" s="7"/>
      <c r="N509" s="7"/>
      <c r="O509" s="7"/>
      <c r="P509" s="7"/>
      <c r="Q509" s="7"/>
      <c r="R509" s="7"/>
      <c r="S509" s="7"/>
      <c r="T509" s="7"/>
      <c r="U509" s="7"/>
      <c r="V509" s="7"/>
      <c r="W509" s="7"/>
    </row>
    <row r="510" spans="1:23" ht="51" customHeight="1" x14ac:dyDescent="0.35">
      <c r="A510" s="251">
        <v>75</v>
      </c>
      <c r="B510" s="251"/>
      <c r="C510" s="252"/>
      <c r="D510" s="253"/>
      <c r="E510" s="253"/>
      <c r="F510" s="255"/>
      <c r="G510" s="251"/>
      <c r="H510" s="159" t="s">
        <v>705</v>
      </c>
      <c r="I510" s="158">
        <v>223297.95</v>
      </c>
      <c r="J510" s="158">
        <f>I510/D509</f>
        <v>59.54</v>
      </c>
      <c r="K510" s="158">
        <f>151+13</f>
        <v>164</v>
      </c>
      <c r="L510" s="7"/>
      <c r="M510" s="7"/>
      <c r="N510" s="7"/>
      <c r="O510" s="7"/>
      <c r="P510" s="7"/>
      <c r="Q510" s="7"/>
      <c r="R510" s="7"/>
      <c r="S510" s="7"/>
      <c r="T510" s="7"/>
      <c r="U510" s="7"/>
      <c r="V510" s="7"/>
      <c r="W510" s="7"/>
    </row>
    <row r="511" spans="1:23" x14ac:dyDescent="0.35">
      <c r="A511" s="251"/>
      <c r="B511" s="251"/>
      <c r="C511" s="252"/>
      <c r="D511" s="253"/>
      <c r="E511" s="253"/>
      <c r="F511" s="255"/>
      <c r="G511" s="251"/>
      <c r="H511" s="159" t="s">
        <v>74</v>
      </c>
      <c r="I511" s="158">
        <f>9037373.35*0.3</f>
        <v>2711212.01</v>
      </c>
      <c r="J511" s="158">
        <f>I511/D509</f>
        <v>722.93</v>
      </c>
      <c r="K511" s="158">
        <v>2772</v>
      </c>
      <c r="L511" s="7"/>
      <c r="M511" s="7"/>
      <c r="N511" s="7"/>
      <c r="O511" s="7"/>
      <c r="P511" s="7"/>
      <c r="Q511" s="7"/>
      <c r="R511" s="7"/>
      <c r="S511" s="7"/>
      <c r="T511" s="7"/>
      <c r="U511" s="7"/>
      <c r="V511" s="7"/>
      <c r="W511" s="7"/>
    </row>
    <row r="512" spans="1:23" x14ac:dyDescent="0.35">
      <c r="A512" s="251">
        <f>A509+1</f>
        <v>41</v>
      </c>
      <c r="B512" s="251">
        <v>588</v>
      </c>
      <c r="C512" s="252" t="s">
        <v>304</v>
      </c>
      <c r="D512" s="253">
        <v>1171.8</v>
      </c>
      <c r="E512" s="253" t="s">
        <v>75</v>
      </c>
      <c r="F512" s="255">
        <v>5</v>
      </c>
      <c r="G512" s="251" t="s">
        <v>72</v>
      </c>
      <c r="H512" s="159" t="s">
        <v>73</v>
      </c>
      <c r="I512" s="158">
        <f>I513+I514</f>
        <v>1165275.05</v>
      </c>
      <c r="J512" s="158">
        <f>J513+J514</f>
        <v>994.43</v>
      </c>
      <c r="K512" s="158">
        <f>K513+K514</f>
        <v>2936</v>
      </c>
      <c r="L512" s="7"/>
      <c r="M512" s="7"/>
      <c r="N512" s="7"/>
      <c r="O512" s="7"/>
      <c r="P512" s="7"/>
      <c r="Q512" s="7"/>
      <c r="R512" s="7"/>
      <c r="S512" s="7"/>
      <c r="T512" s="7"/>
      <c r="U512" s="7"/>
      <c r="V512" s="7"/>
      <c r="W512" s="7"/>
    </row>
    <row r="513" spans="1:23" ht="46.5" x14ac:dyDescent="0.35">
      <c r="A513" s="251">
        <v>75</v>
      </c>
      <c r="B513" s="251"/>
      <c r="C513" s="252"/>
      <c r="D513" s="253"/>
      <c r="E513" s="253"/>
      <c r="F513" s="255"/>
      <c r="G513" s="251"/>
      <c r="H513" s="159" t="s">
        <v>705</v>
      </c>
      <c r="I513" s="158">
        <v>190806.17</v>
      </c>
      <c r="J513" s="158">
        <f>I513/D512</f>
        <v>162.83000000000001</v>
      </c>
      <c r="K513" s="158">
        <f>151+13</f>
        <v>164</v>
      </c>
      <c r="L513" s="7"/>
      <c r="M513" s="7"/>
      <c r="N513" s="7"/>
      <c r="O513" s="7"/>
      <c r="P513" s="7"/>
      <c r="Q513" s="7"/>
      <c r="R513" s="7"/>
      <c r="S513" s="7"/>
      <c r="T513" s="7"/>
      <c r="U513" s="7"/>
      <c r="V513" s="7"/>
      <c r="W513" s="7"/>
    </row>
    <row r="514" spans="1:23" x14ac:dyDescent="0.35">
      <c r="A514" s="251"/>
      <c r="B514" s="251"/>
      <c r="C514" s="252"/>
      <c r="D514" s="253"/>
      <c r="E514" s="253"/>
      <c r="F514" s="255"/>
      <c r="G514" s="251"/>
      <c r="H514" s="159" t="s">
        <v>74</v>
      </c>
      <c r="I514" s="158">
        <f>K514*D512*0.3</f>
        <v>974468.88</v>
      </c>
      <c r="J514" s="158">
        <f>I514/D512</f>
        <v>831.6</v>
      </c>
      <c r="K514" s="158">
        <v>2772</v>
      </c>
      <c r="L514" s="7"/>
      <c r="M514" s="7"/>
      <c r="N514" s="7"/>
      <c r="O514" s="7"/>
      <c r="P514" s="7"/>
      <c r="Q514" s="7"/>
      <c r="R514" s="7"/>
      <c r="S514" s="7"/>
      <c r="T514" s="7"/>
      <c r="U514" s="7"/>
      <c r="V514" s="7"/>
      <c r="W514" s="7"/>
    </row>
    <row r="515" spans="1:23" x14ac:dyDescent="0.35">
      <c r="A515" s="251">
        <f>A512+1</f>
        <v>42</v>
      </c>
      <c r="B515" s="251">
        <v>667</v>
      </c>
      <c r="C515" s="252" t="s">
        <v>305</v>
      </c>
      <c r="D515" s="253">
        <v>2331.8000000000002</v>
      </c>
      <c r="E515" s="253" t="s">
        <v>75</v>
      </c>
      <c r="F515" s="255">
        <v>5</v>
      </c>
      <c r="G515" s="251" t="s">
        <v>72</v>
      </c>
      <c r="H515" s="159" t="s">
        <v>73</v>
      </c>
      <c r="I515" s="158">
        <f>I516</f>
        <v>373034.39</v>
      </c>
      <c r="J515" s="158">
        <f>J516</f>
        <v>159.97999999999999</v>
      </c>
      <c r="K515" s="158">
        <f>K516</f>
        <v>164</v>
      </c>
      <c r="L515" s="7"/>
      <c r="M515" s="7"/>
      <c r="N515" s="7"/>
      <c r="O515" s="7"/>
      <c r="P515" s="7"/>
      <c r="Q515" s="7"/>
      <c r="R515" s="7"/>
      <c r="S515" s="7"/>
      <c r="T515" s="7"/>
      <c r="U515" s="7"/>
      <c r="V515" s="7"/>
      <c r="W515" s="7"/>
    </row>
    <row r="516" spans="1:23" ht="50.25" customHeight="1" x14ac:dyDescent="0.35">
      <c r="A516" s="251">
        <v>75</v>
      </c>
      <c r="B516" s="251"/>
      <c r="C516" s="252"/>
      <c r="D516" s="253"/>
      <c r="E516" s="253"/>
      <c r="F516" s="255"/>
      <c r="G516" s="251"/>
      <c r="H516" s="159" t="s">
        <v>705</v>
      </c>
      <c r="I516" s="158">
        <v>373034.39</v>
      </c>
      <c r="J516" s="158">
        <f>I516/D515</f>
        <v>159.97999999999999</v>
      </c>
      <c r="K516" s="158">
        <f>151+13</f>
        <v>164</v>
      </c>
      <c r="L516" s="7"/>
      <c r="M516" s="7"/>
      <c r="N516" s="7"/>
      <c r="O516" s="7"/>
      <c r="P516" s="7"/>
      <c r="Q516" s="7"/>
      <c r="R516" s="7"/>
      <c r="S516" s="7"/>
      <c r="T516" s="7"/>
      <c r="U516" s="7"/>
      <c r="V516" s="7"/>
      <c r="W516" s="7"/>
    </row>
    <row r="517" spans="1:23" ht="15.75" customHeight="1" x14ac:dyDescent="0.35">
      <c r="A517" s="256">
        <f>A515+1</f>
        <v>43</v>
      </c>
      <c r="B517" s="256">
        <v>554</v>
      </c>
      <c r="C517" s="259" t="s">
        <v>306</v>
      </c>
      <c r="D517" s="262">
        <v>3545.5</v>
      </c>
      <c r="E517" s="262" t="s">
        <v>75</v>
      </c>
      <c r="F517" s="265">
        <v>5</v>
      </c>
      <c r="G517" s="251" t="s">
        <v>77</v>
      </c>
      <c r="H517" s="159" t="s">
        <v>73</v>
      </c>
      <c r="I517" s="158">
        <f>I518+I519+I520+I521+I522+I523</f>
        <v>3195891.68</v>
      </c>
      <c r="J517" s="158">
        <f>J518+J519+J520+J521+J522+J523</f>
        <v>901.39</v>
      </c>
      <c r="K517" s="158">
        <f>K518+K519+K520+K521+K522+K523</f>
        <v>3121</v>
      </c>
      <c r="L517" s="7"/>
      <c r="M517" s="7"/>
      <c r="N517" s="7"/>
      <c r="O517" s="7"/>
      <c r="P517" s="7"/>
      <c r="Q517" s="7"/>
      <c r="R517" s="7"/>
      <c r="S517" s="7"/>
      <c r="T517" s="7"/>
      <c r="U517" s="7"/>
      <c r="V517" s="7"/>
      <c r="W517" s="7"/>
    </row>
    <row r="518" spans="1:23" ht="31" x14ac:dyDescent="0.35">
      <c r="A518" s="257"/>
      <c r="B518" s="257"/>
      <c r="C518" s="260"/>
      <c r="D518" s="263"/>
      <c r="E518" s="263"/>
      <c r="F518" s="266"/>
      <c r="G518" s="251"/>
      <c r="H518" s="159" t="s">
        <v>666</v>
      </c>
      <c r="I518" s="158">
        <f>226471.63+D517*7</f>
        <v>251290.13</v>
      </c>
      <c r="J518" s="158">
        <f>I518/D517</f>
        <v>70.88</v>
      </c>
      <c r="K518" s="158">
        <f>85+7</f>
        <v>92</v>
      </c>
      <c r="L518" s="7"/>
      <c r="M518" s="7"/>
      <c r="N518" s="7"/>
      <c r="O518" s="7"/>
      <c r="P518" s="7"/>
      <c r="Q518" s="7"/>
      <c r="R518" s="7"/>
      <c r="S518" s="7"/>
      <c r="T518" s="7"/>
      <c r="U518" s="7"/>
      <c r="V518" s="7"/>
      <c r="W518" s="7"/>
    </row>
    <row r="519" spans="1:23" x14ac:dyDescent="0.35">
      <c r="A519" s="257"/>
      <c r="B519" s="257"/>
      <c r="C519" s="260"/>
      <c r="D519" s="263"/>
      <c r="E519" s="263"/>
      <c r="F519" s="266"/>
      <c r="G519" s="251"/>
      <c r="H519" s="159" t="s">
        <v>74</v>
      </c>
      <c r="I519" s="158">
        <f>7512914.5*0.3</f>
        <v>2253874.35</v>
      </c>
      <c r="J519" s="158">
        <f>I519/D517-0.01</f>
        <v>635.69000000000005</v>
      </c>
      <c r="K519" s="158">
        <v>2119</v>
      </c>
      <c r="L519" s="7"/>
      <c r="M519" s="7"/>
      <c r="N519" s="7"/>
      <c r="O519" s="7"/>
      <c r="P519" s="7"/>
      <c r="Q519" s="7"/>
      <c r="R519" s="7"/>
      <c r="S519" s="7"/>
      <c r="T519" s="7"/>
      <c r="U519" s="7"/>
      <c r="V519" s="7"/>
      <c r="W519" s="7"/>
    </row>
    <row r="520" spans="1:23" ht="31.5" customHeight="1" x14ac:dyDescent="0.35">
      <c r="A520" s="257"/>
      <c r="B520" s="257"/>
      <c r="C520" s="260"/>
      <c r="D520" s="263"/>
      <c r="E520" s="263"/>
      <c r="F520" s="266"/>
      <c r="G520" s="256" t="s">
        <v>78</v>
      </c>
      <c r="H520" s="159" t="s">
        <v>666</v>
      </c>
      <c r="I520" s="158">
        <f>D517*K520</f>
        <v>74455.5</v>
      </c>
      <c r="J520" s="158">
        <f>I520/D517</f>
        <v>21</v>
      </c>
      <c r="K520" s="158">
        <f>19+2</f>
        <v>21</v>
      </c>
      <c r="L520" s="7"/>
      <c r="M520" s="7"/>
      <c r="N520" s="7"/>
      <c r="O520" s="7"/>
      <c r="P520" s="7"/>
      <c r="Q520" s="7"/>
      <c r="R520" s="7"/>
      <c r="S520" s="7"/>
      <c r="T520" s="7"/>
      <c r="U520" s="7"/>
      <c r="V520" s="7"/>
      <c r="W520" s="7"/>
    </row>
    <row r="521" spans="1:23" x14ac:dyDescent="0.35">
      <c r="A521" s="257"/>
      <c r="B521" s="257"/>
      <c r="C521" s="260"/>
      <c r="D521" s="263"/>
      <c r="E521" s="263"/>
      <c r="F521" s="266"/>
      <c r="G521" s="258"/>
      <c r="H521" s="159" t="s">
        <v>74</v>
      </c>
      <c r="I521" s="158">
        <f>588330.51*0.3</f>
        <v>176499.15</v>
      </c>
      <c r="J521" s="158">
        <f>I521/D517</f>
        <v>49.78</v>
      </c>
      <c r="K521" s="158">
        <v>463</v>
      </c>
      <c r="L521" s="7"/>
      <c r="M521" s="7"/>
      <c r="N521" s="7"/>
      <c r="O521" s="7"/>
      <c r="P521" s="7"/>
      <c r="Q521" s="7"/>
      <c r="R521" s="7"/>
      <c r="S521" s="7"/>
      <c r="T521" s="7"/>
      <c r="U521" s="7"/>
      <c r="V521" s="7"/>
      <c r="W521" s="7"/>
    </row>
    <row r="522" spans="1:23" ht="31.5" customHeight="1" x14ac:dyDescent="0.35">
      <c r="A522" s="257"/>
      <c r="B522" s="257"/>
      <c r="C522" s="260"/>
      <c r="D522" s="263"/>
      <c r="E522" s="263"/>
      <c r="F522" s="266"/>
      <c r="G522" s="256" t="s">
        <v>79</v>
      </c>
      <c r="H522" s="159" t="s">
        <v>666</v>
      </c>
      <c r="I522" s="158">
        <f>D517*K522</f>
        <v>60273.5</v>
      </c>
      <c r="J522" s="158">
        <f>I522/D517</f>
        <v>17</v>
      </c>
      <c r="K522" s="158">
        <f>16+1</f>
        <v>17</v>
      </c>
      <c r="L522" s="7"/>
      <c r="M522" s="7"/>
      <c r="N522" s="7"/>
      <c r="O522" s="7"/>
      <c r="P522" s="7"/>
      <c r="Q522" s="7"/>
      <c r="R522" s="7"/>
      <c r="S522" s="7"/>
      <c r="T522" s="7"/>
      <c r="U522" s="7"/>
      <c r="V522" s="7"/>
      <c r="W522" s="7"/>
    </row>
    <row r="523" spans="1:23" x14ac:dyDescent="0.35">
      <c r="A523" s="258"/>
      <c r="B523" s="258"/>
      <c r="C523" s="261"/>
      <c r="D523" s="264"/>
      <c r="E523" s="264"/>
      <c r="F523" s="267"/>
      <c r="G523" s="258"/>
      <c r="H523" s="159" t="s">
        <v>74</v>
      </c>
      <c r="I523" s="158">
        <f>1264996.84*0.3</f>
        <v>379499.05</v>
      </c>
      <c r="J523" s="158">
        <f>I523/D517</f>
        <v>107.04</v>
      </c>
      <c r="K523" s="158">
        <v>409</v>
      </c>
      <c r="L523" s="7"/>
      <c r="M523" s="7"/>
      <c r="N523" s="7"/>
      <c r="O523" s="7"/>
      <c r="P523" s="7"/>
      <c r="Q523" s="7"/>
      <c r="R523" s="7"/>
      <c r="S523" s="7"/>
      <c r="T523" s="7"/>
      <c r="U523" s="7"/>
      <c r="V523" s="7"/>
      <c r="W523" s="7"/>
    </row>
    <row r="524" spans="1:23" x14ac:dyDescent="0.35">
      <c r="A524" s="251">
        <f>A517+1</f>
        <v>44</v>
      </c>
      <c r="B524" s="251">
        <v>161</v>
      </c>
      <c r="C524" s="252" t="s">
        <v>307</v>
      </c>
      <c r="D524" s="253">
        <v>1724.6</v>
      </c>
      <c r="E524" s="253" t="s">
        <v>75</v>
      </c>
      <c r="F524" s="255">
        <v>4</v>
      </c>
      <c r="G524" s="251" t="s">
        <v>72</v>
      </c>
      <c r="H524" s="159" t="s">
        <v>73</v>
      </c>
      <c r="I524" s="158">
        <f>I525+I526</f>
        <v>3709868.22</v>
      </c>
      <c r="J524" s="158">
        <f>J525+J526</f>
        <v>2151.15</v>
      </c>
      <c r="K524" s="158">
        <f>K525+K526</f>
        <v>4728</v>
      </c>
      <c r="L524" s="7"/>
      <c r="M524" s="7"/>
      <c r="N524" s="7"/>
      <c r="O524" s="7"/>
      <c r="P524" s="7"/>
      <c r="Q524" s="7"/>
      <c r="R524" s="7"/>
      <c r="S524" s="7"/>
      <c r="T524" s="7"/>
      <c r="U524" s="7"/>
      <c r="V524" s="7"/>
      <c r="W524" s="7"/>
    </row>
    <row r="525" spans="1:23" x14ac:dyDescent="0.35">
      <c r="A525" s="251">
        <v>75</v>
      </c>
      <c r="B525" s="251"/>
      <c r="C525" s="252"/>
      <c r="D525" s="253"/>
      <c r="E525" s="253"/>
      <c r="F525" s="255"/>
      <c r="G525" s="251"/>
      <c r="H525" s="159" t="s">
        <v>74</v>
      </c>
      <c r="I525" s="158">
        <v>3665855.26</v>
      </c>
      <c r="J525" s="158">
        <f>I525/D524</f>
        <v>2125.63</v>
      </c>
      <c r="K525" s="158">
        <v>4629</v>
      </c>
      <c r="L525" s="7"/>
      <c r="M525" s="7"/>
      <c r="N525" s="7"/>
      <c r="O525" s="7"/>
      <c r="P525" s="7"/>
      <c r="Q525" s="7"/>
      <c r="R525" s="7"/>
      <c r="S525" s="7"/>
      <c r="T525" s="7"/>
      <c r="U525" s="7"/>
      <c r="V525" s="7"/>
      <c r="W525" s="7"/>
    </row>
    <row r="526" spans="1:23" x14ac:dyDescent="0.35">
      <c r="A526" s="251">
        <v>76</v>
      </c>
      <c r="B526" s="251"/>
      <c r="C526" s="252"/>
      <c r="D526" s="253"/>
      <c r="E526" s="253"/>
      <c r="F526" s="255"/>
      <c r="G526" s="251"/>
      <c r="H526" s="159" t="s">
        <v>76</v>
      </c>
      <c r="I526" s="158">
        <v>44012.959999999999</v>
      </c>
      <c r="J526" s="158">
        <f>I526/D524</f>
        <v>25.52</v>
      </c>
      <c r="K526" s="158">
        <v>99</v>
      </c>
      <c r="L526" s="7"/>
      <c r="M526" s="7"/>
      <c r="N526" s="7"/>
      <c r="O526" s="7"/>
      <c r="P526" s="7"/>
      <c r="Q526" s="7"/>
      <c r="R526" s="7"/>
      <c r="S526" s="7"/>
      <c r="T526" s="7"/>
      <c r="U526" s="7"/>
      <c r="V526" s="7"/>
      <c r="W526" s="7"/>
    </row>
    <row r="527" spans="1:23" x14ac:dyDescent="0.35">
      <c r="A527" s="251">
        <f>A524+1</f>
        <v>45</v>
      </c>
      <c r="B527" s="251">
        <v>576</v>
      </c>
      <c r="C527" s="252" t="s">
        <v>308</v>
      </c>
      <c r="D527" s="253">
        <v>2984.6</v>
      </c>
      <c r="E527" s="253" t="s">
        <v>75</v>
      </c>
      <c r="F527" s="255">
        <v>5</v>
      </c>
      <c r="G527" s="251" t="s">
        <v>72</v>
      </c>
      <c r="H527" s="159" t="s">
        <v>73</v>
      </c>
      <c r="I527" s="158">
        <f>I528+I529</f>
        <v>2506567.7000000002</v>
      </c>
      <c r="J527" s="158">
        <f>J528+J529</f>
        <v>839.83</v>
      </c>
      <c r="K527" s="158">
        <f>K528+K529</f>
        <v>2936</v>
      </c>
      <c r="L527" s="7"/>
      <c r="M527" s="7"/>
      <c r="N527" s="7"/>
      <c r="O527" s="7"/>
      <c r="P527" s="7"/>
      <c r="Q527" s="7"/>
      <c r="R527" s="7"/>
      <c r="S527" s="7"/>
      <c r="T527" s="7"/>
      <c r="U527" s="7"/>
      <c r="V527" s="7"/>
      <c r="W527" s="7"/>
    </row>
    <row r="528" spans="1:23" ht="46.5" x14ac:dyDescent="0.35">
      <c r="A528" s="251">
        <v>75</v>
      </c>
      <c r="B528" s="251"/>
      <c r="C528" s="252"/>
      <c r="D528" s="253"/>
      <c r="E528" s="253"/>
      <c r="F528" s="255"/>
      <c r="G528" s="251"/>
      <c r="H528" s="159" t="s">
        <v>705</v>
      </c>
      <c r="I528" s="158">
        <v>228554.76</v>
      </c>
      <c r="J528" s="158">
        <f>I528/D527</f>
        <v>76.58</v>
      </c>
      <c r="K528" s="158">
        <f>151+13</f>
        <v>164</v>
      </c>
      <c r="L528" s="7"/>
      <c r="M528" s="7"/>
      <c r="N528" s="7"/>
      <c r="O528" s="7"/>
      <c r="P528" s="7"/>
      <c r="Q528" s="7"/>
      <c r="R528" s="7"/>
      <c r="S528" s="7"/>
      <c r="T528" s="7"/>
      <c r="U528" s="7"/>
      <c r="V528" s="7"/>
      <c r="W528" s="7"/>
    </row>
    <row r="529" spans="1:23" x14ac:dyDescent="0.35">
      <c r="A529" s="251"/>
      <c r="B529" s="251"/>
      <c r="C529" s="252"/>
      <c r="D529" s="253"/>
      <c r="E529" s="253"/>
      <c r="F529" s="255"/>
      <c r="G529" s="251"/>
      <c r="H529" s="159" t="s">
        <v>74</v>
      </c>
      <c r="I529" s="158">
        <f>7593376.45*0.3</f>
        <v>2278012.94</v>
      </c>
      <c r="J529" s="158">
        <f>I529/D527-0.01</f>
        <v>763.25</v>
      </c>
      <c r="K529" s="158">
        <v>2772</v>
      </c>
      <c r="L529" s="7"/>
      <c r="M529" s="7"/>
      <c r="N529" s="7"/>
      <c r="O529" s="7"/>
      <c r="P529" s="7"/>
      <c r="Q529" s="7"/>
      <c r="R529" s="7"/>
      <c r="S529" s="7"/>
      <c r="T529" s="7"/>
      <c r="U529" s="7"/>
      <c r="V529" s="7"/>
      <c r="W529" s="7"/>
    </row>
    <row r="530" spans="1:23" x14ac:dyDescent="0.35">
      <c r="A530" s="251">
        <f>A527+1</f>
        <v>46</v>
      </c>
      <c r="B530" s="251">
        <v>587</v>
      </c>
      <c r="C530" s="252" t="s">
        <v>309</v>
      </c>
      <c r="D530" s="253">
        <v>1802</v>
      </c>
      <c r="E530" s="253" t="s">
        <v>75</v>
      </c>
      <c r="F530" s="255">
        <v>5</v>
      </c>
      <c r="G530" s="251" t="s">
        <v>72</v>
      </c>
      <c r="H530" s="159" t="s">
        <v>73</v>
      </c>
      <c r="I530" s="158">
        <f>I531+I532</f>
        <v>1706791.17</v>
      </c>
      <c r="J530" s="158">
        <f>J531+J532</f>
        <v>947.16</v>
      </c>
      <c r="K530" s="158">
        <f>K531+K532</f>
        <v>2936</v>
      </c>
      <c r="L530" s="7"/>
      <c r="M530" s="7"/>
      <c r="N530" s="7"/>
      <c r="O530" s="7"/>
      <c r="P530" s="7"/>
      <c r="Q530" s="7"/>
      <c r="R530" s="7"/>
      <c r="S530" s="7"/>
      <c r="T530" s="7"/>
      <c r="U530" s="7"/>
      <c r="V530" s="7"/>
      <c r="W530" s="7"/>
    </row>
    <row r="531" spans="1:23" ht="46.5" x14ac:dyDescent="0.35">
      <c r="A531" s="251">
        <v>75</v>
      </c>
      <c r="B531" s="251"/>
      <c r="C531" s="252"/>
      <c r="D531" s="253"/>
      <c r="E531" s="253"/>
      <c r="F531" s="255"/>
      <c r="G531" s="251"/>
      <c r="H531" s="159" t="s">
        <v>705</v>
      </c>
      <c r="I531" s="158">
        <f>184821.97+D530*13</f>
        <v>208247.97</v>
      </c>
      <c r="J531" s="158">
        <f>I531/D530</f>
        <v>115.56</v>
      </c>
      <c r="K531" s="158">
        <f>151+13</f>
        <v>164</v>
      </c>
      <c r="L531" s="7"/>
      <c r="M531" s="7"/>
      <c r="N531" s="7"/>
      <c r="O531" s="7"/>
      <c r="P531" s="7"/>
      <c r="Q531" s="7"/>
      <c r="R531" s="7"/>
      <c r="S531" s="7"/>
      <c r="T531" s="7"/>
      <c r="U531" s="7"/>
      <c r="V531" s="7"/>
      <c r="W531" s="7"/>
    </row>
    <row r="532" spans="1:23" x14ac:dyDescent="0.35">
      <c r="A532" s="251"/>
      <c r="B532" s="251"/>
      <c r="C532" s="252"/>
      <c r="D532" s="253"/>
      <c r="E532" s="253"/>
      <c r="F532" s="255"/>
      <c r="G532" s="251"/>
      <c r="H532" s="159" t="s">
        <v>74</v>
      </c>
      <c r="I532" s="158">
        <f>K532*D530*0.3</f>
        <v>1498543.2</v>
      </c>
      <c r="J532" s="158">
        <f>I532/D530</f>
        <v>831.6</v>
      </c>
      <c r="K532" s="158">
        <v>2772</v>
      </c>
      <c r="L532" s="7"/>
      <c r="M532" s="7"/>
      <c r="N532" s="7"/>
      <c r="O532" s="7"/>
      <c r="P532" s="7"/>
      <c r="Q532" s="7"/>
      <c r="R532" s="7"/>
      <c r="S532" s="7"/>
      <c r="T532" s="7"/>
      <c r="U532" s="7"/>
      <c r="V532" s="7"/>
      <c r="W532" s="7"/>
    </row>
    <row r="533" spans="1:23" x14ac:dyDescent="0.35">
      <c r="A533" s="251">
        <f>A530+1</f>
        <v>47</v>
      </c>
      <c r="B533" s="251">
        <v>746</v>
      </c>
      <c r="C533" s="252" t="s">
        <v>310</v>
      </c>
      <c r="D533" s="253">
        <v>2801.8</v>
      </c>
      <c r="E533" s="253" t="s">
        <v>75</v>
      </c>
      <c r="F533" s="255">
        <v>9</v>
      </c>
      <c r="G533" s="251" t="s">
        <v>72</v>
      </c>
      <c r="H533" s="159" t="s">
        <v>73</v>
      </c>
      <c r="I533" s="158">
        <f>I534</f>
        <v>251696.6</v>
      </c>
      <c r="J533" s="158">
        <f>J534</f>
        <v>89.83</v>
      </c>
      <c r="K533" s="158">
        <f>K534</f>
        <v>164</v>
      </c>
      <c r="L533" s="7"/>
      <c r="M533" s="7"/>
      <c r="N533" s="7"/>
      <c r="O533" s="7"/>
      <c r="P533" s="7"/>
      <c r="Q533" s="7"/>
      <c r="R533" s="7"/>
      <c r="S533" s="7"/>
      <c r="T533" s="7"/>
      <c r="U533" s="7"/>
      <c r="V533" s="7"/>
      <c r="W533" s="7"/>
    </row>
    <row r="534" spans="1:23" ht="46.5" x14ac:dyDescent="0.35">
      <c r="A534" s="251">
        <v>75</v>
      </c>
      <c r="B534" s="251"/>
      <c r="C534" s="252"/>
      <c r="D534" s="253"/>
      <c r="E534" s="253"/>
      <c r="F534" s="255"/>
      <c r="G534" s="251"/>
      <c r="H534" s="159" t="s">
        <v>705</v>
      </c>
      <c r="I534" s="158">
        <v>251696.6</v>
      </c>
      <c r="J534" s="158">
        <f>I534/D533</f>
        <v>89.83</v>
      </c>
      <c r="K534" s="158">
        <f>151+13</f>
        <v>164</v>
      </c>
      <c r="L534" s="7"/>
      <c r="M534" s="7"/>
      <c r="N534" s="7"/>
      <c r="O534" s="7"/>
      <c r="P534" s="7"/>
      <c r="Q534" s="7"/>
      <c r="R534" s="7"/>
      <c r="S534" s="7"/>
      <c r="T534" s="7"/>
      <c r="U534" s="7"/>
      <c r="V534" s="7"/>
      <c r="W534" s="7"/>
    </row>
    <row r="535" spans="1:23" x14ac:dyDescent="0.35">
      <c r="A535" s="256">
        <f>A533+1</f>
        <v>48</v>
      </c>
      <c r="B535" s="256">
        <v>294</v>
      </c>
      <c r="C535" s="259" t="s">
        <v>694</v>
      </c>
      <c r="D535" s="262">
        <v>3808.2</v>
      </c>
      <c r="E535" s="262" t="s">
        <v>75</v>
      </c>
      <c r="F535" s="265">
        <v>4</v>
      </c>
      <c r="G535" s="149"/>
      <c r="H535" s="159" t="s">
        <v>73</v>
      </c>
      <c r="I535" s="158">
        <f>I536+I537+I538+I539</f>
        <v>13254816.98</v>
      </c>
      <c r="J535" s="158">
        <f>J536+J537+J538+J539</f>
        <v>3480.6</v>
      </c>
      <c r="K535" s="158">
        <f>K536+K537+K538+K539</f>
        <v>5771</v>
      </c>
      <c r="L535" s="7"/>
      <c r="M535" s="7"/>
      <c r="N535" s="7"/>
      <c r="O535" s="7"/>
      <c r="P535" s="7"/>
      <c r="Q535" s="7"/>
      <c r="R535" s="7"/>
      <c r="S535" s="7"/>
      <c r="T535" s="7"/>
      <c r="U535" s="7"/>
      <c r="V535" s="7"/>
      <c r="W535" s="7"/>
    </row>
    <row r="536" spans="1:23" x14ac:dyDescent="0.35">
      <c r="A536" s="257"/>
      <c r="B536" s="257"/>
      <c r="C536" s="260"/>
      <c r="D536" s="263"/>
      <c r="E536" s="263"/>
      <c r="F536" s="266"/>
      <c r="G536" s="256" t="s">
        <v>72</v>
      </c>
      <c r="H536" s="159" t="s">
        <v>74</v>
      </c>
      <c r="I536" s="158">
        <v>9905455.0700000003</v>
      </c>
      <c r="J536" s="158">
        <f>I536/D535-0.01</f>
        <v>2601.08</v>
      </c>
      <c r="K536" s="158">
        <v>4629</v>
      </c>
      <c r="L536" s="7"/>
      <c r="M536" s="7"/>
      <c r="N536" s="7"/>
      <c r="O536" s="7"/>
      <c r="P536" s="7"/>
      <c r="Q536" s="7"/>
      <c r="R536" s="7"/>
      <c r="S536" s="7"/>
      <c r="T536" s="7"/>
      <c r="U536" s="7"/>
      <c r="V536" s="7"/>
      <c r="W536" s="7"/>
    </row>
    <row r="537" spans="1:23" x14ac:dyDescent="0.35">
      <c r="A537" s="257"/>
      <c r="B537" s="257"/>
      <c r="C537" s="260"/>
      <c r="D537" s="263"/>
      <c r="E537" s="263"/>
      <c r="F537" s="266"/>
      <c r="G537" s="258"/>
      <c r="H537" s="159" t="s">
        <v>76</v>
      </c>
      <c r="I537" s="158">
        <v>112753.59</v>
      </c>
      <c r="J537" s="158">
        <f>I537/D535</f>
        <v>29.61</v>
      </c>
      <c r="K537" s="158">
        <v>99</v>
      </c>
      <c r="L537" s="7"/>
      <c r="M537" s="7"/>
      <c r="N537" s="7"/>
      <c r="O537" s="7"/>
      <c r="P537" s="7"/>
      <c r="Q537" s="7"/>
      <c r="R537" s="7"/>
      <c r="S537" s="7"/>
      <c r="T537" s="7"/>
      <c r="U537" s="7"/>
      <c r="V537" s="7"/>
      <c r="W537" s="7"/>
    </row>
    <row r="538" spans="1:23" x14ac:dyDescent="0.35">
      <c r="A538" s="257"/>
      <c r="B538" s="257"/>
      <c r="C538" s="260"/>
      <c r="D538" s="263"/>
      <c r="E538" s="263"/>
      <c r="F538" s="266"/>
      <c r="G538" s="256" t="s">
        <v>85</v>
      </c>
      <c r="H538" s="159" t="s">
        <v>74</v>
      </c>
      <c r="I538" s="158">
        <v>3168796.08</v>
      </c>
      <c r="J538" s="158">
        <f>I538/D535</f>
        <v>832.1</v>
      </c>
      <c r="K538" s="158">
        <v>1021</v>
      </c>
      <c r="L538" s="7"/>
      <c r="M538" s="7"/>
      <c r="N538" s="7"/>
      <c r="O538" s="7"/>
      <c r="P538" s="7"/>
      <c r="Q538" s="7"/>
      <c r="R538" s="7"/>
      <c r="S538" s="7"/>
      <c r="T538" s="7"/>
      <c r="U538" s="7"/>
      <c r="V538" s="7"/>
      <c r="W538" s="7"/>
    </row>
    <row r="539" spans="1:23" x14ac:dyDescent="0.35">
      <c r="A539" s="257"/>
      <c r="B539" s="257"/>
      <c r="C539" s="260"/>
      <c r="D539" s="263"/>
      <c r="E539" s="263"/>
      <c r="F539" s="266"/>
      <c r="G539" s="258"/>
      <c r="H539" s="159" t="s">
        <v>76</v>
      </c>
      <c r="I539" s="158">
        <f>I538*0.0214</f>
        <v>67812.240000000005</v>
      </c>
      <c r="J539" s="158">
        <f>I539/D535</f>
        <v>17.809999999999999</v>
      </c>
      <c r="K539" s="158">
        <v>22</v>
      </c>
      <c r="L539" s="7"/>
      <c r="M539" s="7"/>
      <c r="N539" s="7"/>
      <c r="O539" s="7"/>
      <c r="P539" s="7"/>
      <c r="Q539" s="7"/>
      <c r="R539" s="7"/>
      <c r="S539" s="7"/>
      <c r="T539" s="7"/>
      <c r="U539" s="7"/>
      <c r="V539" s="7"/>
      <c r="W539" s="7"/>
    </row>
    <row r="540" spans="1:23" x14ac:dyDescent="0.35">
      <c r="A540" s="251">
        <f>A535+1</f>
        <v>49</v>
      </c>
      <c r="B540" s="251">
        <v>326</v>
      </c>
      <c r="C540" s="252" t="s">
        <v>313</v>
      </c>
      <c r="D540" s="253">
        <v>1786.7</v>
      </c>
      <c r="E540" s="253" t="s">
        <v>75</v>
      </c>
      <c r="F540" s="255">
        <v>5</v>
      </c>
      <c r="G540" s="251" t="s">
        <v>72</v>
      </c>
      <c r="H540" s="159" t="s">
        <v>73</v>
      </c>
      <c r="I540" s="158">
        <f>I541+I542</f>
        <v>2988763.42</v>
      </c>
      <c r="J540" s="158">
        <f>J541+J542</f>
        <v>1672.78</v>
      </c>
      <c r="K540" s="158">
        <f>K541+K542</f>
        <v>2831</v>
      </c>
      <c r="L540" s="7"/>
      <c r="M540" s="7"/>
      <c r="N540" s="7"/>
      <c r="O540" s="7"/>
      <c r="P540" s="7"/>
      <c r="Q540" s="7"/>
      <c r="R540" s="7"/>
      <c r="S540" s="7"/>
      <c r="T540" s="7"/>
      <c r="U540" s="7"/>
      <c r="V540" s="7"/>
      <c r="W540" s="7"/>
    </row>
    <row r="541" spans="1:23" x14ac:dyDescent="0.35">
      <c r="A541" s="251">
        <v>75</v>
      </c>
      <c r="B541" s="251"/>
      <c r="C541" s="252"/>
      <c r="D541" s="253"/>
      <c r="E541" s="253"/>
      <c r="F541" s="255"/>
      <c r="G541" s="251"/>
      <c r="H541" s="159" t="s">
        <v>74</v>
      </c>
      <c r="I541" s="158">
        <v>2926143.94</v>
      </c>
      <c r="J541" s="158">
        <f>I541/D540-0.01</f>
        <v>1637.73</v>
      </c>
      <c r="K541" s="158">
        <v>2772</v>
      </c>
      <c r="L541" s="7"/>
      <c r="M541" s="7"/>
      <c r="N541" s="7"/>
      <c r="O541" s="7"/>
      <c r="P541" s="7"/>
      <c r="Q541" s="7"/>
      <c r="R541" s="7"/>
      <c r="S541" s="7"/>
      <c r="T541" s="7"/>
      <c r="U541" s="7"/>
      <c r="V541" s="7"/>
      <c r="W541" s="7"/>
    </row>
    <row r="542" spans="1:23" x14ac:dyDescent="0.35">
      <c r="A542" s="251">
        <v>76</v>
      </c>
      <c r="B542" s="251"/>
      <c r="C542" s="252"/>
      <c r="D542" s="253"/>
      <c r="E542" s="253"/>
      <c r="F542" s="255"/>
      <c r="G542" s="251"/>
      <c r="H542" s="159" t="s">
        <v>76</v>
      </c>
      <c r="I542" s="158">
        <v>62619.48</v>
      </c>
      <c r="J542" s="158">
        <f>I542/D540</f>
        <v>35.049999999999997</v>
      </c>
      <c r="K542" s="158">
        <v>59</v>
      </c>
      <c r="L542" s="7"/>
      <c r="M542" s="7"/>
      <c r="N542" s="7"/>
      <c r="O542" s="7"/>
      <c r="P542" s="7"/>
      <c r="Q542" s="7"/>
      <c r="R542" s="7"/>
      <c r="S542" s="7"/>
      <c r="T542" s="7"/>
      <c r="U542" s="7"/>
      <c r="V542" s="7"/>
      <c r="W542" s="7"/>
    </row>
    <row r="543" spans="1:23" x14ac:dyDescent="0.35">
      <c r="A543" s="251">
        <f>A540+1</f>
        <v>50</v>
      </c>
      <c r="B543" s="251">
        <v>774</v>
      </c>
      <c r="C543" s="252" t="s">
        <v>314</v>
      </c>
      <c r="D543" s="274">
        <v>14583.46</v>
      </c>
      <c r="E543" s="274" t="s">
        <v>75</v>
      </c>
      <c r="F543" s="293">
        <v>9</v>
      </c>
      <c r="G543" s="123"/>
      <c r="H543" s="159" t="s">
        <v>73</v>
      </c>
      <c r="I543" s="158">
        <f>I544+I545+I546</f>
        <v>736161.9</v>
      </c>
      <c r="J543" s="158">
        <f>J544+J545+J546</f>
        <v>50.48</v>
      </c>
      <c r="K543" s="158">
        <f>K544+K545+K546</f>
        <v>92</v>
      </c>
      <c r="L543" s="7"/>
      <c r="M543" s="7"/>
      <c r="N543" s="7"/>
      <c r="O543" s="7"/>
      <c r="P543" s="7"/>
      <c r="Q543" s="7"/>
      <c r="R543" s="7"/>
      <c r="S543" s="7"/>
      <c r="T543" s="7"/>
      <c r="U543" s="7"/>
      <c r="V543" s="7"/>
      <c r="W543" s="7"/>
    </row>
    <row r="544" spans="1:23" ht="31" x14ac:dyDescent="0.35">
      <c r="A544" s="251">
        <v>882</v>
      </c>
      <c r="B544" s="251"/>
      <c r="C544" s="252"/>
      <c r="D544" s="274"/>
      <c r="E544" s="274"/>
      <c r="F544" s="293"/>
      <c r="G544" s="123" t="s">
        <v>77</v>
      </c>
      <c r="H544" s="159" t="s">
        <v>666</v>
      </c>
      <c r="I544" s="158">
        <f>304015.51+D543*4</f>
        <v>362349.35</v>
      </c>
      <c r="J544" s="158">
        <f>I544/D543</f>
        <v>24.85</v>
      </c>
      <c r="K544" s="158">
        <f>50+4</f>
        <v>54</v>
      </c>
      <c r="L544" s="7"/>
      <c r="M544" s="7"/>
      <c r="N544" s="7"/>
      <c r="O544" s="7"/>
      <c r="P544" s="7"/>
      <c r="Q544" s="7"/>
      <c r="R544" s="7"/>
      <c r="S544" s="7"/>
      <c r="T544" s="7"/>
      <c r="U544" s="7"/>
      <c r="V544" s="7"/>
      <c r="W544" s="7"/>
    </row>
    <row r="545" spans="1:23" ht="46.5" x14ac:dyDescent="0.35">
      <c r="A545" s="251">
        <v>884</v>
      </c>
      <c r="B545" s="251"/>
      <c r="C545" s="252"/>
      <c r="D545" s="274"/>
      <c r="E545" s="274"/>
      <c r="F545" s="293"/>
      <c r="G545" s="123" t="s">
        <v>78</v>
      </c>
      <c r="H545" s="159" t="s">
        <v>666</v>
      </c>
      <c r="I545" s="158">
        <f>190776.11+D543*2</f>
        <v>219943.03</v>
      </c>
      <c r="J545" s="158">
        <f>I545/D543</f>
        <v>15.08</v>
      </c>
      <c r="K545" s="158">
        <f>19+2</f>
        <v>21</v>
      </c>
      <c r="L545" s="7"/>
      <c r="M545" s="7"/>
      <c r="N545" s="7"/>
      <c r="O545" s="7"/>
      <c r="P545" s="7"/>
      <c r="Q545" s="7"/>
      <c r="R545" s="7"/>
      <c r="S545" s="7"/>
      <c r="T545" s="7"/>
      <c r="U545" s="7"/>
      <c r="V545" s="7"/>
      <c r="W545" s="7"/>
    </row>
    <row r="546" spans="1:23" ht="31" x14ac:dyDescent="0.35">
      <c r="A546" s="251"/>
      <c r="B546" s="251"/>
      <c r="C546" s="252"/>
      <c r="D546" s="274"/>
      <c r="E546" s="274"/>
      <c r="F546" s="293"/>
      <c r="G546" s="123" t="s">
        <v>79</v>
      </c>
      <c r="H546" s="159" t="s">
        <v>666</v>
      </c>
      <c r="I546" s="158">
        <f>139286.06+D543*1</f>
        <v>153869.51999999999</v>
      </c>
      <c r="J546" s="158">
        <f>I546/D543</f>
        <v>10.55</v>
      </c>
      <c r="K546" s="158">
        <f>16+1</f>
        <v>17</v>
      </c>
      <c r="L546" s="7"/>
      <c r="M546" s="7"/>
      <c r="N546" s="7"/>
      <c r="O546" s="7"/>
      <c r="P546" s="7"/>
      <c r="Q546" s="7"/>
      <c r="R546" s="7"/>
      <c r="S546" s="7"/>
      <c r="T546" s="7"/>
      <c r="U546" s="7"/>
      <c r="V546" s="7"/>
      <c r="W546" s="7"/>
    </row>
    <row r="547" spans="1:23" x14ac:dyDescent="0.35">
      <c r="A547" s="251">
        <f>A543+1</f>
        <v>51</v>
      </c>
      <c r="B547" s="251">
        <v>453</v>
      </c>
      <c r="C547" s="252" t="s">
        <v>317</v>
      </c>
      <c r="D547" s="253">
        <v>2382.92</v>
      </c>
      <c r="E547" s="253" t="s">
        <v>75</v>
      </c>
      <c r="F547" s="255">
        <v>5</v>
      </c>
      <c r="G547" s="251" t="s">
        <v>72</v>
      </c>
      <c r="H547" s="159" t="s">
        <v>73</v>
      </c>
      <c r="I547" s="158">
        <f>I548</f>
        <v>218437.83</v>
      </c>
      <c r="J547" s="158">
        <f>J548</f>
        <v>91.67</v>
      </c>
      <c r="K547" s="158">
        <f>K548</f>
        <v>164</v>
      </c>
      <c r="L547" s="7"/>
      <c r="M547" s="7"/>
      <c r="N547" s="7"/>
      <c r="O547" s="7"/>
      <c r="P547" s="7"/>
      <c r="Q547" s="7"/>
      <c r="R547" s="7"/>
      <c r="S547" s="7"/>
      <c r="T547" s="7"/>
      <c r="U547" s="7"/>
      <c r="V547" s="7"/>
      <c r="W547" s="7"/>
    </row>
    <row r="548" spans="1:23" ht="46.5" x14ac:dyDescent="0.35">
      <c r="A548" s="251">
        <v>75</v>
      </c>
      <c r="B548" s="251"/>
      <c r="C548" s="252"/>
      <c r="D548" s="253"/>
      <c r="E548" s="253"/>
      <c r="F548" s="255"/>
      <c r="G548" s="251"/>
      <c r="H548" s="159" t="s">
        <v>705</v>
      </c>
      <c r="I548" s="158">
        <v>218437.83</v>
      </c>
      <c r="J548" s="158">
        <f>I548/D547</f>
        <v>91.67</v>
      </c>
      <c r="K548" s="158">
        <f>151+13</f>
        <v>164</v>
      </c>
      <c r="L548" s="7"/>
      <c r="M548" s="7"/>
      <c r="N548" s="7"/>
      <c r="O548" s="7"/>
      <c r="P548" s="7"/>
      <c r="Q548" s="7"/>
      <c r="R548" s="7"/>
      <c r="S548" s="7"/>
      <c r="T548" s="7"/>
      <c r="U548" s="7"/>
      <c r="V548" s="7"/>
      <c r="W548" s="7"/>
    </row>
    <row r="549" spans="1:23" x14ac:dyDescent="0.35">
      <c r="A549" s="251">
        <f>A547+1</f>
        <v>52</v>
      </c>
      <c r="B549" s="251">
        <v>370</v>
      </c>
      <c r="C549" s="252" t="s">
        <v>318</v>
      </c>
      <c r="D549" s="253">
        <v>3194.4</v>
      </c>
      <c r="E549" s="253" t="s">
        <v>75</v>
      </c>
      <c r="F549" s="255">
        <v>5</v>
      </c>
      <c r="G549" s="251" t="s">
        <v>72</v>
      </c>
      <c r="H549" s="159" t="s">
        <v>73</v>
      </c>
      <c r="I549" s="158">
        <f>I550+I551</f>
        <v>6434047.6200000001</v>
      </c>
      <c r="J549" s="158">
        <f>J550+J551</f>
        <v>2014.16</v>
      </c>
      <c r="K549" s="158">
        <f>K550+K551</f>
        <v>2831</v>
      </c>
      <c r="L549" s="7"/>
      <c r="M549" s="7"/>
      <c r="N549" s="7"/>
      <c r="O549" s="7"/>
      <c r="P549" s="7"/>
      <c r="Q549" s="7"/>
      <c r="R549" s="7"/>
      <c r="S549" s="7"/>
      <c r="T549" s="7"/>
      <c r="U549" s="7"/>
      <c r="V549" s="7"/>
      <c r="W549" s="7"/>
    </row>
    <row r="550" spans="1:23" x14ac:dyDescent="0.35">
      <c r="A550" s="251">
        <v>75</v>
      </c>
      <c r="B550" s="251"/>
      <c r="C550" s="252"/>
      <c r="D550" s="253"/>
      <c r="E550" s="253"/>
      <c r="F550" s="255"/>
      <c r="G550" s="251"/>
      <c r="H550" s="159" t="s">
        <v>74</v>
      </c>
      <c r="I550" s="158">
        <v>6299243.7999999998</v>
      </c>
      <c r="J550" s="158">
        <f>I550/D549</f>
        <v>1971.96</v>
      </c>
      <c r="K550" s="158">
        <v>2772</v>
      </c>
      <c r="L550" s="7"/>
      <c r="M550" s="7"/>
      <c r="N550" s="7"/>
      <c r="O550" s="7"/>
      <c r="P550" s="7"/>
      <c r="Q550" s="7"/>
      <c r="R550" s="7"/>
      <c r="S550" s="7"/>
      <c r="T550" s="7"/>
      <c r="U550" s="7"/>
      <c r="V550" s="7"/>
      <c r="W550" s="7"/>
    </row>
    <row r="551" spans="1:23" x14ac:dyDescent="0.35">
      <c r="A551" s="251">
        <v>76</v>
      </c>
      <c r="B551" s="251"/>
      <c r="C551" s="252"/>
      <c r="D551" s="253"/>
      <c r="E551" s="253"/>
      <c r="F551" s="255"/>
      <c r="G551" s="251"/>
      <c r="H551" s="159" t="s">
        <v>76</v>
      </c>
      <c r="I551" s="158">
        <v>134803.82</v>
      </c>
      <c r="J551" s="158">
        <f>I551/D549</f>
        <v>42.2</v>
      </c>
      <c r="K551" s="158">
        <v>59</v>
      </c>
      <c r="L551" s="7"/>
      <c r="M551" s="7"/>
      <c r="N551" s="7"/>
      <c r="O551" s="7"/>
      <c r="P551" s="7"/>
      <c r="Q551" s="7"/>
      <c r="R551" s="7"/>
      <c r="S551" s="7"/>
      <c r="T551" s="7"/>
      <c r="U551" s="7"/>
      <c r="V551" s="7"/>
      <c r="W551" s="7"/>
    </row>
    <row r="552" spans="1:23" ht="15.75" customHeight="1" x14ac:dyDescent="0.35">
      <c r="A552" s="251">
        <f>A549+1</f>
        <v>53</v>
      </c>
      <c r="B552" s="251">
        <v>850</v>
      </c>
      <c r="C552" s="252" t="s">
        <v>319</v>
      </c>
      <c r="D552" s="274">
        <v>1771.5</v>
      </c>
      <c r="E552" s="274" t="s">
        <v>75</v>
      </c>
      <c r="F552" s="293">
        <v>6</v>
      </c>
      <c r="G552" s="123"/>
      <c r="H552" s="159" t="s">
        <v>73</v>
      </c>
      <c r="I552" s="158">
        <f>I553+I554+I555+I556</f>
        <v>364929</v>
      </c>
      <c r="J552" s="158">
        <f>J553+J554+J555+J556</f>
        <v>206</v>
      </c>
      <c r="K552" s="158">
        <f>K553+K554+K555+K556</f>
        <v>206</v>
      </c>
      <c r="L552" s="7"/>
      <c r="M552" s="7"/>
      <c r="N552" s="7"/>
      <c r="O552" s="7"/>
      <c r="P552" s="7"/>
      <c r="Q552" s="7"/>
      <c r="R552" s="7"/>
      <c r="S552" s="7"/>
      <c r="T552" s="7"/>
      <c r="U552" s="7"/>
      <c r="V552" s="7"/>
      <c r="W552" s="7"/>
    </row>
    <row r="553" spans="1:23" ht="31" x14ac:dyDescent="0.35">
      <c r="A553" s="251">
        <v>882</v>
      </c>
      <c r="B553" s="251"/>
      <c r="C553" s="252"/>
      <c r="D553" s="274"/>
      <c r="E553" s="274"/>
      <c r="F553" s="293"/>
      <c r="G553" s="123" t="s">
        <v>77</v>
      </c>
      <c r="H553" s="159" t="s">
        <v>666</v>
      </c>
      <c r="I553" s="158">
        <f>D552*K553</f>
        <v>207265.5</v>
      </c>
      <c r="J553" s="158">
        <f>I553/D552</f>
        <v>117</v>
      </c>
      <c r="K553" s="158">
        <f>108+9</f>
        <v>117</v>
      </c>
      <c r="L553" s="7"/>
      <c r="M553" s="7"/>
      <c r="N553" s="7"/>
      <c r="O553" s="7"/>
      <c r="P553" s="7"/>
      <c r="Q553" s="7"/>
      <c r="R553" s="7"/>
      <c r="S553" s="7"/>
      <c r="T553" s="7"/>
      <c r="U553" s="7"/>
      <c r="V553" s="7"/>
      <c r="W553" s="7"/>
    </row>
    <row r="554" spans="1:23" ht="46.5" x14ac:dyDescent="0.35">
      <c r="A554" s="251">
        <v>884</v>
      </c>
      <c r="B554" s="251"/>
      <c r="C554" s="252"/>
      <c r="D554" s="274"/>
      <c r="E554" s="274"/>
      <c r="F554" s="293"/>
      <c r="G554" s="123" t="s">
        <v>78</v>
      </c>
      <c r="H554" s="159" t="s">
        <v>666</v>
      </c>
      <c r="I554" s="158">
        <f>D552*K554</f>
        <v>37201.5</v>
      </c>
      <c r="J554" s="158">
        <f>I554/D552</f>
        <v>21</v>
      </c>
      <c r="K554" s="158">
        <f>19+2</f>
        <v>21</v>
      </c>
      <c r="L554" s="7"/>
      <c r="M554" s="7"/>
      <c r="N554" s="7"/>
      <c r="O554" s="7"/>
      <c r="P554" s="7"/>
      <c r="Q554" s="7"/>
      <c r="R554" s="7"/>
      <c r="S554" s="7"/>
      <c r="T554" s="7"/>
      <c r="U554" s="7"/>
      <c r="V554" s="7"/>
      <c r="W554" s="7"/>
    </row>
    <row r="555" spans="1:23" ht="31" x14ac:dyDescent="0.35">
      <c r="A555" s="251"/>
      <c r="B555" s="251"/>
      <c r="C555" s="252"/>
      <c r="D555" s="274"/>
      <c r="E555" s="274"/>
      <c r="F555" s="293"/>
      <c r="G555" s="123" t="s">
        <v>79</v>
      </c>
      <c r="H555" s="159" t="s">
        <v>666</v>
      </c>
      <c r="I555" s="158">
        <f>D552*K555</f>
        <v>30115.5</v>
      </c>
      <c r="J555" s="158">
        <f>I555/D552</f>
        <v>17</v>
      </c>
      <c r="K555" s="158">
        <f>16+1</f>
        <v>17</v>
      </c>
      <c r="L555" s="7"/>
      <c r="M555" s="7"/>
      <c r="N555" s="7"/>
      <c r="O555" s="7"/>
      <c r="P555" s="7"/>
      <c r="Q555" s="7"/>
      <c r="R555" s="7"/>
      <c r="S555" s="7"/>
      <c r="T555" s="7"/>
      <c r="U555" s="7"/>
      <c r="V555" s="7"/>
      <c r="W555" s="7"/>
    </row>
    <row r="556" spans="1:23" ht="120" customHeight="1" x14ac:dyDescent="0.35">
      <c r="A556" s="251"/>
      <c r="B556" s="251"/>
      <c r="C556" s="252"/>
      <c r="D556" s="274"/>
      <c r="E556" s="274"/>
      <c r="F556" s="293"/>
      <c r="G556" s="123" t="s">
        <v>687</v>
      </c>
      <c r="H556" s="159" t="s">
        <v>666</v>
      </c>
      <c r="I556" s="158">
        <f>D552*K556</f>
        <v>90346.5</v>
      </c>
      <c r="J556" s="158">
        <f>I556/D552</f>
        <v>51</v>
      </c>
      <c r="K556" s="158">
        <f>47+4</f>
        <v>51</v>
      </c>
      <c r="L556" s="7"/>
      <c r="M556" s="7"/>
      <c r="N556" s="7"/>
      <c r="O556" s="7"/>
      <c r="P556" s="7"/>
      <c r="Q556" s="7"/>
      <c r="R556" s="7"/>
      <c r="S556" s="7"/>
      <c r="T556" s="7"/>
      <c r="U556" s="7"/>
      <c r="V556" s="7"/>
      <c r="W556" s="7"/>
    </row>
    <row r="557" spans="1:23" ht="15.75" customHeight="1" x14ac:dyDescent="0.35">
      <c r="A557" s="256">
        <f>A552+1</f>
        <v>54</v>
      </c>
      <c r="B557" s="256">
        <v>544</v>
      </c>
      <c r="C557" s="259" t="s">
        <v>320</v>
      </c>
      <c r="D557" s="262">
        <v>4948.3</v>
      </c>
      <c r="E557" s="262" t="s">
        <v>75</v>
      </c>
      <c r="F557" s="265">
        <v>5</v>
      </c>
      <c r="G557" s="123"/>
      <c r="H557" s="159" t="s">
        <v>73</v>
      </c>
      <c r="I557" s="158">
        <f>I558+I559+I560+I561+I562+I563+I564+I565</f>
        <v>13422957.84</v>
      </c>
      <c r="J557" s="158">
        <f>J558+J559+J560+J561+J562+J563+J564+J565</f>
        <v>2712.64</v>
      </c>
      <c r="K557" s="158">
        <f>K558+K559+K560+K561+K562+K563+K564+K565</f>
        <v>4256</v>
      </c>
      <c r="L557" s="7"/>
      <c r="M557" s="7"/>
      <c r="N557" s="7"/>
      <c r="O557" s="7"/>
      <c r="P557" s="7"/>
      <c r="Q557" s="7"/>
      <c r="R557" s="7"/>
      <c r="S557" s="7"/>
      <c r="T557" s="7"/>
      <c r="U557" s="7"/>
      <c r="V557" s="7"/>
      <c r="W557" s="7"/>
    </row>
    <row r="558" spans="1:23" ht="15.75" customHeight="1" x14ac:dyDescent="0.35">
      <c r="A558" s="257"/>
      <c r="B558" s="257"/>
      <c r="C558" s="260"/>
      <c r="D558" s="263"/>
      <c r="E558" s="263"/>
      <c r="F558" s="266"/>
      <c r="G558" s="251" t="s">
        <v>77</v>
      </c>
      <c r="H558" s="159" t="s">
        <v>74</v>
      </c>
      <c r="I558" s="158">
        <f>8575232.35</f>
        <v>8575232.3499999996</v>
      </c>
      <c r="J558" s="158">
        <f>I558/D557</f>
        <v>1732.97</v>
      </c>
      <c r="K558" s="158">
        <v>2119</v>
      </c>
      <c r="L558" s="7"/>
      <c r="M558" s="7"/>
      <c r="N558" s="7"/>
      <c r="O558" s="7"/>
      <c r="P558" s="7"/>
      <c r="Q558" s="7"/>
      <c r="R558" s="7"/>
      <c r="S558" s="7"/>
      <c r="T558" s="7"/>
      <c r="U558" s="7"/>
      <c r="V558" s="7"/>
      <c r="W558" s="7"/>
    </row>
    <row r="559" spans="1:23" x14ac:dyDescent="0.35">
      <c r="A559" s="257"/>
      <c r="B559" s="257"/>
      <c r="C559" s="260"/>
      <c r="D559" s="263"/>
      <c r="E559" s="263"/>
      <c r="F559" s="266"/>
      <c r="G559" s="251"/>
      <c r="H559" s="159" t="s">
        <v>76</v>
      </c>
      <c r="I559" s="158">
        <v>148038.73000000001</v>
      </c>
      <c r="J559" s="158">
        <f>I559/D557</f>
        <v>29.92</v>
      </c>
      <c r="K559" s="158">
        <v>45</v>
      </c>
      <c r="L559" s="7"/>
      <c r="M559" s="7"/>
      <c r="N559" s="7"/>
      <c r="O559" s="7"/>
      <c r="P559" s="7"/>
      <c r="Q559" s="7"/>
      <c r="R559" s="7"/>
      <c r="S559" s="7"/>
      <c r="T559" s="7"/>
      <c r="U559" s="7"/>
      <c r="V559" s="7"/>
      <c r="W559" s="7"/>
    </row>
    <row r="560" spans="1:23" ht="23.25" customHeight="1" x14ac:dyDescent="0.35">
      <c r="A560" s="257"/>
      <c r="B560" s="257"/>
      <c r="C560" s="260"/>
      <c r="D560" s="263"/>
      <c r="E560" s="263"/>
      <c r="F560" s="266"/>
      <c r="G560" s="251" t="s">
        <v>78</v>
      </c>
      <c r="H560" s="159" t="s">
        <v>74</v>
      </c>
      <c r="I560" s="158">
        <v>1154601.44</v>
      </c>
      <c r="J560" s="158">
        <f>I560/D557</f>
        <v>233.33</v>
      </c>
      <c r="K560" s="158">
        <v>463</v>
      </c>
      <c r="L560" s="7"/>
      <c r="M560" s="7"/>
      <c r="N560" s="7"/>
      <c r="O560" s="7"/>
      <c r="P560" s="7"/>
      <c r="Q560" s="7"/>
      <c r="R560" s="7"/>
      <c r="S560" s="7"/>
      <c r="T560" s="7"/>
      <c r="U560" s="7"/>
      <c r="V560" s="7"/>
      <c r="W560" s="7"/>
    </row>
    <row r="561" spans="1:23" x14ac:dyDescent="0.35">
      <c r="A561" s="257"/>
      <c r="B561" s="257"/>
      <c r="C561" s="260"/>
      <c r="D561" s="263"/>
      <c r="E561" s="263"/>
      <c r="F561" s="266"/>
      <c r="G561" s="251"/>
      <c r="H561" s="159" t="s">
        <v>76</v>
      </c>
      <c r="I561" s="158">
        <f>I560*0.0214</f>
        <v>24708.47</v>
      </c>
      <c r="J561" s="158">
        <f>I561/D557</f>
        <v>4.99</v>
      </c>
      <c r="K561" s="158">
        <v>10</v>
      </c>
      <c r="L561" s="7"/>
      <c r="M561" s="7"/>
      <c r="N561" s="7"/>
      <c r="O561" s="7"/>
      <c r="P561" s="7"/>
      <c r="Q561" s="7"/>
      <c r="R561" s="7"/>
      <c r="S561" s="7"/>
      <c r="T561" s="7"/>
      <c r="U561" s="7"/>
      <c r="V561" s="7"/>
      <c r="W561" s="7"/>
    </row>
    <row r="562" spans="1:23" ht="23.25" customHeight="1" x14ac:dyDescent="0.35">
      <c r="A562" s="257"/>
      <c r="B562" s="257"/>
      <c r="C562" s="260"/>
      <c r="D562" s="263"/>
      <c r="E562" s="263"/>
      <c r="F562" s="266"/>
      <c r="G562" s="251" t="s">
        <v>79</v>
      </c>
      <c r="H562" s="159" t="s">
        <v>74</v>
      </c>
      <c r="I562" s="158">
        <v>2023854.7</v>
      </c>
      <c r="J562" s="158">
        <f>I562/D557</f>
        <v>409</v>
      </c>
      <c r="K562" s="158">
        <v>409</v>
      </c>
      <c r="L562" s="7"/>
      <c r="M562" s="7"/>
      <c r="N562" s="7"/>
      <c r="O562" s="7"/>
      <c r="P562" s="7"/>
      <c r="Q562" s="7"/>
      <c r="R562" s="7"/>
      <c r="S562" s="7"/>
      <c r="T562" s="7"/>
      <c r="U562" s="7"/>
      <c r="V562" s="7"/>
      <c r="W562" s="7"/>
    </row>
    <row r="563" spans="1:23" x14ac:dyDescent="0.35">
      <c r="A563" s="257"/>
      <c r="B563" s="257"/>
      <c r="C563" s="260"/>
      <c r="D563" s="263"/>
      <c r="E563" s="263"/>
      <c r="F563" s="266"/>
      <c r="G563" s="251"/>
      <c r="H563" s="159" t="s">
        <v>76</v>
      </c>
      <c r="I563" s="158">
        <f>D557*K563</f>
        <v>44534.7</v>
      </c>
      <c r="J563" s="158">
        <f>I563/D557</f>
        <v>9</v>
      </c>
      <c r="K563" s="158">
        <v>9</v>
      </c>
      <c r="L563" s="7"/>
      <c r="M563" s="7"/>
      <c r="N563" s="7"/>
      <c r="O563" s="7"/>
      <c r="P563" s="7"/>
      <c r="Q563" s="7"/>
      <c r="R563" s="7"/>
      <c r="S563" s="7"/>
      <c r="T563" s="7"/>
      <c r="U563" s="7"/>
      <c r="V563" s="7"/>
      <c r="W563" s="7"/>
    </row>
    <row r="564" spans="1:23" ht="15.75" customHeight="1" x14ac:dyDescent="0.35">
      <c r="A564" s="257"/>
      <c r="B564" s="257"/>
      <c r="C564" s="260"/>
      <c r="D564" s="263"/>
      <c r="E564" s="263"/>
      <c r="F564" s="266"/>
      <c r="G564" s="251" t="s">
        <v>695</v>
      </c>
      <c r="H564" s="159" t="s">
        <v>688</v>
      </c>
      <c r="I564" s="158">
        <f>1421565.94</f>
        <v>1421565.94</v>
      </c>
      <c r="J564" s="158">
        <f>I564/D557</f>
        <v>287.27999999999997</v>
      </c>
      <c r="K564" s="158">
        <f>1176</f>
        <v>1176</v>
      </c>
      <c r="L564" s="7"/>
      <c r="M564" s="7"/>
      <c r="N564" s="7"/>
      <c r="O564" s="7"/>
      <c r="P564" s="7"/>
      <c r="Q564" s="7"/>
      <c r="R564" s="7"/>
      <c r="S564" s="7"/>
      <c r="T564" s="7"/>
      <c r="U564" s="7"/>
      <c r="V564" s="7"/>
      <c r="W564" s="7"/>
    </row>
    <row r="565" spans="1:23" ht="231.75" customHeight="1" x14ac:dyDescent="0.35">
      <c r="A565" s="258"/>
      <c r="B565" s="258"/>
      <c r="C565" s="261"/>
      <c r="D565" s="264"/>
      <c r="E565" s="264"/>
      <c r="F565" s="267"/>
      <c r="G565" s="251"/>
      <c r="H565" s="159" t="s">
        <v>76</v>
      </c>
      <c r="I565" s="158">
        <f>I564*0.0214</f>
        <v>30421.51</v>
      </c>
      <c r="J565" s="158">
        <f>I565/D557</f>
        <v>6.15</v>
      </c>
      <c r="K565" s="158">
        <v>25</v>
      </c>
      <c r="L565" s="7"/>
      <c r="M565" s="7"/>
      <c r="N565" s="7"/>
      <c r="O565" s="7"/>
      <c r="P565" s="7"/>
      <c r="Q565" s="7"/>
      <c r="R565" s="7"/>
      <c r="S565" s="7"/>
      <c r="T565" s="7"/>
      <c r="U565" s="7"/>
      <c r="V565" s="7"/>
      <c r="W565" s="7"/>
    </row>
    <row r="566" spans="1:23" ht="15.75" customHeight="1" x14ac:dyDescent="0.35">
      <c r="A566" s="256">
        <f>A557+1</f>
        <v>55</v>
      </c>
      <c r="B566" s="256">
        <v>555</v>
      </c>
      <c r="C566" s="259" t="s">
        <v>322</v>
      </c>
      <c r="D566" s="262">
        <v>2510.5</v>
      </c>
      <c r="E566" s="262" t="s">
        <v>75</v>
      </c>
      <c r="F566" s="265">
        <v>5</v>
      </c>
      <c r="G566" s="256" t="s">
        <v>82</v>
      </c>
      <c r="H566" s="159" t="s">
        <v>73</v>
      </c>
      <c r="I566" s="158">
        <f>I567</f>
        <v>90378</v>
      </c>
      <c r="J566" s="158">
        <f>J567</f>
        <v>36</v>
      </c>
      <c r="K566" s="158">
        <f>K567</f>
        <v>36</v>
      </c>
      <c r="L566" s="7"/>
      <c r="M566" s="7"/>
      <c r="N566" s="7"/>
      <c r="O566" s="7"/>
      <c r="P566" s="7"/>
      <c r="Q566" s="7"/>
      <c r="R566" s="7"/>
      <c r="S566" s="7"/>
      <c r="T566" s="7"/>
      <c r="U566" s="7"/>
      <c r="V566" s="7"/>
      <c r="W566" s="7"/>
    </row>
    <row r="567" spans="1:23" ht="31" x14ac:dyDescent="0.35">
      <c r="A567" s="257"/>
      <c r="B567" s="257"/>
      <c r="C567" s="260"/>
      <c r="D567" s="263"/>
      <c r="E567" s="263"/>
      <c r="F567" s="266"/>
      <c r="G567" s="257"/>
      <c r="H567" s="159" t="s">
        <v>666</v>
      </c>
      <c r="I567" s="158">
        <f>82846.5+D566*3</f>
        <v>90378</v>
      </c>
      <c r="J567" s="158">
        <f>I567/D566</f>
        <v>36</v>
      </c>
      <c r="K567" s="158">
        <f>33+3</f>
        <v>36</v>
      </c>
      <c r="L567" s="7"/>
      <c r="M567" s="7"/>
      <c r="N567" s="7"/>
      <c r="O567" s="7"/>
      <c r="P567" s="7"/>
      <c r="Q567" s="7"/>
      <c r="R567" s="7"/>
      <c r="S567" s="7"/>
      <c r="T567" s="7"/>
      <c r="U567" s="7"/>
      <c r="V567" s="7"/>
      <c r="W567" s="7"/>
    </row>
    <row r="568" spans="1:23" x14ac:dyDescent="0.35">
      <c r="A568" s="256">
        <f>A566+1</f>
        <v>56</v>
      </c>
      <c r="B568" s="256">
        <v>508</v>
      </c>
      <c r="C568" s="259" t="s">
        <v>323</v>
      </c>
      <c r="D568" s="262">
        <v>2539.88</v>
      </c>
      <c r="E568" s="262" t="s">
        <v>71</v>
      </c>
      <c r="F568" s="265">
        <v>5</v>
      </c>
      <c r="G568" s="256" t="s">
        <v>72</v>
      </c>
      <c r="H568" s="159" t="s">
        <v>73</v>
      </c>
      <c r="I568" s="158">
        <f>I569+I570</f>
        <v>1757657.31</v>
      </c>
      <c r="J568" s="158">
        <f>J569+J570</f>
        <v>692.02</v>
      </c>
      <c r="K568" s="158">
        <f>K569+K570</f>
        <v>2936</v>
      </c>
      <c r="L568" s="7"/>
      <c r="M568" s="7"/>
      <c r="N568" s="7"/>
      <c r="O568" s="7"/>
      <c r="P568" s="7"/>
      <c r="Q568" s="7"/>
      <c r="R568" s="7"/>
      <c r="S568" s="7"/>
      <c r="T568" s="7"/>
      <c r="U568" s="7"/>
      <c r="V568" s="7"/>
      <c r="W568" s="7"/>
    </row>
    <row r="569" spans="1:23" ht="46.5" x14ac:dyDescent="0.35">
      <c r="A569" s="257"/>
      <c r="B569" s="257"/>
      <c r="C569" s="260"/>
      <c r="D569" s="263"/>
      <c r="E569" s="263"/>
      <c r="F569" s="266"/>
      <c r="G569" s="257"/>
      <c r="H569" s="159" t="s">
        <v>705</v>
      </c>
      <c r="I569" s="158">
        <v>215964.64</v>
      </c>
      <c r="J569" s="158">
        <f>I569/D568</f>
        <v>85.03</v>
      </c>
      <c r="K569" s="158">
        <f>151+13</f>
        <v>164</v>
      </c>
      <c r="L569" s="7"/>
      <c r="M569" s="7"/>
      <c r="N569" s="7"/>
      <c r="O569" s="7"/>
      <c r="P569" s="7"/>
      <c r="Q569" s="7"/>
      <c r="R569" s="7"/>
      <c r="S569" s="7"/>
      <c r="T569" s="7"/>
      <c r="U569" s="7"/>
      <c r="V569" s="7"/>
      <c r="W569" s="7"/>
    </row>
    <row r="570" spans="1:23" x14ac:dyDescent="0.35">
      <c r="A570" s="258"/>
      <c r="B570" s="258"/>
      <c r="C570" s="261"/>
      <c r="D570" s="264"/>
      <c r="E570" s="264"/>
      <c r="F570" s="267"/>
      <c r="G570" s="258"/>
      <c r="H570" s="159" t="s">
        <v>74</v>
      </c>
      <c r="I570" s="158">
        <f>5138975.56*0.3</f>
        <v>1541692.67</v>
      </c>
      <c r="J570" s="158">
        <f>I570/D568</f>
        <v>606.99</v>
      </c>
      <c r="K570" s="158">
        <v>2772</v>
      </c>
      <c r="L570" s="7"/>
      <c r="M570" s="7"/>
      <c r="N570" s="7"/>
      <c r="O570" s="7"/>
      <c r="P570" s="7"/>
      <c r="Q570" s="7"/>
      <c r="R570" s="7"/>
      <c r="S570" s="7"/>
      <c r="T570" s="7"/>
      <c r="U570" s="7"/>
      <c r="V570" s="7"/>
      <c r="W570" s="7"/>
    </row>
    <row r="571" spans="1:23" x14ac:dyDescent="0.35">
      <c r="A571" s="251">
        <f>A568+1</f>
        <v>57</v>
      </c>
      <c r="B571" s="251">
        <v>676</v>
      </c>
      <c r="C571" s="252" t="s">
        <v>324</v>
      </c>
      <c r="D571" s="253">
        <v>4445.2</v>
      </c>
      <c r="E571" s="253" t="s">
        <v>75</v>
      </c>
      <c r="F571" s="255">
        <v>9</v>
      </c>
      <c r="G571" s="251" t="s">
        <v>72</v>
      </c>
      <c r="H571" s="159" t="s">
        <v>73</v>
      </c>
      <c r="I571" s="158">
        <f>I572</f>
        <v>305258.11</v>
      </c>
      <c r="J571" s="158">
        <f>J572</f>
        <v>68.67</v>
      </c>
      <c r="K571" s="158">
        <f>K572</f>
        <v>164</v>
      </c>
      <c r="L571" s="7"/>
      <c r="M571" s="7"/>
      <c r="N571" s="7"/>
      <c r="O571" s="7"/>
      <c r="P571" s="7"/>
      <c r="Q571" s="7"/>
      <c r="R571" s="7"/>
      <c r="S571" s="7"/>
      <c r="T571" s="7"/>
      <c r="U571" s="7"/>
      <c r="V571" s="7"/>
      <c r="W571" s="7"/>
    </row>
    <row r="572" spans="1:23" ht="46.5" x14ac:dyDescent="0.35">
      <c r="A572" s="251">
        <v>75</v>
      </c>
      <c r="B572" s="251"/>
      <c r="C572" s="252"/>
      <c r="D572" s="253"/>
      <c r="E572" s="253"/>
      <c r="F572" s="255"/>
      <c r="G572" s="251"/>
      <c r="H572" s="159" t="s">
        <v>705</v>
      </c>
      <c r="I572" s="158">
        <f>247470.51+D571*13</f>
        <v>305258.11</v>
      </c>
      <c r="J572" s="158">
        <f>I572/D571</f>
        <v>68.67</v>
      </c>
      <c r="K572" s="158">
        <f>151+13</f>
        <v>164</v>
      </c>
      <c r="L572" s="7"/>
      <c r="M572" s="7"/>
      <c r="N572" s="7"/>
      <c r="O572" s="7"/>
      <c r="P572" s="7"/>
      <c r="Q572" s="7"/>
      <c r="R572" s="7"/>
      <c r="S572" s="7"/>
      <c r="T572" s="7"/>
      <c r="U572" s="7"/>
      <c r="V572" s="7"/>
      <c r="W572" s="7"/>
    </row>
    <row r="573" spans="1:23" x14ac:dyDescent="0.35">
      <c r="A573" s="251">
        <f>A571+1</f>
        <v>58</v>
      </c>
      <c r="B573" s="251">
        <v>610</v>
      </c>
      <c r="C573" s="252" t="s">
        <v>325</v>
      </c>
      <c r="D573" s="253">
        <v>2077.6</v>
      </c>
      <c r="E573" s="253" t="s">
        <v>75</v>
      </c>
      <c r="F573" s="255">
        <v>5</v>
      </c>
      <c r="G573" s="251" t="s">
        <v>72</v>
      </c>
      <c r="H573" s="159" t="s">
        <v>73</v>
      </c>
      <c r="I573" s="158">
        <f>I574+I575</f>
        <v>1950407.41</v>
      </c>
      <c r="J573" s="158">
        <f>J574+J575</f>
        <v>938.78</v>
      </c>
      <c r="K573" s="158">
        <f>K574+K575</f>
        <v>2936</v>
      </c>
      <c r="L573" s="7"/>
      <c r="M573" s="7"/>
      <c r="N573" s="7"/>
      <c r="O573" s="7"/>
      <c r="P573" s="7"/>
      <c r="Q573" s="7"/>
      <c r="R573" s="7"/>
      <c r="S573" s="7"/>
      <c r="T573" s="7"/>
      <c r="U573" s="7"/>
      <c r="V573" s="7"/>
      <c r="W573" s="7"/>
    </row>
    <row r="574" spans="1:23" ht="46.5" x14ac:dyDescent="0.35">
      <c r="A574" s="251">
        <v>75</v>
      </c>
      <c r="B574" s="251"/>
      <c r="C574" s="252"/>
      <c r="D574" s="253"/>
      <c r="E574" s="253"/>
      <c r="F574" s="255"/>
      <c r="G574" s="251"/>
      <c r="H574" s="159" t="s">
        <v>705</v>
      </c>
      <c r="I574" s="158">
        <f>195666.45+D573*13</f>
        <v>222675.25</v>
      </c>
      <c r="J574" s="158">
        <f>I574/D573</f>
        <v>107.18</v>
      </c>
      <c r="K574" s="158">
        <f>151+13</f>
        <v>164</v>
      </c>
      <c r="L574" s="7"/>
      <c r="M574" s="7"/>
      <c r="N574" s="7"/>
      <c r="O574" s="7"/>
      <c r="P574" s="7"/>
      <c r="Q574" s="7"/>
      <c r="R574" s="7"/>
      <c r="S574" s="7"/>
      <c r="T574" s="7"/>
      <c r="U574" s="7"/>
      <c r="V574" s="7"/>
      <c r="W574" s="7"/>
    </row>
    <row r="575" spans="1:23" x14ac:dyDescent="0.35">
      <c r="A575" s="251"/>
      <c r="B575" s="251"/>
      <c r="C575" s="252"/>
      <c r="D575" s="253"/>
      <c r="E575" s="253"/>
      <c r="F575" s="255"/>
      <c r="G575" s="251"/>
      <c r="H575" s="159" t="s">
        <v>74</v>
      </c>
      <c r="I575" s="158">
        <f>K575*D573*0.3</f>
        <v>1727732.16</v>
      </c>
      <c r="J575" s="158">
        <f>I575/D573</f>
        <v>831.6</v>
      </c>
      <c r="K575" s="158">
        <v>2772</v>
      </c>
      <c r="L575" s="7"/>
      <c r="M575" s="7"/>
      <c r="N575" s="7"/>
      <c r="O575" s="7"/>
      <c r="P575" s="7"/>
      <c r="Q575" s="7"/>
      <c r="R575" s="7"/>
      <c r="S575" s="7"/>
      <c r="T575" s="7"/>
      <c r="U575" s="7"/>
      <c r="V575" s="7"/>
      <c r="W575" s="7"/>
    </row>
    <row r="576" spans="1:23" x14ac:dyDescent="0.35">
      <c r="A576" s="251">
        <f>A573+1</f>
        <v>59</v>
      </c>
      <c r="B576" s="251">
        <v>352</v>
      </c>
      <c r="C576" s="252" t="s">
        <v>326</v>
      </c>
      <c r="D576" s="253">
        <v>1250.22</v>
      </c>
      <c r="E576" s="253" t="s">
        <v>75</v>
      </c>
      <c r="F576" s="255">
        <v>4</v>
      </c>
      <c r="G576" s="251" t="s">
        <v>72</v>
      </c>
      <c r="H576" s="159" t="s">
        <v>73</v>
      </c>
      <c r="I576" s="158">
        <f>I577+I578</f>
        <v>2813404.35</v>
      </c>
      <c r="J576" s="158">
        <f>J577+J578</f>
        <v>2250.33</v>
      </c>
      <c r="K576" s="158">
        <f>K577+K578</f>
        <v>4728</v>
      </c>
      <c r="L576" s="7"/>
      <c r="M576" s="7"/>
      <c r="N576" s="7"/>
      <c r="O576" s="7"/>
      <c r="P576" s="7"/>
      <c r="Q576" s="7"/>
      <c r="R576" s="7"/>
      <c r="S576" s="7"/>
      <c r="T576" s="7"/>
      <c r="U576" s="7"/>
      <c r="V576" s="7"/>
      <c r="W576" s="7"/>
    </row>
    <row r="577" spans="1:23" x14ac:dyDescent="0.35">
      <c r="A577" s="251">
        <v>75</v>
      </c>
      <c r="B577" s="251"/>
      <c r="C577" s="252"/>
      <c r="D577" s="253"/>
      <c r="E577" s="253"/>
      <c r="F577" s="255"/>
      <c r="G577" s="251"/>
      <c r="H577" s="159" t="s">
        <v>74</v>
      </c>
      <c r="I577" s="158">
        <v>2764499</v>
      </c>
      <c r="J577" s="158">
        <f>I577/D576</f>
        <v>2211.21</v>
      </c>
      <c r="K577" s="158">
        <v>4629</v>
      </c>
      <c r="L577" s="7"/>
      <c r="M577" s="7"/>
      <c r="N577" s="7"/>
      <c r="O577" s="7"/>
      <c r="P577" s="7"/>
      <c r="Q577" s="7"/>
      <c r="R577" s="7"/>
      <c r="S577" s="7"/>
      <c r="T577" s="7"/>
      <c r="U577" s="7"/>
      <c r="V577" s="7"/>
      <c r="W577" s="7"/>
    </row>
    <row r="578" spans="1:23" x14ac:dyDescent="0.35">
      <c r="A578" s="251">
        <v>76</v>
      </c>
      <c r="B578" s="251"/>
      <c r="C578" s="252"/>
      <c r="D578" s="253"/>
      <c r="E578" s="253"/>
      <c r="F578" s="255"/>
      <c r="G578" s="251"/>
      <c r="H578" s="159" t="s">
        <v>76</v>
      </c>
      <c r="I578" s="158">
        <v>48905.35</v>
      </c>
      <c r="J578" s="158">
        <f>I578/D576</f>
        <v>39.119999999999997</v>
      </c>
      <c r="K578" s="158">
        <v>99</v>
      </c>
      <c r="L578" s="7"/>
      <c r="M578" s="7"/>
      <c r="N578" s="7"/>
      <c r="O578" s="7"/>
      <c r="P578" s="7"/>
      <c r="Q578" s="7"/>
      <c r="R578" s="7"/>
      <c r="S578" s="7"/>
      <c r="T578" s="7"/>
      <c r="U578" s="7"/>
      <c r="V578" s="7"/>
      <c r="W578" s="7"/>
    </row>
    <row r="579" spans="1:23" x14ac:dyDescent="0.35">
      <c r="A579" s="251">
        <f>A576+1</f>
        <v>60</v>
      </c>
      <c r="B579" s="251">
        <v>1846</v>
      </c>
      <c r="C579" s="252" t="s">
        <v>328</v>
      </c>
      <c r="D579" s="253">
        <v>3875.5</v>
      </c>
      <c r="E579" s="253" t="s">
        <v>71</v>
      </c>
      <c r="F579" s="255">
        <v>5</v>
      </c>
      <c r="G579" s="251" t="s">
        <v>72</v>
      </c>
      <c r="H579" s="159" t="s">
        <v>73</v>
      </c>
      <c r="I579" s="158">
        <f>I580+I581</f>
        <v>4170881.81</v>
      </c>
      <c r="J579" s="158">
        <f>J580+J581</f>
        <v>1076.22</v>
      </c>
      <c r="K579" s="158">
        <f>K580+K581</f>
        <v>3523</v>
      </c>
      <c r="L579" s="7"/>
      <c r="M579" s="7"/>
      <c r="N579" s="7"/>
      <c r="O579" s="7"/>
      <c r="P579" s="7"/>
      <c r="Q579" s="7"/>
      <c r="R579" s="7"/>
      <c r="S579" s="7"/>
      <c r="T579" s="7"/>
      <c r="U579" s="7"/>
      <c r="V579" s="7"/>
      <c r="W579" s="7"/>
    </row>
    <row r="580" spans="1:23" ht="46.5" x14ac:dyDescent="0.35">
      <c r="A580" s="251">
        <v>75</v>
      </c>
      <c r="B580" s="251"/>
      <c r="C580" s="252"/>
      <c r="D580" s="253"/>
      <c r="E580" s="253"/>
      <c r="F580" s="255"/>
      <c r="G580" s="251"/>
      <c r="H580" s="159" t="s">
        <v>796</v>
      </c>
      <c r="I580" s="158">
        <v>548175.9</v>
      </c>
      <c r="J580" s="158">
        <f>I580/D579</f>
        <v>141.44999999999999</v>
      </c>
      <c r="K580" s="158">
        <f>135+11</f>
        <v>146</v>
      </c>
      <c r="L580" s="7"/>
      <c r="M580" s="7"/>
      <c r="N580" s="7"/>
      <c r="O580" s="7"/>
      <c r="P580" s="7"/>
      <c r="Q580" s="7"/>
      <c r="R580" s="7"/>
      <c r="S580" s="7"/>
      <c r="T580" s="7"/>
      <c r="U580" s="7"/>
      <c r="V580" s="7"/>
      <c r="W580" s="7"/>
    </row>
    <row r="581" spans="1:23" ht="31" x14ac:dyDescent="0.35">
      <c r="A581" s="251">
        <v>77</v>
      </c>
      <c r="B581" s="251"/>
      <c r="C581" s="252"/>
      <c r="D581" s="253"/>
      <c r="E581" s="253"/>
      <c r="F581" s="255"/>
      <c r="G581" s="251"/>
      <c r="H581" s="159" t="s">
        <v>86</v>
      </c>
      <c r="I581" s="158">
        <f>12075686.36*0.3</f>
        <v>3622705.91</v>
      </c>
      <c r="J581" s="158">
        <f>I581/D579</f>
        <v>934.77</v>
      </c>
      <c r="K581" s="158">
        <v>3377</v>
      </c>
      <c r="L581" s="7"/>
      <c r="M581" s="7"/>
      <c r="N581" s="7"/>
      <c r="O581" s="7"/>
      <c r="P581" s="7"/>
      <c r="Q581" s="7"/>
      <c r="R581" s="7"/>
      <c r="S581" s="7"/>
      <c r="T581" s="7"/>
      <c r="U581" s="7"/>
      <c r="V581" s="7"/>
      <c r="W581" s="7"/>
    </row>
    <row r="582" spans="1:23" ht="15.75" customHeight="1" x14ac:dyDescent="0.35">
      <c r="A582" s="251">
        <f>A579+1</f>
        <v>61</v>
      </c>
      <c r="B582" s="251">
        <v>1938</v>
      </c>
      <c r="C582" s="252" t="s">
        <v>329</v>
      </c>
      <c r="D582" s="253">
        <v>1618</v>
      </c>
      <c r="E582" s="253" t="s">
        <v>75</v>
      </c>
      <c r="F582" s="255">
        <v>4</v>
      </c>
      <c r="G582" s="251" t="s">
        <v>72</v>
      </c>
      <c r="H582" s="159" t="s">
        <v>73</v>
      </c>
      <c r="I582" s="158">
        <f>I583+I584</f>
        <v>3557261.5</v>
      </c>
      <c r="J582" s="158">
        <f>J583+J584</f>
        <v>2198.5500000000002</v>
      </c>
      <c r="K582" s="158">
        <f>K583+K584</f>
        <v>4728</v>
      </c>
      <c r="L582" s="7"/>
      <c r="M582" s="7"/>
      <c r="N582" s="7"/>
      <c r="O582" s="7"/>
      <c r="P582" s="7"/>
      <c r="Q582" s="7"/>
      <c r="R582" s="7"/>
      <c r="S582" s="7"/>
      <c r="T582" s="7"/>
      <c r="U582" s="7"/>
      <c r="V582" s="7"/>
      <c r="W582" s="7"/>
    </row>
    <row r="583" spans="1:23" x14ac:dyDescent="0.35">
      <c r="A583" s="251">
        <v>75</v>
      </c>
      <c r="B583" s="251"/>
      <c r="C583" s="252"/>
      <c r="D583" s="253"/>
      <c r="E583" s="253"/>
      <c r="F583" s="255"/>
      <c r="G583" s="251"/>
      <c r="H583" s="159" t="s">
        <v>74</v>
      </c>
      <c r="I583" s="158">
        <v>3482731.06</v>
      </c>
      <c r="J583" s="158">
        <f>I583/D582</f>
        <v>2152.4899999999998</v>
      </c>
      <c r="K583" s="158">
        <v>4629</v>
      </c>
      <c r="L583" s="7"/>
      <c r="M583" s="7"/>
      <c r="N583" s="7"/>
      <c r="O583" s="7"/>
      <c r="P583" s="7"/>
      <c r="Q583" s="7"/>
      <c r="R583" s="7"/>
      <c r="S583" s="7"/>
      <c r="T583" s="7"/>
      <c r="U583" s="7"/>
      <c r="V583" s="7"/>
      <c r="W583" s="7"/>
    </row>
    <row r="584" spans="1:23" x14ac:dyDescent="0.35">
      <c r="A584" s="251">
        <v>76</v>
      </c>
      <c r="B584" s="251"/>
      <c r="C584" s="252"/>
      <c r="D584" s="253"/>
      <c r="E584" s="253"/>
      <c r="F584" s="255"/>
      <c r="G584" s="251"/>
      <c r="H584" s="159" t="s">
        <v>76</v>
      </c>
      <c r="I584" s="158">
        <v>74530.44</v>
      </c>
      <c r="J584" s="158">
        <f>I584/D582</f>
        <v>46.06</v>
      </c>
      <c r="K584" s="158">
        <v>99</v>
      </c>
      <c r="L584" s="7"/>
      <c r="M584" s="7"/>
      <c r="N584" s="7"/>
      <c r="O584" s="7"/>
      <c r="P584" s="7"/>
      <c r="Q584" s="7"/>
      <c r="R584" s="7"/>
      <c r="S584" s="7"/>
      <c r="T584" s="7"/>
      <c r="U584" s="7"/>
      <c r="V584" s="7"/>
      <c r="W584" s="7"/>
    </row>
    <row r="585" spans="1:23" x14ac:dyDescent="0.35">
      <c r="A585" s="251">
        <f>A582+1</f>
        <v>62</v>
      </c>
      <c r="B585" s="251">
        <v>1273</v>
      </c>
      <c r="C585" s="252" t="s">
        <v>330</v>
      </c>
      <c r="D585" s="253">
        <v>964</v>
      </c>
      <c r="E585" s="253" t="s">
        <v>75</v>
      </c>
      <c r="F585" s="255">
        <v>3</v>
      </c>
      <c r="G585" s="251" t="s">
        <v>72</v>
      </c>
      <c r="H585" s="159" t="s">
        <v>73</v>
      </c>
      <c r="I585" s="158">
        <f>I586+I587</f>
        <v>3115838.77</v>
      </c>
      <c r="J585" s="158">
        <f>J586+J587</f>
        <v>3232.2</v>
      </c>
      <c r="K585" s="158">
        <f>K586+K587</f>
        <v>4728</v>
      </c>
      <c r="L585" s="7"/>
      <c r="M585" s="7"/>
      <c r="N585" s="7"/>
      <c r="O585" s="7"/>
      <c r="P585" s="7"/>
      <c r="Q585" s="7"/>
      <c r="R585" s="7"/>
      <c r="S585" s="7"/>
      <c r="T585" s="7"/>
      <c r="U585" s="7"/>
      <c r="V585" s="7"/>
      <c r="W585" s="7"/>
    </row>
    <row r="586" spans="1:23" x14ac:dyDescent="0.35">
      <c r="A586" s="251">
        <v>75</v>
      </c>
      <c r="B586" s="251"/>
      <c r="C586" s="252"/>
      <c r="D586" s="253"/>
      <c r="E586" s="253"/>
      <c r="F586" s="255"/>
      <c r="G586" s="251"/>
      <c r="H586" s="159" t="s">
        <v>74</v>
      </c>
      <c r="I586" s="158">
        <v>3073007.92</v>
      </c>
      <c r="J586" s="158">
        <f>I586/D585</f>
        <v>3187.77</v>
      </c>
      <c r="K586" s="158">
        <v>4629</v>
      </c>
      <c r="L586" s="7"/>
      <c r="M586" s="7"/>
      <c r="N586" s="7"/>
      <c r="O586" s="7"/>
      <c r="P586" s="7"/>
      <c r="Q586" s="7"/>
      <c r="R586" s="7"/>
      <c r="S586" s="7"/>
      <c r="T586" s="7"/>
      <c r="U586" s="7"/>
      <c r="V586" s="7"/>
      <c r="W586" s="7"/>
    </row>
    <row r="587" spans="1:23" x14ac:dyDescent="0.35">
      <c r="A587" s="251">
        <v>76</v>
      </c>
      <c r="B587" s="251"/>
      <c r="C587" s="252"/>
      <c r="D587" s="253"/>
      <c r="E587" s="253"/>
      <c r="F587" s="255"/>
      <c r="G587" s="251"/>
      <c r="H587" s="159" t="s">
        <v>76</v>
      </c>
      <c r="I587" s="158">
        <v>42830.85</v>
      </c>
      <c r="J587" s="158">
        <f>I587/D585</f>
        <v>44.43</v>
      </c>
      <c r="K587" s="158">
        <v>99</v>
      </c>
      <c r="L587" s="7"/>
      <c r="M587" s="7"/>
      <c r="N587" s="7"/>
      <c r="O587" s="7"/>
      <c r="P587" s="7"/>
      <c r="Q587" s="7"/>
      <c r="R587" s="7"/>
      <c r="S587" s="7"/>
      <c r="T587" s="7"/>
      <c r="U587" s="7"/>
      <c r="V587" s="7"/>
      <c r="W587" s="7"/>
    </row>
    <row r="588" spans="1:23" x14ac:dyDescent="0.35">
      <c r="A588" s="251">
        <f>A585+1</f>
        <v>63</v>
      </c>
      <c r="B588" s="251">
        <v>1858</v>
      </c>
      <c r="C588" s="252" t="s">
        <v>331</v>
      </c>
      <c r="D588" s="253">
        <v>3498.4</v>
      </c>
      <c r="E588" s="253" t="s">
        <v>75</v>
      </c>
      <c r="F588" s="255">
        <v>5</v>
      </c>
      <c r="G588" s="251" t="s">
        <v>72</v>
      </c>
      <c r="H588" s="159" t="s">
        <v>73</v>
      </c>
      <c r="I588" s="158">
        <f>I589+I590</f>
        <v>3151244.99</v>
      </c>
      <c r="J588" s="158">
        <f>J589+J590</f>
        <v>900.77</v>
      </c>
      <c r="K588" s="158">
        <f>K589+K590</f>
        <v>2936</v>
      </c>
      <c r="L588" s="7"/>
      <c r="M588" s="7"/>
      <c r="N588" s="7"/>
      <c r="O588" s="7"/>
      <c r="P588" s="7"/>
      <c r="Q588" s="7"/>
      <c r="R588" s="7"/>
      <c r="S588" s="7"/>
      <c r="T588" s="7"/>
      <c r="U588" s="7"/>
      <c r="V588" s="7"/>
      <c r="W588" s="7"/>
    </row>
    <row r="589" spans="1:23" ht="46.5" x14ac:dyDescent="0.35">
      <c r="A589" s="251">
        <v>75</v>
      </c>
      <c r="B589" s="251"/>
      <c r="C589" s="252"/>
      <c r="D589" s="253"/>
      <c r="E589" s="253"/>
      <c r="F589" s="255"/>
      <c r="G589" s="251"/>
      <c r="H589" s="159" t="s">
        <v>705</v>
      </c>
      <c r="I589" s="158">
        <f>196496.35+D588*13</f>
        <v>241975.55</v>
      </c>
      <c r="J589" s="158">
        <f>I589/D588</f>
        <v>69.17</v>
      </c>
      <c r="K589" s="158">
        <f>151+13</f>
        <v>164</v>
      </c>
      <c r="L589" s="7"/>
      <c r="M589" s="7"/>
      <c r="N589" s="7"/>
      <c r="O589" s="7"/>
      <c r="P589" s="7"/>
      <c r="Q589" s="7"/>
      <c r="R589" s="7"/>
      <c r="S589" s="7"/>
      <c r="T589" s="7"/>
      <c r="U589" s="7"/>
      <c r="V589" s="7"/>
      <c r="W589" s="7"/>
    </row>
    <row r="590" spans="1:23" x14ac:dyDescent="0.35">
      <c r="A590" s="251">
        <v>77</v>
      </c>
      <c r="B590" s="251"/>
      <c r="C590" s="252"/>
      <c r="D590" s="253"/>
      <c r="E590" s="253"/>
      <c r="F590" s="255"/>
      <c r="G590" s="251"/>
      <c r="H590" s="159" t="s">
        <v>74</v>
      </c>
      <c r="I590" s="158">
        <f>K590*D588*0.3</f>
        <v>2909269.44</v>
      </c>
      <c r="J590" s="158">
        <f>I590/D588</f>
        <v>831.6</v>
      </c>
      <c r="K590" s="158">
        <v>2772</v>
      </c>
      <c r="L590" s="7"/>
      <c r="M590" s="7"/>
      <c r="N590" s="7"/>
      <c r="O590" s="7"/>
      <c r="P590" s="7"/>
      <c r="Q590" s="7"/>
      <c r="R590" s="7"/>
      <c r="S590" s="7"/>
      <c r="T590" s="7"/>
      <c r="U590" s="7"/>
      <c r="V590" s="7"/>
      <c r="W590" s="7"/>
    </row>
    <row r="591" spans="1:23" ht="15.75" customHeight="1" x14ac:dyDescent="0.35">
      <c r="A591" s="251">
        <f>A588+1</f>
        <v>64</v>
      </c>
      <c r="B591" s="251">
        <v>1725</v>
      </c>
      <c r="C591" s="252" t="s">
        <v>332</v>
      </c>
      <c r="D591" s="253">
        <v>299.2</v>
      </c>
      <c r="E591" s="253" t="s">
        <v>665</v>
      </c>
      <c r="F591" s="255">
        <v>2</v>
      </c>
      <c r="G591" s="251" t="s">
        <v>72</v>
      </c>
      <c r="H591" s="159" t="s">
        <v>73</v>
      </c>
      <c r="I591" s="158">
        <f>I592+I593</f>
        <v>661601.71</v>
      </c>
      <c r="J591" s="158">
        <f>J592+J593</f>
        <v>2211.2399999999998</v>
      </c>
      <c r="K591" s="158">
        <f>K592+K593</f>
        <v>7096</v>
      </c>
      <c r="L591" s="7"/>
      <c r="M591" s="7"/>
      <c r="N591" s="7"/>
      <c r="O591" s="7"/>
      <c r="P591" s="7"/>
      <c r="Q591" s="7"/>
      <c r="R591" s="7"/>
      <c r="S591" s="7"/>
      <c r="T591" s="7"/>
      <c r="U591" s="7"/>
      <c r="V591" s="7"/>
      <c r="W591" s="7"/>
    </row>
    <row r="592" spans="1:23" ht="46.5" x14ac:dyDescent="0.35">
      <c r="A592" s="251">
        <v>75</v>
      </c>
      <c r="B592" s="251"/>
      <c r="C592" s="252"/>
      <c r="D592" s="253"/>
      <c r="E592" s="253"/>
      <c r="F592" s="255"/>
      <c r="G592" s="251"/>
      <c r="H592" s="159" t="s">
        <v>705</v>
      </c>
      <c r="I592" s="158">
        <v>43746.83</v>
      </c>
      <c r="J592" s="158">
        <f>I592/D591</f>
        <v>146.21</v>
      </c>
      <c r="K592" s="158">
        <f>164+14</f>
        <v>178</v>
      </c>
      <c r="L592" s="7"/>
      <c r="M592" s="7"/>
      <c r="N592" s="7"/>
      <c r="O592" s="7"/>
      <c r="P592" s="7"/>
      <c r="Q592" s="7"/>
      <c r="R592" s="7"/>
      <c r="S592" s="7"/>
      <c r="T592" s="7"/>
      <c r="U592" s="7"/>
      <c r="V592" s="7"/>
      <c r="W592" s="7"/>
    </row>
    <row r="593" spans="1:23" x14ac:dyDescent="0.35">
      <c r="A593" s="251">
        <v>77</v>
      </c>
      <c r="B593" s="251"/>
      <c r="C593" s="252"/>
      <c r="D593" s="253"/>
      <c r="E593" s="253"/>
      <c r="F593" s="255"/>
      <c r="G593" s="251"/>
      <c r="H593" s="159" t="s">
        <v>74</v>
      </c>
      <c r="I593" s="158">
        <f>2059516.27*0.3</f>
        <v>617854.88</v>
      </c>
      <c r="J593" s="158">
        <f>I593/D591+0.01</f>
        <v>2065.0300000000002</v>
      </c>
      <c r="K593" s="158">
        <v>6918</v>
      </c>
      <c r="L593" s="7"/>
      <c r="M593" s="7"/>
      <c r="N593" s="7"/>
      <c r="O593" s="7"/>
      <c r="P593" s="7"/>
      <c r="Q593" s="7"/>
      <c r="R593" s="7"/>
      <c r="S593" s="7"/>
      <c r="T593" s="7"/>
      <c r="U593" s="7"/>
      <c r="V593" s="7"/>
      <c r="W593" s="7"/>
    </row>
    <row r="594" spans="1:23" ht="15.75" customHeight="1" x14ac:dyDescent="0.35">
      <c r="A594" s="251">
        <f>A591+1</f>
        <v>65</v>
      </c>
      <c r="B594" s="251">
        <v>1557</v>
      </c>
      <c r="C594" s="252" t="s">
        <v>333</v>
      </c>
      <c r="D594" s="253">
        <v>2582.4</v>
      </c>
      <c r="E594" s="253" t="s">
        <v>71</v>
      </c>
      <c r="F594" s="255">
        <v>5</v>
      </c>
      <c r="G594" s="251" t="s">
        <v>84</v>
      </c>
      <c r="H594" s="159" t="s">
        <v>73</v>
      </c>
      <c r="I594" s="158">
        <f>I595+I596</f>
        <v>474541.47</v>
      </c>
      <c r="J594" s="158">
        <f>J595+J596</f>
        <v>183.76</v>
      </c>
      <c r="K594" s="158">
        <f>K595+K596</f>
        <v>277</v>
      </c>
      <c r="L594" s="7"/>
      <c r="M594" s="7"/>
      <c r="N594" s="7"/>
      <c r="O594" s="7"/>
      <c r="P594" s="7"/>
      <c r="Q594" s="7"/>
      <c r="R594" s="7"/>
      <c r="S594" s="7"/>
      <c r="T594" s="7"/>
      <c r="U594" s="7"/>
      <c r="V594" s="7"/>
      <c r="W594" s="7"/>
    </row>
    <row r="595" spans="1:23" x14ac:dyDescent="0.35">
      <c r="A595" s="251"/>
      <c r="B595" s="251"/>
      <c r="C595" s="252"/>
      <c r="D595" s="253"/>
      <c r="E595" s="253"/>
      <c r="F595" s="255"/>
      <c r="G595" s="251"/>
      <c r="H595" s="159" t="s">
        <v>74</v>
      </c>
      <c r="I595" s="158">
        <v>471398.37</v>
      </c>
      <c r="J595" s="158">
        <f>I595/D594</f>
        <v>182.54</v>
      </c>
      <c r="K595" s="158">
        <v>271</v>
      </c>
      <c r="L595" s="7"/>
      <c r="M595" s="7"/>
      <c r="N595" s="7"/>
      <c r="O595" s="7"/>
      <c r="P595" s="7"/>
      <c r="Q595" s="7"/>
      <c r="R595" s="7"/>
      <c r="S595" s="7"/>
      <c r="T595" s="7"/>
      <c r="U595" s="7"/>
      <c r="V595" s="7"/>
      <c r="W595" s="7"/>
    </row>
    <row r="596" spans="1:23" x14ac:dyDescent="0.35">
      <c r="A596" s="251"/>
      <c r="B596" s="251"/>
      <c r="C596" s="252"/>
      <c r="D596" s="253"/>
      <c r="E596" s="253"/>
      <c r="F596" s="255"/>
      <c r="G596" s="251"/>
      <c r="H596" s="159" t="s">
        <v>76</v>
      </c>
      <c r="I596" s="158">
        <v>3143.1</v>
      </c>
      <c r="J596" s="158">
        <f>I596/D594</f>
        <v>1.22</v>
      </c>
      <c r="K596" s="158">
        <v>6</v>
      </c>
      <c r="L596" s="7"/>
      <c r="M596" s="7"/>
      <c r="N596" s="7"/>
      <c r="O596" s="7"/>
      <c r="P596" s="7"/>
      <c r="Q596" s="7"/>
      <c r="R596" s="7"/>
      <c r="S596" s="7"/>
      <c r="T596" s="7"/>
      <c r="U596" s="7"/>
      <c r="V596" s="7"/>
      <c r="W596" s="7"/>
    </row>
    <row r="597" spans="1:23" ht="15.75" customHeight="1" x14ac:dyDescent="0.35">
      <c r="A597" s="256">
        <f>A594+1</f>
        <v>66</v>
      </c>
      <c r="B597" s="256">
        <v>1367</v>
      </c>
      <c r="C597" s="259" t="s">
        <v>334</v>
      </c>
      <c r="D597" s="262">
        <v>12279.6</v>
      </c>
      <c r="E597" s="262" t="s">
        <v>71</v>
      </c>
      <c r="F597" s="265">
        <v>9</v>
      </c>
      <c r="G597" s="256" t="s">
        <v>77</v>
      </c>
      <c r="H597" s="159" t="s">
        <v>73</v>
      </c>
      <c r="I597" s="158">
        <f>I598+I599+I600+I601+I602+I603</f>
        <v>7736167</v>
      </c>
      <c r="J597" s="158">
        <f>J598+J599+J600+J601+J602+J603</f>
        <v>630</v>
      </c>
      <c r="K597" s="158">
        <f>K598+K599+K600+K601+K602+K603</f>
        <v>2224</v>
      </c>
      <c r="L597" s="7"/>
      <c r="M597" s="7"/>
      <c r="N597" s="7"/>
      <c r="O597" s="7"/>
      <c r="P597" s="7"/>
      <c r="Q597" s="7"/>
      <c r="R597" s="7"/>
      <c r="S597" s="7"/>
      <c r="T597" s="7"/>
      <c r="U597" s="7"/>
      <c r="V597" s="7"/>
      <c r="W597" s="7"/>
    </row>
    <row r="598" spans="1:23" ht="31" x14ac:dyDescent="0.35">
      <c r="A598" s="257"/>
      <c r="B598" s="257"/>
      <c r="C598" s="260"/>
      <c r="D598" s="263"/>
      <c r="E598" s="263"/>
      <c r="F598" s="266"/>
      <c r="G598" s="257"/>
      <c r="H598" s="159" t="s">
        <v>666</v>
      </c>
      <c r="I598" s="158">
        <v>321351.18</v>
      </c>
      <c r="J598" s="158">
        <f>I598/D597</f>
        <v>26.17</v>
      </c>
      <c r="K598" s="158">
        <f>50+4</f>
        <v>54</v>
      </c>
      <c r="L598" s="7"/>
      <c r="M598" s="7"/>
      <c r="N598" s="7"/>
      <c r="O598" s="7"/>
      <c r="P598" s="7"/>
      <c r="Q598" s="7"/>
      <c r="R598" s="7"/>
      <c r="S598" s="7"/>
      <c r="T598" s="7"/>
      <c r="U598" s="7"/>
      <c r="V598" s="7"/>
      <c r="W598" s="7"/>
    </row>
    <row r="599" spans="1:23" x14ac:dyDescent="0.35">
      <c r="A599" s="257"/>
      <c r="B599" s="257"/>
      <c r="C599" s="260"/>
      <c r="D599" s="263"/>
      <c r="E599" s="263"/>
      <c r="F599" s="266"/>
      <c r="G599" s="258"/>
      <c r="H599" s="159" t="s">
        <v>74</v>
      </c>
      <c r="I599" s="158">
        <f>15472296*0.3</f>
        <v>4641688.8</v>
      </c>
      <c r="J599" s="158">
        <f>I599/D597</f>
        <v>378</v>
      </c>
      <c r="K599" s="158">
        <v>1260</v>
      </c>
      <c r="L599" s="7"/>
      <c r="M599" s="7"/>
      <c r="N599" s="7"/>
      <c r="O599" s="7"/>
      <c r="P599" s="7"/>
      <c r="Q599" s="7"/>
      <c r="R599" s="7"/>
      <c r="S599" s="7"/>
      <c r="T599" s="7"/>
      <c r="U599" s="7"/>
      <c r="V599" s="7"/>
      <c r="W599" s="7"/>
    </row>
    <row r="600" spans="1:23" ht="31.5" customHeight="1" x14ac:dyDescent="0.35">
      <c r="A600" s="257"/>
      <c r="B600" s="257"/>
      <c r="C600" s="260"/>
      <c r="D600" s="263"/>
      <c r="E600" s="263"/>
      <c r="F600" s="266"/>
      <c r="G600" s="256" t="s">
        <v>78</v>
      </c>
      <c r="H600" s="159" t="s">
        <v>666</v>
      </c>
      <c r="I600" s="158">
        <v>163311.12</v>
      </c>
      <c r="J600" s="158">
        <f>I600/D597</f>
        <v>13.3</v>
      </c>
      <c r="K600" s="158">
        <f>19+2</f>
        <v>21</v>
      </c>
      <c r="L600" s="7"/>
      <c r="M600" s="7"/>
      <c r="N600" s="7"/>
      <c r="O600" s="7"/>
      <c r="P600" s="7"/>
      <c r="Q600" s="7"/>
      <c r="R600" s="7"/>
      <c r="S600" s="7"/>
      <c r="T600" s="7"/>
      <c r="U600" s="7"/>
      <c r="V600" s="7"/>
      <c r="W600" s="7"/>
    </row>
    <row r="601" spans="1:23" x14ac:dyDescent="0.35">
      <c r="A601" s="257"/>
      <c r="B601" s="257"/>
      <c r="C601" s="260"/>
      <c r="D601" s="263"/>
      <c r="E601" s="263"/>
      <c r="F601" s="266"/>
      <c r="G601" s="258"/>
      <c r="H601" s="159" t="s">
        <v>74</v>
      </c>
      <c r="I601" s="158">
        <f>3283353.4*0.3</f>
        <v>985006.02</v>
      </c>
      <c r="J601" s="158">
        <f>I601/D597</f>
        <v>80.209999999999994</v>
      </c>
      <c r="K601" s="158">
        <v>463</v>
      </c>
      <c r="L601" s="7"/>
      <c r="M601" s="7"/>
      <c r="N601" s="7"/>
      <c r="O601" s="7"/>
      <c r="P601" s="7"/>
      <c r="Q601" s="7"/>
      <c r="R601" s="7"/>
      <c r="S601" s="7"/>
      <c r="T601" s="7"/>
      <c r="U601" s="7"/>
      <c r="V601" s="7"/>
      <c r="W601" s="7"/>
    </row>
    <row r="602" spans="1:23" ht="31.5" customHeight="1" x14ac:dyDescent="0.35">
      <c r="A602" s="257"/>
      <c r="B602" s="257"/>
      <c r="C602" s="260"/>
      <c r="D602" s="263"/>
      <c r="E602" s="263"/>
      <c r="F602" s="266"/>
      <c r="G602" s="256" t="s">
        <v>79</v>
      </c>
      <c r="H602" s="159" t="s">
        <v>666</v>
      </c>
      <c r="I602" s="158">
        <v>118102.96</v>
      </c>
      <c r="J602" s="158">
        <f>I602/D597</f>
        <v>9.6199999999999992</v>
      </c>
      <c r="K602" s="158">
        <f>16+1</f>
        <v>17</v>
      </c>
      <c r="L602" s="7"/>
      <c r="M602" s="7"/>
      <c r="N602" s="7"/>
      <c r="O602" s="7"/>
      <c r="P602" s="7"/>
      <c r="Q602" s="7"/>
      <c r="R602" s="7"/>
      <c r="S602" s="7"/>
      <c r="T602" s="7"/>
      <c r="U602" s="7"/>
      <c r="V602" s="7"/>
      <c r="W602" s="7"/>
    </row>
    <row r="603" spans="1:23" x14ac:dyDescent="0.35">
      <c r="A603" s="258"/>
      <c r="B603" s="258"/>
      <c r="C603" s="261"/>
      <c r="D603" s="264"/>
      <c r="E603" s="264"/>
      <c r="F603" s="267"/>
      <c r="G603" s="258"/>
      <c r="H603" s="159" t="s">
        <v>74</v>
      </c>
      <c r="I603" s="158">
        <f>5022356.4*0.3</f>
        <v>1506706.92</v>
      </c>
      <c r="J603" s="158">
        <f>I603/D597</f>
        <v>122.7</v>
      </c>
      <c r="K603" s="158">
        <v>409</v>
      </c>
      <c r="L603" s="7"/>
      <c r="M603" s="7"/>
      <c r="N603" s="7"/>
      <c r="O603" s="7"/>
      <c r="P603" s="7"/>
      <c r="Q603" s="7"/>
      <c r="R603" s="7"/>
      <c r="S603" s="7"/>
      <c r="T603" s="7"/>
      <c r="U603" s="7"/>
      <c r="V603" s="7"/>
      <c r="W603" s="7"/>
    </row>
    <row r="604" spans="1:23" ht="15.75" customHeight="1" x14ac:dyDescent="0.35">
      <c r="A604" s="251">
        <f>A597+1</f>
        <v>67</v>
      </c>
      <c r="B604" s="251">
        <v>1456</v>
      </c>
      <c r="C604" s="252" t="s">
        <v>335</v>
      </c>
      <c r="D604" s="253">
        <v>5088.2</v>
      </c>
      <c r="E604" s="253" t="s">
        <v>75</v>
      </c>
      <c r="F604" s="255">
        <v>14</v>
      </c>
      <c r="G604" s="123"/>
      <c r="H604" s="159" t="s">
        <v>73</v>
      </c>
      <c r="I604" s="158">
        <f>I605+I606+I607+I608+I609+I610</f>
        <v>5352255</v>
      </c>
      <c r="J604" s="158">
        <f>J605+J606+J607+J608+J609+J610</f>
        <v>1051.9000000000001</v>
      </c>
      <c r="K604" s="158">
        <f>K605+K606+K607+K608+K609+K610</f>
        <v>1061.56</v>
      </c>
      <c r="L604" s="7"/>
      <c r="M604" s="7"/>
      <c r="N604" s="7"/>
      <c r="O604" s="7"/>
      <c r="P604" s="7"/>
      <c r="Q604" s="7"/>
      <c r="R604" s="7"/>
      <c r="S604" s="7"/>
      <c r="T604" s="7"/>
      <c r="U604" s="7"/>
      <c r="V604" s="7"/>
      <c r="W604" s="7"/>
    </row>
    <row r="605" spans="1:23" ht="31" x14ac:dyDescent="0.35">
      <c r="A605" s="251"/>
      <c r="B605" s="251"/>
      <c r="C605" s="252"/>
      <c r="D605" s="253"/>
      <c r="E605" s="253"/>
      <c r="F605" s="255"/>
      <c r="G605" s="256" t="s">
        <v>673</v>
      </c>
      <c r="H605" s="159" t="s">
        <v>666</v>
      </c>
      <c r="I605" s="158">
        <v>0</v>
      </c>
      <c r="J605" s="158">
        <v>0</v>
      </c>
      <c r="K605" s="158">
        <f>24580/D604</f>
        <v>4.83</v>
      </c>
      <c r="L605" s="7"/>
      <c r="M605" s="7"/>
      <c r="N605" s="7"/>
      <c r="O605" s="7"/>
      <c r="P605" s="7"/>
      <c r="Q605" s="7"/>
      <c r="R605" s="7"/>
      <c r="S605" s="7"/>
      <c r="T605" s="7"/>
      <c r="U605" s="7"/>
      <c r="V605" s="7"/>
      <c r="W605" s="7"/>
    </row>
    <row r="606" spans="1:23" x14ac:dyDescent="0.35">
      <c r="A606" s="251">
        <v>756</v>
      </c>
      <c r="B606" s="251"/>
      <c r="C606" s="252"/>
      <c r="D606" s="253"/>
      <c r="E606" s="253"/>
      <c r="F606" s="255"/>
      <c r="G606" s="257"/>
      <c r="H606" s="159" t="s">
        <v>674</v>
      </c>
      <c r="I606" s="158">
        <v>2329716</v>
      </c>
      <c r="J606" s="158">
        <f>I606/D604</f>
        <v>457.87</v>
      </c>
      <c r="K606" s="158">
        <f>2329716/D604</f>
        <v>457.87</v>
      </c>
      <c r="L606" s="7"/>
      <c r="M606" s="7"/>
      <c r="N606" s="7"/>
      <c r="O606" s="7"/>
      <c r="P606" s="7"/>
      <c r="Q606" s="7"/>
      <c r="R606" s="7"/>
      <c r="S606" s="7"/>
      <c r="T606" s="7"/>
      <c r="U606" s="7"/>
      <c r="V606" s="7"/>
      <c r="W606" s="7"/>
    </row>
    <row r="607" spans="1:23" x14ac:dyDescent="0.35">
      <c r="A607" s="251">
        <v>757</v>
      </c>
      <c r="B607" s="251"/>
      <c r="C607" s="252"/>
      <c r="D607" s="253"/>
      <c r="E607" s="253"/>
      <c r="F607" s="255"/>
      <c r="G607" s="258"/>
      <c r="H607" s="159" t="s">
        <v>76</v>
      </c>
      <c r="I607" s="158">
        <v>49856</v>
      </c>
      <c r="J607" s="158">
        <f>I607/D604</f>
        <v>9.8000000000000007</v>
      </c>
      <c r="K607" s="158">
        <f>49856/D604</f>
        <v>9.8000000000000007</v>
      </c>
      <c r="L607" s="7"/>
      <c r="M607" s="7"/>
      <c r="N607" s="7"/>
      <c r="O607" s="7"/>
      <c r="P607" s="7"/>
      <c r="Q607" s="7"/>
      <c r="R607" s="7"/>
      <c r="S607" s="7"/>
      <c r="T607" s="7"/>
      <c r="U607" s="7"/>
      <c r="V607" s="7"/>
      <c r="W607" s="7"/>
    </row>
    <row r="608" spans="1:23" ht="31" x14ac:dyDescent="0.35">
      <c r="A608" s="251"/>
      <c r="B608" s="251"/>
      <c r="C608" s="252"/>
      <c r="D608" s="253"/>
      <c r="E608" s="253"/>
      <c r="F608" s="255"/>
      <c r="G608" s="256" t="s">
        <v>679</v>
      </c>
      <c r="H608" s="159" t="s">
        <v>666</v>
      </c>
      <c r="I608" s="158">
        <v>0</v>
      </c>
      <c r="J608" s="158">
        <v>0</v>
      </c>
      <c r="K608" s="158">
        <f>24580/D604</f>
        <v>4.83</v>
      </c>
      <c r="L608" s="7"/>
      <c r="M608" s="7"/>
      <c r="N608" s="7"/>
      <c r="O608" s="7"/>
      <c r="P608" s="7"/>
      <c r="Q608" s="7"/>
      <c r="R608" s="7"/>
      <c r="S608" s="7"/>
      <c r="T608" s="7"/>
      <c r="U608" s="7"/>
      <c r="V608" s="7"/>
      <c r="W608" s="7"/>
    </row>
    <row r="609" spans="1:23" x14ac:dyDescent="0.35">
      <c r="A609" s="251"/>
      <c r="B609" s="251"/>
      <c r="C609" s="252"/>
      <c r="D609" s="253"/>
      <c r="E609" s="253"/>
      <c r="F609" s="255"/>
      <c r="G609" s="257"/>
      <c r="H609" s="159" t="s">
        <v>674</v>
      </c>
      <c r="I609" s="158">
        <v>2910400</v>
      </c>
      <c r="J609" s="158">
        <f>I609/D604</f>
        <v>571.99</v>
      </c>
      <c r="K609" s="158">
        <f>2910400/D604</f>
        <v>571.99</v>
      </c>
      <c r="L609" s="7"/>
      <c r="M609" s="7"/>
      <c r="N609" s="7"/>
      <c r="O609" s="7"/>
      <c r="P609" s="7"/>
      <c r="Q609" s="7"/>
      <c r="R609" s="7"/>
      <c r="S609" s="7"/>
      <c r="T609" s="7"/>
      <c r="U609" s="7"/>
      <c r="V609" s="7"/>
      <c r="W609" s="7"/>
    </row>
    <row r="610" spans="1:23" x14ac:dyDescent="0.35">
      <c r="A610" s="251"/>
      <c r="B610" s="251"/>
      <c r="C610" s="252"/>
      <c r="D610" s="253"/>
      <c r="E610" s="253"/>
      <c r="F610" s="255"/>
      <c r="G610" s="258"/>
      <c r="H610" s="159" t="s">
        <v>76</v>
      </c>
      <c r="I610" s="158">
        <v>62283</v>
      </c>
      <c r="J610" s="158">
        <f>I610/D604</f>
        <v>12.24</v>
      </c>
      <c r="K610" s="158">
        <f>62283/D604</f>
        <v>12.24</v>
      </c>
      <c r="L610" s="7"/>
      <c r="M610" s="7"/>
      <c r="N610" s="7"/>
      <c r="O610" s="7"/>
      <c r="P610" s="7"/>
      <c r="Q610" s="7"/>
      <c r="R610" s="7"/>
      <c r="S610" s="7"/>
      <c r="T610" s="7"/>
      <c r="U610" s="7"/>
      <c r="V610" s="7"/>
      <c r="W610" s="7"/>
    </row>
    <row r="611" spans="1:23" ht="15.75" customHeight="1" x14ac:dyDescent="0.35">
      <c r="A611" s="251">
        <f>A604+1</f>
        <v>68</v>
      </c>
      <c r="B611" s="251">
        <v>1370</v>
      </c>
      <c r="C611" s="252" t="s">
        <v>336</v>
      </c>
      <c r="D611" s="253">
        <v>4201.3999999999996</v>
      </c>
      <c r="E611" s="253" t="s">
        <v>75</v>
      </c>
      <c r="F611" s="255">
        <v>5</v>
      </c>
      <c r="G611" s="251" t="s">
        <v>87</v>
      </c>
      <c r="H611" s="159" t="s">
        <v>73</v>
      </c>
      <c r="I611" s="158">
        <f>I612+I613</f>
        <v>704160.23</v>
      </c>
      <c r="J611" s="158">
        <f>J612+J613</f>
        <v>167.6</v>
      </c>
      <c r="K611" s="158">
        <f>K612+K613</f>
        <v>609</v>
      </c>
      <c r="L611" s="7"/>
      <c r="M611" s="7"/>
      <c r="N611" s="7"/>
      <c r="O611" s="7"/>
      <c r="P611" s="7"/>
      <c r="Q611" s="7"/>
      <c r="R611" s="7"/>
      <c r="S611" s="7"/>
      <c r="T611" s="7"/>
      <c r="U611" s="7"/>
      <c r="V611" s="7"/>
      <c r="W611" s="7"/>
    </row>
    <row r="612" spans="1:23" ht="31" x14ac:dyDescent="0.35">
      <c r="A612" s="251">
        <v>75</v>
      </c>
      <c r="B612" s="251"/>
      <c r="C612" s="252"/>
      <c r="D612" s="253"/>
      <c r="E612" s="253"/>
      <c r="F612" s="255"/>
      <c r="G612" s="251"/>
      <c r="H612" s="159" t="s">
        <v>666</v>
      </c>
      <c r="I612" s="158">
        <f>96632.19+D611*2</f>
        <v>105034.99</v>
      </c>
      <c r="J612" s="158">
        <f>I612/D611</f>
        <v>25</v>
      </c>
      <c r="K612" s="158">
        <f>23+2</f>
        <v>25</v>
      </c>
      <c r="L612" s="7"/>
      <c r="M612" s="7"/>
      <c r="N612" s="7"/>
      <c r="O612" s="7"/>
      <c r="P612" s="7"/>
      <c r="Q612" s="7"/>
      <c r="R612" s="7"/>
      <c r="S612" s="7"/>
      <c r="T612" s="7"/>
      <c r="U612" s="7"/>
      <c r="V612" s="7"/>
      <c r="W612" s="7"/>
    </row>
    <row r="613" spans="1:23" x14ac:dyDescent="0.35">
      <c r="A613" s="251">
        <v>77</v>
      </c>
      <c r="B613" s="251"/>
      <c r="C613" s="252"/>
      <c r="D613" s="253"/>
      <c r="E613" s="253"/>
      <c r="F613" s="255"/>
      <c r="G613" s="251"/>
      <c r="H613" s="159" t="s">
        <v>74</v>
      </c>
      <c r="I613" s="158">
        <f>1997084.13*0.3</f>
        <v>599125.24</v>
      </c>
      <c r="J613" s="158">
        <f>I613/D611</f>
        <v>142.6</v>
      </c>
      <c r="K613" s="158">
        <v>584</v>
      </c>
      <c r="L613" s="7"/>
      <c r="M613" s="7"/>
      <c r="N613" s="7"/>
      <c r="O613" s="7"/>
      <c r="P613" s="7"/>
      <c r="Q613" s="7"/>
      <c r="R613" s="7"/>
      <c r="S613" s="7"/>
      <c r="T613" s="7"/>
      <c r="U613" s="7"/>
      <c r="V613" s="7"/>
      <c r="W613" s="7"/>
    </row>
    <row r="614" spans="1:23" ht="15.75" customHeight="1" x14ac:dyDescent="0.35">
      <c r="A614" s="251">
        <f>A611+1</f>
        <v>69</v>
      </c>
      <c r="B614" s="251">
        <v>1445</v>
      </c>
      <c r="C614" s="252" t="s">
        <v>337</v>
      </c>
      <c r="D614" s="253">
        <v>1372.4</v>
      </c>
      <c r="E614" s="253" t="s">
        <v>75</v>
      </c>
      <c r="F614" s="255">
        <v>6</v>
      </c>
      <c r="G614" s="251" t="s">
        <v>72</v>
      </c>
      <c r="H614" s="159" t="s">
        <v>73</v>
      </c>
      <c r="I614" s="158">
        <f>I615</f>
        <v>223790.41</v>
      </c>
      <c r="J614" s="158">
        <f>J615</f>
        <v>163.07</v>
      </c>
      <c r="K614" s="158">
        <f>K615</f>
        <v>164</v>
      </c>
      <c r="L614" s="7"/>
      <c r="M614" s="7"/>
      <c r="N614" s="7"/>
      <c r="O614" s="7"/>
      <c r="P614" s="7"/>
      <c r="Q614" s="7"/>
      <c r="R614" s="7"/>
      <c r="S614" s="7"/>
      <c r="T614" s="7"/>
      <c r="U614" s="7"/>
      <c r="V614" s="7"/>
      <c r="W614" s="7"/>
    </row>
    <row r="615" spans="1:23" ht="46.5" x14ac:dyDescent="0.35">
      <c r="A615" s="251">
        <v>75</v>
      </c>
      <c r="B615" s="251"/>
      <c r="C615" s="252"/>
      <c r="D615" s="253"/>
      <c r="E615" s="253"/>
      <c r="F615" s="255"/>
      <c r="G615" s="251"/>
      <c r="H615" s="159" t="s">
        <v>705</v>
      </c>
      <c r="I615" s="158">
        <f>205949.21+D614*13</f>
        <v>223790.41</v>
      </c>
      <c r="J615" s="158">
        <f>I615/D614</f>
        <v>163.07</v>
      </c>
      <c r="K615" s="158">
        <f>151+13</f>
        <v>164</v>
      </c>
      <c r="L615" s="7"/>
      <c r="M615" s="7"/>
      <c r="N615" s="7"/>
      <c r="O615" s="7"/>
      <c r="P615" s="7"/>
      <c r="Q615" s="7"/>
      <c r="R615" s="7"/>
      <c r="S615" s="7"/>
      <c r="T615" s="7"/>
      <c r="U615" s="7"/>
      <c r="V615" s="7"/>
      <c r="W615" s="7"/>
    </row>
    <row r="616" spans="1:23" ht="15.75" customHeight="1" x14ac:dyDescent="0.35">
      <c r="A616" s="251">
        <f>A614+1</f>
        <v>70</v>
      </c>
      <c r="B616" s="251">
        <v>1371</v>
      </c>
      <c r="C616" s="252" t="s">
        <v>338</v>
      </c>
      <c r="D616" s="253">
        <v>3039.3</v>
      </c>
      <c r="E616" s="253" t="s">
        <v>75</v>
      </c>
      <c r="F616" s="255">
        <v>5</v>
      </c>
      <c r="G616" s="251" t="s">
        <v>72</v>
      </c>
      <c r="H616" s="159" t="s">
        <v>73</v>
      </c>
      <c r="I616" s="158">
        <f>I617+I618</f>
        <v>6223360.8300000001</v>
      </c>
      <c r="J616" s="158">
        <f>J617+J618</f>
        <v>2047.63</v>
      </c>
      <c r="K616" s="158">
        <f>K617+K618</f>
        <v>2831</v>
      </c>
      <c r="L616" s="7"/>
      <c r="M616" s="7"/>
      <c r="N616" s="7"/>
      <c r="O616" s="7"/>
      <c r="P616" s="7"/>
      <c r="Q616" s="7"/>
      <c r="R616" s="7"/>
      <c r="S616" s="7"/>
      <c r="T616" s="7"/>
      <c r="U616" s="7"/>
      <c r="V616" s="7"/>
      <c r="W616" s="7"/>
    </row>
    <row r="617" spans="1:23" x14ac:dyDescent="0.35">
      <c r="A617" s="251">
        <v>75</v>
      </c>
      <c r="B617" s="251"/>
      <c r="C617" s="252"/>
      <c r="D617" s="253"/>
      <c r="E617" s="253"/>
      <c r="F617" s="255"/>
      <c r="G617" s="251"/>
      <c r="H617" s="159" t="s">
        <v>74</v>
      </c>
      <c r="I617" s="158">
        <v>6129065.1600000001</v>
      </c>
      <c r="J617" s="158">
        <f>I617/D616</f>
        <v>2016.6</v>
      </c>
      <c r="K617" s="158">
        <v>2772</v>
      </c>
      <c r="L617" s="7"/>
      <c r="M617" s="7"/>
      <c r="N617" s="7"/>
      <c r="O617" s="7"/>
      <c r="P617" s="7"/>
      <c r="Q617" s="7"/>
      <c r="R617" s="7"/>
      <c r="S617" s="7"/>
      <c r="T617" s="7"/>
      <c r="U617" s="7"/>
      <c r="V617" s="7"/>
      <c r="W617" s="7"/>
    </row>
    <row r="618" spans="1:23" x14ac:dyDescent="0.35">
      <c r="A618" s="251">
        <v>76</v>
      </c>
      <c r="B618" s="251"/>
      <c r="C618" s="252"/>
      <c r="D618" s="253"/>
      <c r="E618" s="253"/>
      <c r="F618" s="255"/>
      <c r="G618" s="251"/>
      <c r="H618" s="159" t="s">
        <v>76</v>
      </c>
      <c r="I618" s="158">
        <v>94295.67</v>
      </c>
      <c r="J618" s="158">
        <f>I618/D616</f>
        <v>31.03</v>
      </c>
      <c r="K618" s="158">
        <v>59</v>
      </c>
      <c r="L618" s="7"/>
      <c r="M618" s="7"/>
      <c r="N618" s="7"/>
      <c r="O618" s="7"/>
      <c r="P618" s="7"/>
      <c r="Q618" s="7"/>
      <c r="R618" s="7"/>
      <c r="S618" s="7"/>
      <c r="T618" s="7"/>
      <c r="U618" s="7"/>
      <c r="V618" s="7"/>
      <c r="W618" s="7"/>
    </row>
    <row r="619" spans="1:23" ht="15.75" customHeight="1" x14ac:dyDescent="0.35">
      <c r="A619" s="251">
        <f>A616+1</f>
        <v>71</v>
      </c>
      <c r="B619" s="251">
        <v>1372</v>
      </c>
      <c r="C619" s="252" t="s">
        <v>339</v>
      </c>
      <c r="D619" s="253">
        <v>2840.9</v>
      </c>
      <c r="E619" s="253" t="s">
        <v>75</v>
      </c>
      <c r="F619" s="255">
        <v>5</v>
      </c>
      <c r="G619" s="251" t="s">
        <v>72</v>
      </c>
      <c r="H619" s="159" t="s">
        <v>73</v>
      </c>
      <c r="I619" s="158">
        <f>I620+I621</f>
        <v>6264674.8200000003</v>
      </c>
      <c r="J619" s="158">
        <f>J620+J621</f>
        <v>2205.17</v>
      </c>
      <c r="K619" s="158">
        <f>K620+K621</f>
        <v>2831</v>
      </c>
      <c r="L619" s="7"/>
      <c r="M619" s="7"/>
      <c r="N619" s="7"/>
      <c r="O619" s="7"/>
      <c r="P619" s="7"/>
      <c r="Q619" s="7"/>
      <c r="R619" s="7"/>
      <c r="S619" s="7"/>
      <c r="T619" s="7"/>
      <c r="U619" s="7"/>
      <c r="V619" s="7"/>
      <c r="W619" s="7"/>
    </row>
    <row r="620" spans="1:23" x14ac:dyDescent="0.35">
      <c r="A620" s="251">
        <v>75</v>
      </c>
      <c r="B620" s="251"/>
      <c r="C620" s="252"/>
      <c r="D620" s="253"/>
      <c r="E620" s="253"/>
      <c r="F620" s="255"/>
      <c r="G620" s="251"/>
      <c r="H620" s="159" t="s">
        <v>74</v>
      </c>
      <c r="I620" s="158">
        <v>6169834.3399999999</v>
      </c>
      <c r="J620" s="158">
        <f>I620/D619</f>
        <v>2171.79</v>
      </c>
      <c r="K620" s="158">
        <v>2772</v>
      </c>
      <c r="L620" s="7"/>
      <c r="M620" s="7"/>
      <c r="N620" s="7"/>
      <c r="O620" s="7"/>
      <c r="P620" s="7"/>
      <c r="Q620" s="7"/>
      <c r="R620" s="7"/>
      <c r="S620" s="7"/>
      <c r="T620" s="7"/>
      <c r="U620" s="7"/>
      <c r="V620" s="7"/>
      <c r="W620" s="7"/>
    </row>
    <row r="621" spans="1:23" x14ac:dyDescent="0.35">
      <c r="A621" s="251">
        <v>76</v>
      </c>
      <c r="B621" s="251"/>
      <c r="C621" s="252"/>
      <c r="D621" s="253"/>
      <c r="E621" s="253"/>
      <c r="F621" s="255"/>
      <c r="G621" s="251"/>
      <c r="H621" s="159" t="s">
        <v>76</v>
      </c>
      <c r="I621" s="158">
        <v>94840.48</v>
      </c>
      <c r="J621" s="158">
        <f>I621/D619</f>
        <v>33.380000000000003</v>
      </c>
      <c r="K621" s="158">
        <v>59</v>
      </c>
      <c r="L621" s="7"/>
      <c r="M621" s="7"/>
      <c r="N621" s="7"/>
      <c r="O621" s="7"/>
      <c r="P621" s="7"/>
      <c r="Q621" s="7"/>
      <c r="R621" s="7"/>
      <c r="S621" s="7"/>
      <c r="T621" s="7"/>
      <c r="U621" s="7"/>
      <c r="V621" s="7"/>
      <c r="W621" s="7"/>
    </row>
    <row r="622" spans="1:23" ht="15.75" customHeight="1" x14ac:dyDescent="0.35">
      <c r="A622" s="251">
        <f>A619+1</f>
        <v>72</v>
      </c>
      <c r="B622" s="251">
        <v>1373</v>
      </c>
      <c r="C622" s="252" t="s">
        <v>340</v>
      </c>
      <c r="D622" s="253">
        <v>3533.5</v>
      </c>
      <c r="E622" s="253" t="s">
        <v>71</v>
      </c>
      <c r="F622" s="255">
        <v>5</v>
      </c>
      <c r="G622" s="251" t="s">
        <v>72</v>
      </c>
      <c r="H622" s="159" t="s">
        <v>73</v>
      </c>
      <c r="I622" s="158">
        <f>I623+I624</f>
        <v>4071328.37</v>
      </c>
      <c r="J622" s="158">
        <f>J623+J624</f>
        <v>1152.21</v>
      </c>
      <c r="K622" s="158">
        <f>K623+K624</f>
        <v>3523</v>
      </c>
      <c r="L622" s="7"/>
      <c r="M622" s="7"/>
      <c r="N622" s="7"/>
      <c r="O622" s="7"/>
      <c r="P622" s="7"/>
      <c r="Q622" s="7"/>
      <c r="R622" s="7"/>
      <c r="S622" s="7"/>
      <c r="T622" s="7"/>
      <c r="U622" s="7"/>
      <c r="V622" s="7"/>
      <c r="W622" s="7"/>
    </row>
    <row r="623" spans="1:23" ht="46.5" x14ac:dyDescent="0.35">
      <c r="A623" s="251"/>
      <c r="B623" s="251"/>
      <c r="C623" s="252"/>
      <c r="D623" s="253"/>
      <c r="E623" s="253"/>
      <c r="F623" s="255"/>
      <c r="G623" s="251"/>
      <c r="H623" s="159" t="s">
        <v>796</v>
      </c>
      <c r="I623" s="158">
        <v>491539.52</v>
      </c>
      <c r="J623" s="158">
        <f>I623/D622</f>
        <v>139.11000000000001</v>
      </c>
      <c r="K623" s="158">
        <f>135+11</f>
        <v>146</v>
      </c>
      <c r="L623" s="7"/>
      <c r="M623" s="7"/>
      <c r="N623" s="7"/>
      <c r="O623" s="7"/>
      <c r="P623" s="7"/>
      <c r="Q623" s="7"/>
      <c r="R623" s="7"/>
      <c r="S623" s="7"/>
      <c r="T623" s="7"/>
      <c r="U623" s="7"/>
      <c r="V623" s="7"/>
      <c r="W623" s="7"/>
    </row>
    <row r="624" spans="1:23" ht="31" x14ac:dyDescent="0.35">
      <c r="A624" s="251"/>
      <c r="B624" s="251"/>
      <c r="C624" s="252"/>
      <c r="D624" s="253"/>
      <c r="E624" s="253"/>
      <c r="F624" s="255"/>
      <c r="G624" s="251"/>
      <c r="H624" s="159" t="s">
        <v>86</v>
      </c>
      <c r="I624" s="158">
        <f>K624*D622*0.3</f>
        <v>3579788.85</v>
      </c>
      <c r="J624" s="158">
        <f>I624/D622</f>
        <v>1013.1</v>
      </c>
      <c r="K624" s="158">
        <v>3377</v>
      </c>
      <c r="L624" s="7"/>
      <c r="M624" s="7"/>
      <c r="N624" s="7"/>
      <c r="O624" s="7"/>
      <c r="P624" s="7"/>
      <c r="Q624" s="7"/>
      <c r="R624" s="7"/>
      <c r="S624" s="7"/>
      <c r="T624" s="7"/>
      <c r="U624" s="7"/>
      <c r="V624" s="7"/>
      <c r="W624" s="7"/>
    </row>
    <row r="625" spans="1:23" ht="15.75" customHeight="1" x14ac:dyDescent="0.35">
      <c r="A625" s="251">
        <f>A622+1</f>
        <v>73</v>
      </c>
      <c r="B625" s="251">
        <v>1376</v>
      </c>
      <c r="C625" s="252" t="s">
        <v>341</v>
      </c>
      <c r="D625" s="253">
        <v>2451.35</v>
      </c>
      <c r="E625" s="253" t="s">
        <v>71</v>
      </c>
      <c r="F625" s="255">
        <v>5</v>
      </c>
      <c r="G625" s="251" t="s">
        <v>72</v>
      </c>
      <c r="H625" s="159" t="s">
        <v>73</v>
      </c>
      <c r="I625" s="158">
        <f>I626+I627</f>
        <v>2715275.2</v>
      </c>
      <c r="J625" s="158">
        <f>J626+J627</f>
        <v>1107.67</v>
      </c>
      <c r="K625" s="158">
        <f>K626+K627</f>
        <v>3523</v>
      </c>
      <c r="L625" s="7"/>
      <c r="M625" s="7"/>
      <c r="N625" s="7"/>
      <c r="O625" s="7"/>
      <c r="P625" s="7"/>
      <c r="Q625" s="7"/>
      <c r="R625" s="7"/>
      <c r="S625" s="7"/>
      <c r="T625" s="7"/>
      <c r="U625" s="7"/>
      <c r="V625" s="7"/>
      <c r="W625" s="7"/>
    </row>
    <row r="626" spans="1:23" ht="46.5" x14ac:dyDescent="0.35">
      <c r="A626" s="251">
        <v>75</v>
      </c>
      <c r="B626" s="251"/>
      <c r="C626" s="252"/>
      <c r="D626" s="253"/>
      <c r="E626" s="253"/>
      <c r="F626" s="255"/>
      <c r="G626" s="251"/>
      <c r="H626" s="159" t="s">
        <v>796</v>
      </c>
      <c r="I626" s="158">
        <f>328738.29+D625*11</f>
        <v>355703.14</v>
      </c>
      <c r="J626" s="158">
        <f>I626/D625</f>
        <v>145.1</v>
      </c>
      <c r="K626" s="158">
        <f>135+11</f>
        <v>146</v>
      </c>
      <c r="L626" s="7"/>
      <c r="M626" s="7"/>
      <c r="N626" s="7"/>
      <c r="O626" s="7"/>
      <c r="P626" s="7"/>
      <c r="Q626" s="7"/>
      <c r="R626" s="7"/>
      <c r="S626" s="7"/>
      <c r="T626" s="7"/>
      <c r="U626" s="7"/>
      <c r="V626" s="7"/>
      <c r="W626" s="7"/>
    </row>
    <row r="627" spans="1:23" ht="31" x14ac:dyDescent="0.35">
      <c r="A627" s="251">
        <v>77</v>
      </c>
      <c r="B627" s="251"/>
      <c r="C627" s="252"/>
      <c r="D627" s="253"/>
      <c r="E627" s="253"/>
      <c r="F627" s="255"/>
      <c r="G627" s="251"/>
      <c r="H627" s="159" t="s">
        <v>86</v>
      </c>
      <c r="I627" s="158">
        <f>7865240.19*0.3</f>
        <v>2359572.06</v>
      </c>
      <c r="J627" s="158">
        <f>I627/D625+0.01</f>
        <v>962.57</v>
      </c>
      <c r="K627" s="158">
        <v>3377</v>
      </c>
      <c r="L627" s="7"/>
      <c r="M627" s="7"/>
      <c r="N627" s="7"/>
      <c r="O627" s="7"/>
      <c r="P627" s="7"/>
      <c r="Q627" s="7"/>
      <c r="R627" s="7"/>
      <c r="S627" s="7"/>
      <c r="T627" s="7"/>
      <c r="U627" s="7"/>
      <c r="V627" s="7"/>
      <c r="W627" s="7"/>
    </row>
    <row r="628" spans="1:23" ht="15.75" customHeight="1" x14ac:dyDescent="0.35">
      <c r="A628" s="256">
        <f>A625+1</f>
        <v>74</v>
      </c>
      <c r="B628" s="256">
        <v>1377</v>
      </c>
      <c r="C628" s="259" t="s">
        <v>342</v>
      </c>
      <c r="D628" s="262">
        <v>14235.2</v>
      </c>
      <c r="E628" s="262" t="s">
        <v>71</v>
      </c>
      <c r="F628" s="265">
        <v>9</v>
      </c>
      <c r="G628" s="256" t="s">
        <v>77</v>
      </c>
      <c r="H628" s="159" t="s">
        <v>73</v>
      </c>
      <c r="I628" s="158">
        <f>I629+I630+I631+I632+I633+I634</f>
        <v>8946021.8100000005</v>
      </c>
      <c r="J628" s="158">
        <f>J629+J630+J631+J632+J633+J634</f>
        <v>628.44000000000005</v>
      </c>
      <c r="K628" s="158">
        <f>K629+K630+K631+K632+K633+K634</f>
        <v>2224</v>
      </c>
      <c r="L628" s="7"/>
      <c r="M628" s="7"/>
      <c r="N628" s="7"/>
      <c r="O628" s="7"/>
      <c r="P628" s="7"/>
      <c r="Q628" s="7"/>
      <c r="R628" s="7"/>
      <c r="S628" s="7"/>
      <c r="T628" s="7"/>
      <c r="U628" s="7"/>
      <c r="V628" s="7"/>
      <c r="W628" s="7"/>
    </row>
    <row r="629" spans="1:23" ht="31" x14ac:dyDescent="0.35">
      <c r="A629" s="257"/>
      <c r="B629" s="257"/>
      <c r="C629" s="260"/>
      <c r="D629" s="263"/>
      <c r="E629" s="263"/>
      <c r="F629" s="266"/>
      <c r="G629" s="257"/>
      <c r="H629" s="159" t="s">
        <v>666</v>
      </c>
      <c r="I629" s="158">
        <f>314242.59+25905.45</f>
        <v>340148.04</v>
      </c>
      <c r="J629" s="158">
        <f>I629/D628</f>
        <v>23.89</v>
      </c>
      <c r="K629" s="158">
        <f>50+4</f>
        <v>54</v>
      </c>
      <c r="L629" s="7"/>
      <c r="M629" s="7"/>
      <c r="N629" s="7"/>
      <c r="O629" s="7"/>
      <c r="P629" s="7"/>
      <c r="Q629" s="7"/>
      <c r="R629" s="7"/>
      <c r="S629" s="7"/>
      <c r="T629" s="7"/>
      <c r="U629" s="7"/>
      <c r="V629" s="7"/>
      <c r="W629" s="7"/>
    </row>
    <row r="630" spans="1:23" x14ac:dyDescent="0.35">
      <c r="A630" s="257"/>
      <c r="B630" s="257"/>
      <c r="C630" s="260"/>
      <c r="D630" s="263"/>
      <c r="E630" s="263"/>
      <c r="F630" s="266"/>
      <c r="G630" s="258"/>
      <c r="H630" s="159" t="s">
        <v>74</v>
      </c>
      <c r="I630" s="158">
        <f>17936352*0.3</f>
        <v>5380905.5999999996</v>
      </c>
      <c r="J630" s="158">
        <f>I630/D628</f>
        <v>378</v>
      </c>
      <c r="K630" s="158">
        <v>1260</v>
      </c>
      <c r="L630" s="7"/>
      <c r="M630" s="7"/>
      <c r="N630" s="7"/>
      <c r="O630" s="7"/>
      <c r="P630" s="7"/>
      <c r="Q630" s="7"/>
      <c r="R630" s="7"/>
      <c r="S630" s="7"/>
      <c r="T630" s="7"/>
      <c r="U630" s="7"/>
      <c r="V630" s="7"/>
      <c r="W630" s="7"/>
    </row>
    <row r="631" spans="1:23" ht="31.5" customHeight="1" x14ac:dyDescent="0.35">
      <c r="A631" s="257"/>
      <c r="B631" s="257"/>
      <c r="C631" s="260"/>
      <c r="D631" s="263"/>
      <c r="E631" s="263"/>
      <c r="F631" s="266"/>
      <c r="G631" s="256" t="s">
        <v>78</v>
      </c>
      <c r="H631" s="159" t="s">
        <v>666</v>
      </c>
      <c r="I631" s="158">
        <f>164785.97+13584.59</f>
        <v>178370.56</v>
      </c>
      <c r="J631" s="158">
        <f>I631/D628</f>
        <v>12.53</v>
      </c>
      <c r="K631" s="158">
        <f>19+2</f>
        <v>21</v>
      </c>
      <c r="L631" s="7"/>
      <c r="M631" s="7"/>
      <c r="N631" s="7"/>
      <c r="O631" s="7"/>
      <c r="P631" s="7"/>
      <c r="Q631" s="7"/>
      <c r="R631" s="7"/>
      <c r="S631" s="7"/>
      <c r="T631" s="7"/>
      <c r="U631" s="7"/>
      <c r="V631" s="7"/>
      <c r="W631" s="7"/>
    </row>
    <row r="632" spans="1:23" x14ac:dyDescent="0.35">
      <c r="A632" s="257"/>
      <c r="B632" s="257"/>
      <c r="C632" s="260"/>
      <c r="D632" s="263"/>
      <c r="E632" s="263"/>
      <c r="F632" s="266"/>
      <c r="G632" s="258"/>
      <c r="H632" s="159" t="s">
        <v>74</v>
      </c>
      <c r="I632" s="158">
        <f>3899523.18*0.3</f>
        <v>1169856.95</v>
      </c>
      <c r="J632" s="158">
        <f>I632/D628</f>
        <v>82.18</v>
      </c>
      <c r="K632" s="158">
        <v>463</v>
      </c>
      <c r="L632" s="7"/>
      <c r="M632" s="7"/>
      <c r="N632" s="7"/>
      <c r="O632" s="7"/>
      <c r="P632" s="7"/>
      <c r="Q632" s="7"/>
      <c r="R632" s="7"/>
      <c r="S632" s="7"/>
      <c r="T632" s="7"/>
      <c r="U632" s="7"/>
      <c r="V632" s="7"/>
      <c r="W632" s="7"/>
    </row>
    <row r="633" spans="1:23" ht="31.5" customHeight="1" x14ac:dyDescent="0.35">
      <c r="A633" s="257"/>
      <c r="B633" s="257"/>
      <c r="C633" s="260"/>
      <c r="D633" s="263"/>
      <c r="E633" s="263"/>
      <c r="F633" s="266"/>
      <c r="G633" s="256" t="s">
        <v>79</v>
      </c>
      <c r="H633" s="159" t="s">
        <v>666</v>
      </c>
      <c r="I633" s="158">
        <f>120174.69+9906.93</f>
        <v>130081.62</v>
      </c>
      <c r="J633" s="158">
        <f>I633/D628</f>
        <v>9.14</v>
      </c>
      <c r="K633" s="158">
        <f>16+1</f>
        <v>17</v>
      </c>
      <c r="L633" s="7"/>
      <c r="M633" s="7"/>
      <c r="N633" s="7"/>
      <c r="O633" s="7"/>
      <c r="P633" s="7"/>
      <c r="Q633" s="7"/>
      <c r="R633" s="7"/>
      <c r="S633" s="7"/>
      <c r="T633" s="7"/>
      <c r="U633" s="7"/>
      <c r="V633" s="7"/>
      <c r="W633" s="7"/>
    </row>
    <row r="634" spans="1:23" x14ac:dyDescent="0.35">
      <c r="A634" s="258"/>
      <c r="B634" s="258"/>
      <c r="C634" s="261"/>
      <c r="D634" s="264"/>
      <c r="E634" s="264"/>
      <c r="F634" s="267"/>
      <c r="G634" s="258"/>
      <c r="H634" s="159" t="s">
        <v>74</v>
      </c>
      <c r="I634" s="158">
        <f>5822196.8*0.3</f>
        <v>1746659.04</v>
      </c>
      <c r="J634" s="158">
        <f>I634/D628</f>
        <v>122.7</v>
      </c>
      <c r="K634" s="158">
        <v>409</v>
      </c>
      <c r="L634" s="7"/>
      <c r="M634" s="7"/>
      <c r="N634" s="7"/>
      <c r="O634" s="7"/>
      <c r="P634" s="7"/>
      <c r="Q634" s="7"/>
      <c r="R634" s="7"/>
      <c r="S634" s="7"/>
      <c r="T634" s="7"/>
      <c r="U634" s="7"/>
      <c r="V634" s="7"/>
      <c r="W634" s="7"/>
    </row>
    <row r="635" spans="1:23" ht="15.75" customHeight="1" x14ac:dyDescent="0.35">
      <c r="A635" s="251">
        <f>A628+1</f>
        <v>75</v>
      </c>
      <c r="B635" s="251">
        <v>1378</v>
      </c>
      <c r="C635" s="252" t="s">
        <v>343</v>
      </c>
      <c r="D635" s="253">
        <v>4687.8</v>
      </c>
      <c r="E635" s="253" t="s">
        <v>71</v>
      </c>
      <c r="F635" s="255">
        <v>5</v>
      </c>
      <c r="G635" s="251" t="s">
        <v>72</v>
      </c>
      <c r="H635" s="159" t="s">
        <v>73</v>
      </c>
      <c r="I635" s="158">
        <f>I636+I637</f>
        <v>5356590.1500000004</v>
      </c>
      <c r="J635" s="158">
        <f>J636+J637</f>
        <v>1142.67</v>
      </c>
      <c r="K635" s="158">
        <f>K636+K637</f>
        <v>3523</v>
      </c>
      <c r="L635" s="7"/>
      <c r="M635" s="7"/>
      <c r="N635" s="7"/>
      <c r="O635" s="7"/>
      <c r="P635" s="7"/>
      <c r="Q635" s="7"/>
      <c r="R635" s="7"/>
      <c r="S635" s="7"/>
      <c r="T635" s="7"/>
      <c r="U635" s="7"/>
      <c r="V635" s="7"/>
      <c r="W635" s="7"/>
    </row>
    <row r="636" spans="1:23" ht="46.5" x14ac:dyDescent="0.35">
      <c r="A636" s="251"/>
      <c r="B636" s="251"/>
      <c r="C636" s="252"/>
      <c r="D636" s="253"/>
      <c r="E636" s="253"/>
      <c r="F636" s="255"/>
      <c r="G636" s="251"/>
      <c r="H636" s="159" t="s">
        <v>796</v>
      </c>
      <c r="I636" s="158">
        <v>646177.42000000004</v>
      </c>
      <c r="J636" s="158">
        <f>I636/D635</f>
        <v>137.84</v>
      </c>
      <c r="K636" s="158">
        <f>135+11</f>
        <v>146</v>
      </c>
      <c r="L636" s="7"/>
      <c r="M636" s="7"/>
      <c r="N636" s="7"/>
      <c r="O636" s="7"/>
      <c r="P636" s="7"/>
      <c r="Q636" s="7"/>
      <c r="R636" s="7"/>
      <c r="S636" s="7"/>
      <c r="T636" s="7"/>
      <c r="U636" s="7"/>
      <c r="V636" s="7"/>
      <c r="W636" s="7"/>
    </row>
    <row r="637" spans="1:23" ht="31" x14ac:dyDescent="0.35">
      <c r="A637" s="251"/>
      <c r="B637" s="251"/>
      <c r="C637" s="252"/>
      <c r="D637" s="253"/>
      <c r="E637" s="253"/>
      <c r="F637" s="255"/>
      <c r="G637" s="251"/>
      <c r="H637" s="159" t="s">
        <v>86</v>
      </c>
      <c r="I637" s="158">
        <f>15701375.75*0.3</f>
        <v>4710412.7300000004</v>
      </c>
      <c r="J637" s="158">
        <f>I637/D635+0.01</f>
        <v>1004.83</v>
      </c>
      <c r="K637" s="158">
        <v>3377</v>
      </c>
      <c r="L637" s="7"/>
      <c r="M637" s="7"/>
      <c r="N637" s="7"/>
      <c r="O637" s="7"/>
      <c r="P637" s="7"/>
      <c r="Q637" s="7"/>
      <c r="R637" s="7"/>
      <c r="S637" s="7"/>
      <c r="T637" s="7"/>
      <c r="U637" s="7"/>
      <c r="V637" s="7"/>
      <c r="W637" s="7"/>
    </row>
    <row r="638" spans="1:23" ht="15.75" customHeight="1" x14ac:dyDescent="0.35">
      <c r="A638" s="251">
        <f>A635+1</f>
        <v>76</v>
      </c>
      <c r="B638" s="251">
        <v>1379</v>
      </c>
      <c r="C638" s="252" t="s">
        <v>344</v>
      </c>
      <c r="D638" s="253">
        <v>2659.6</v>
      </c>
      <c r="E638" s="253" t="s">
        <v>71</v>
      </c>
      <c r="F638" s="255">
        <v>5</v>
      </c>
      <c r="G638" s="251" t="s">
        <v>72</v>
      </c>
      <c r="H638" s="159" t="s">
        <v>73</v>
      </c>
      <c r="I638" s="158">
        <f>I639+I640</f>
        <v>2745062.19</v>
      </c>
      <c r="J638" s="158">
        <f>J639+J640</f>
        <v>1032.1300000000001</v>
      </c>
      <c r="K638" s="158">
        <f>K639+K640</f>
        <v>3523</v>
      </c>
      <c r="L638" s="7"/>
      <c r="M638" s="7"/>
      <c r="N638" s="7"/>
      <c r="O638" s="7"/>
      <c r="P638" s="7"/>
      <c r="Q638" s="7"/>
      <c r="R638" s="7"/>
      <c r="S638" s="7"/>
      <c r="T638" s="7"/>
      <c r="U638" s="7"/>
      <c r="V638" s="7"/>
      <c r="W638" s="7"/>
    </row>
    <row r="639" spans="1:23" ht="46.5" x14ac:dyDescent="0.35">
      <c r="A639" s="251">
        <v>75</v>
      </c>
      <c r="B639" s="251"/>
      <c r="C639" s="252"/>
      <c r="D639" s="253"/>
      <c r="E639" s="253"/>
      <c r="F639" s="255"/>
      <c r="G639" s="251"/>
      <c r="H639" s="159" t="s">
        <v>796</v>
      </c>
      <c r="I639" s="158">
        <f>356665.66+D638*11</f>
        <v>385921.26</v>
      </c>
      <c r="J639" s="158">
        <f>I639/D638</f>
        <v>145.11000000000001</v>
      </c>
      <c r="K639" s="158">
        <f>135+11</f>
        <v>146</v>
      </c>
      <c r="L639" s="7"/>
      <c r="M639" s="7"/>
      <c r="N639" s="7"/>
      <c r="O639" s="7"/>
      <c r="P639" s="7"/>
      <c r="Q639" s="7"/>
      <c r="R639" s="7"/>
      <c r="S639" s="7"/>
      <c r="T639" s="7"/>
      <c r="U639" s="7"/>
      <c r="V639" s="7"/>
      <c r="W639" s="7"/>
    </row>
    <row r="640" spans="1:23" ht="31" x14ac:dyDescent="0.35">
      <c r="A640" s="251">
        <v>77</v>
      </c>
      <c r="B640" s="251"/>
      <c r="C640" s="252"/>
      <c r="D640" s="253"/>
      <c r="E640" s="253"/>
      <c r="F640" s="255"/>
      <c r="G640" s="251"/>
      <c r="H640" s="159" t="s">
        <v>86</v>
      </c>
      <c r="I640" s="158">
        <f>7863803.09*0.3</f>
        <v>2359140.9300000002</v>
      </c>
      <c r="J640" s="158">
        <f>I640/D638-0.01</f>
        <v>887.02</v>
      </c>
      <c r="K640" s="158">
        <v>3377</v>
      </c>
      <c r="L640" s="7"/>
      <c r="M640" s="7"/>
      <c r="N640" s="7"/>
      <c r="O640" s="7"/>
      <c r="P640" s="7"/>
      <c r="Q640" s="7"/>
      <c r="R640" s="7"/>
      <c r="S640" s="7"/>
      <c r="T640" s="7"/>
      <c r="U640" s="7"/>
      <c r="V640" s="7"/>
      <c r="W640" s="7"/>
    </row>
    <row r="641" spans="1:23" x14ac:dyDescent="0.35">
      <c r="A641" s="251">
        <f>A638+1</f>
        <v>77</v>
      </c>
      <c r="B641" s="251">
        <v>1787</v>
      </c>
      <c r="C641" s="252" t="s">
        <v>345</v>
      </c>
      <c r="D641" s="253">
        <v>2886.9</v>
      </c>
      <c r="E641" s="253" t="s">
        <v>71</v>
      </c>
      <c r="F641" s="255">
        <v>5</v>
      </c>
      <c r="G641" s="251" t="s">
        <v>72</v>
      </c>
      <c r="H641" s="159" t="s">
        <v>73</v>
      </c>
      <c r="I641" s="158">
        <f>I642+I643</f>
        <v>2810735.09</v>
      </c>
      <c r="J641" s="158">
        <f>J642+J643</f>
        <v>973.62</v>
      </c>
      <c r="K641" s="158">
        <f>K642+K643</f>
        <v>2936</v>
      </c>
      <c r="L641" s="7"/>
      <c r="M641" s="7"/>
      <c r="N641" s="7"/>
      <c r="O641" s="7"/>
      <c r="P641" s="7"/>
      <c r="Q641" s="7"/>
      <c r="R641" s="7"/>
      <c r="S641" s="7"/>
      <c r="T641" s="7"/>
      <c r="U641" s="7"/>
      <c r="V641" s="7"/>
      <c r="W641" s="7"/>
    </row>
    <row r="642" spans="1:23" ht="46.5" x14ac:dyDescent="0.35">
      <c r="A642" s="251">
        <v>75</v>
      </c>
      <c r="B642" s="251"/>
      <c r="C642" s="252"/>
      <c r="D642" s="253"/>
      <c r="E642" s="253"/>
      <c r="F642" s="255"/>
      <c r="G642" s="251"/>
      <c r="H642" s="159" t="s">
        <v>705</v>
      </c>
      <c r="I642" s="158">
        <v>409989.05</v>
      </c>
      <c r="J642" s="158">
        <f>I642/D641</f>
        <v>142.02000000000001</v>
      </c>
      <c r="K642" s="158">
        <f>151+13</f>
        <v>164</v>
      </c>
      <c r="L642" s="7"/>
      <c r="M642" s="7"/>
      <c r="N642" s="7"/>
      <c r="O642" s="7"/>
      <c r="P642" s="7"/>
      <c r="Q642" s="7"/>
      <c r="R642" s="7"/>
      <c r="S642" s="7"/>
      <c r="T642" s="7"/>
      <c r="U642" s="7"/>
      <c r="V642" s="7"/>
      <c r="W642" s="7"/>
    </row>
    <row r="643" spans="1:23" x14ac:dyDescent="0.35">
      <c r="A643" s="251">
        <v>77</v>
      </c>
      <c r="B643" s="251"/>
      <c r="C643" s="252"/>
      <c r="D643" s="253"/>
      <c r="E643" s="253"/>
      <c r="F643" s="255"/>
      <c r="G643" s="251"/>
      <c r="H643" s="159" t="s">
        <v>74</v>
      </c>
      <c r="I643" s="158">
        <f>K643*D641*0.3</f>
        <v>2400746.04</v>
      </c>
      <c r="J643" s="158">
        <f>I643/D641</f>
        <v>831.6</v>
      </c>
      <c r="K643" s="158">
        <v>2772</v>
      </c>
      <c r="L643" s="7"/>
      <c r="M643" s="7"/>
      <c r="N643" s="7"/>
      <c r="O643" s="7"/>
      <c r="P643" s="7"/>
      <c r="Q643" s="7"/>
      <c r="R643" s="7"/>
      <c r="S643" s="7"/>
      <c r="T643" s="7"/>
      <c r="U643" s="7"/>
      <c r="V643" s="7"/>
      <c r="W643" s="7"/>
    </row>
    <row r="644" spans="1:23" x14ac:dyDescent="0.35">
      <c r="A644" s="251">
        <f>A641+1</f>
        <v>78</v>
      </c>
      <c r="B644" s="251">
        <v>1263</v>
      </c>
      <c r="C644" s="252" t="s">
        <v>88</v>
      </c>
      <c r="D644" s="253">
        <v>2040.56</v>
      </c>
      <c r="E644" s="253" t="s">
        <v>75</v>
      </c>
      <c r="F644" s="255">
        <v>3</v>
      </c>
      <c r="G644" s="251" t="s">
        <v>72</v>
      </c>
      <c r="H644" s="159" t="s">
        <v>73</v>
      </c>
      <c r="I644" s="158">
        <f>I645+I646</f>
        <v>4241742.1900000004</v>
      </c>
      <c r="J644" s="158">
        <f>J645+J646</f>
        <v>2078.71</v>
      </c>
      <c r="K644" s="158">
        <f>K645+K646</f>
        <v>4728</v>
      </c>
      <c r="L644" s="7"/>
      <c r="M644" s="7"/>
      <c r="N644" s="7"/>
      <c r="O644" s="7"/>
      <c r="P644" s="7"/>
      <c r="Q644" s="7"/>
      <c r="R644" s="7"/>
      <c r="S644" s="7"/>
      <c r="T644" s="7"/>
      <c r="U644" s="7"/>
      <c r="V644" s="7"/>
      <c r="W644" s="7"/>
    </row>
    <row r="645" spans="1:23" x14ac:dyDescent="0.35">
      <c r="A645" s="251">
        <v>75</v>
      </c>
      <c r="B645" s="251"/>
      <c r="C645" s="252"/>
      <c r="D645" s="253"/>
      <c r="E645" s="253"/>
      <c r="F645" s="255"/>
      <c r="G645" s="251"/>
      <c r="H645" s="159" t="s">
        <v>74</v>
      </c>
      <c r="I645" s="158">
        <v>4152870.76</v>
      </c>
      <c r="J645" s="158">
        <f>I645/D644</f>
        <v>2035.16</v>
      </c>
      <c r="K645" s="158">
        <v>4629</v>
      </c>
      <c r="L645" s="7"/>
      <c r="M645" s="7"/>
      <c r="N645" s="7"/>
      <c r="O645" s="7"/>
      <c r="P645" s="7"/>
      <c r="Q645" s="7"/>
      <c r="R645" s="7"/>
      <c r="S645" s="7"/>
      <c r="T645" s="7"/>
      <c r="U645" s="7"/>
      <c r="V645" s="7"/>
      <c r="W645" s="7"/>
    </row>
    <row r="646" spans="1:23" x14ac:dyDescent="0.35">
      <c r="A646" s="251">
        <v>76</v>
      </c>
      <c r="B646" s="251"/>
      <c r="C646" s="252"/>
      <c r="D646" s="253"/>
      <c r="E646" s="253"/>
      <c r="F646" s="255"/>
      <c r="G646" s="251"/>
      <c r="H646" s="159" t="s">
        <v>76</v>
      </c>
      <c r="I646" s="158">
        <v>88871.43</v>
      </c>
      <c r="J646" s="158">
        <f>I646/D644</f>
        <v>43.55</v>
      </c>
      <c r="K646" s="158">
        <v>99</v>
      </c>
      <c r="L646" s="7"/>
      <c r="M646" s="7"/>
      <c r="N646" s="7"/>
      <c r="O646" s="7"/>
      <c r="P646" s="7"/>
      <c r="Q646" s="7"/>
      <c r="R646" s="7"/>
      <c r="S646" s="7"/>
      <c r="T646" s="7"/>
      <c r="U646" s="7"/>
      <c r="V646" s="7"/>
      <c r="W646" s="7"/>
    </row>
    <row r="647" spans="1:23" ht="15.75" customHeight="1" x14ac:dyDescent="0.35">
      <c r="A647" s="251">
        <f>A644+1</f>
        <v>79</v>
      </c>
      <c r="B647" s="251">
        <v>1265</v>
      </c>
      <c r="C647" s="252" t="s">
        <v>346</v>
      </c>
      <c r="D647" s="253">
        <v>4275.8</v>
      </c>
      <c r="E647" s="253" t="s">
        <v>75</v>
      </c>
      <c r="F647" s="255">
        <v>6</v>
      </c>
      <c r="G647" s="251" t="s">
        <v>72</v>
      </c>
      <c r="H647" s="159" t="s">
        <v>73</v>
      </c>
      <c r="I647" s="158">
        <f>I648</f>
        <v>387243.3</v>
      </c>
      <c r="J647" s="158">
        <f>J648</f>
        <v>90.57</v>
      </c>
      <c r="K647" s="158">
        <f>K648</f>
        <v>164</v>
      </c>
      <c r="L647" s="7"/>
      <c r="M647" s="7"/>
      <c r="N647" s="7"/>
      <c r="O647" s="7"/>
      <c r="P647" s="7"/>
      <c r="Q647" s="7"/>
      <c r="R647" s="7"/>
      <c r="S647" s="7"/>
      <c r="T647" s="7"/>
      <c r="U647" s="7"/>
      <c r="V647" s="7"/>
      <c r="W647" s="7"/>
    </row>
    <row r="648" spans="1:23" ht="46.5" x14ac:dyDescent="0.35">
      <c r="A648" s="251">
        <v>75</v>
      </c>
      <c r="B648" s="251"/>
      <c r="C648" s="252"/>
      <c r="D648" s="253"/>
      <c r="E648" s="253"/>
      <c r="F648" s="255"/>
      <c r="G648" s="251"/>
      <c r="H648" s="159" t="s">
        <v>705</v>
      </c>
      <c r="I648" s="158">
        <v>387243.3</v>
      </c>
      <c r="J648" s="158">
        <f>I648/D647</f>
        <v>90.57</v>
      </c>
      <c r="K648" s="158">
        <v>164</v>
      </c>
      <c r="L648" s="7"/>
      <c r="M648" s="7"/>
      <c r="N648" s="7"/>
      <c r="O648" s="7"/>
      <c r="P648" s="7"/>
      <c r="Q648" s="7"/>
      <c r="R648" s="7"/>
      <c r="S648" s="7"/>
      <c r="T648" s="7"/>
      <c r="U648" s="7"/>
      <c r="V648" s="7"/>
      <c r="W648" s="7"/>
    </row>
    <row r="649" spans="1:23" x14ac:dyDescent="0.35">
      <c r="A649" s="256">
        <f>A647+1</f>
        <v>80</v>
      </c>
      <c r="B649" s="256">
        <v>1353</v>
      </c>
      <c r="C649" s="259" t="s">
        <v>89</v>
      </c>
      <c r="D649" s="262">
        <v>6993.5</v>
      </c>
      <c r="E649" s="262" t="s">
        <v>75</v>
      </c>
      <c r="F649" s="265">
        <v>5</v>
      </c>
      <c r="G649" s="149"/>
      <c r="H649" s="159" t="s">
        <v>73</v>
      </c>
      <c r="I649" s="158">
        <f>I650+I651</f>
        <v>10643470.74</v>
      </c>
      <c r="J649" s="158">
        <f>J650+J651</f>
        <v>1521.91</v>
      </c>
      <c r="K649" s="158">
        <f>K650+K651</f>
        <v>2831</v>
      </c>
      <c r="L649" s="7"/>
      <c r="M649" s="7"/>
      <c r="N649" s="7"/>
      <c r="O649" s="7"/>
      <c r="P649" s="7"/>
      <c r="Q649" s="7"/>
      <c r="R649" s="7"/>
      <c r="S649" s="7"/>
      <c r="T649" s="7"/>
      <c r="U649" s="7"/>
      <c r="V649" s="7"/>
      <c r="W649" s="7"/>
    </row>
    <row r="650" spans="1:23" x14ac:dyDescent="0.35">
      <c r="A650" s="257"/>
      <c r="B650" s="257"/>
      <c r="C650" s="260"/>
      <c r="D650" s="263"/>
      <c r="E650" s="263"/>
      <c r="F650" s="266"/>
      <c r="G650" s="256" t="s">
        <v>72</v>
      </c>
      <c r="H650" s="159" t="s">
        <v>74</v>
      </c>
      <c r="I650" s="158">
        <v>10448254.539999999</v>
      </c>
      <c r="J650" s="158">
        <f>I650/D649</f>
        <v>1494</v>
      </c>
      <c r="K650" s="158">
        <v>2772</v>
      </c>
      <c r="L650" s="7"/>
      <c r="M650" s="7"/>
      <c r="N650" s="7"/>
      <c r="O650" s="7"/>
      <c r="P650" s="7"/>
      <c r="Q650" s="7"/>
      <c r="R650" s="7"/>
      <c r="S650" s="7"/>
      <c r="T650" s="7"/>
      <c r="U650" s="7"/>
      <c r="V650" s="7"/>
      <c r="W650" s="7"/>
    </row>
    <row r="651" spans="1:23" x14ac:dyDescent="0.35">
      <c r="A651" s="257"/>
      <c r="B651" s="257"/>
      <c r="C651" s="260"/>
      <c r="D651" s="263"/>
      <c r="E651" s="263"/>
      <c r="F651" s="266"/>
      <c r="G651" s="258"/>
      <c r="H651" s="159" t="s">
        <v>76</v>
      </c>
      <c r="I651" s="158">
        <v>195216.2</v>
      </c>
      <c r="J651" s="158">
        <f>I651/D649</f>
        <v>27.91</v>
      </c>
      <c r="K651" s="158">
        <v>59</v>
      </c>
      <c r="L651" s="7"/>
      <c r="M651" s="7"/>
      <c r="N651" s="7"/>
      <c r="O651" s="7"/>
      <c r="P651" s="7"/>
      <c r="Q651" s="7"/>
      <c r="R651" s="7"/>
      <c r="S651" s="7"/>
      <c r="T651" s="7"/>
      <c r="U651" s="7"/>
      <c r="V651" s="7"/>
      <c r="W651" s="7"/>
    </row>
    <row r="652" spans="1:23" x14ac:dyDescent="0.35">
      <c r="A652" s="251">
        <f>A649+1</f>
        <v>81</v>
      </c>
      <c r="B652" s="251">
        <v>1421</v>
      </c>
      <c r="C652" s="252" t="s">
        <v>349</v>
      </c>
      <c r="D652" s="253">
        <v>3894.6</v>
      </c>
      <c r="E652" s="253" t="s">
        <v>71</v>
      </c>
      <c r="F652" s="255">
        <v>5</v>
      </c>
      <c r="G652" s="251" t="s">
        <v>72</v>
      </c>
      <c r="H652" s="159" t="s">
        <v>73</v>
      </c>
      <c r="I652" s="158">
        <f>I653</f>
        <v>503076.85</v>
      </c>
      <c r="J652" s="158">
        <f>J653</f>
        <v>129.16999999999999</v>
      </c>
      <c r="K652" s="158">
        <f>K653</f>
        <v>146</v>
      </c>
      <c r="L652" s="7"/>
      <c r="M652" s="7"/>
      <c r="N652" s="7"/>
      <c r="O652" s="7"/>
      <c r="P652" s="7"/>
      <c r="Q652" s="7"/>
      <c r="R652" s="7"/>
      <c r="S652" s="7"/>
      <c r="T652" s="7"/>
      <c r="U652" s="7"/>
      <c r="V652" s="7"/>
      <c r="W652" s="7"/>
    </row>
    <row r="653" spans="1:23" ht="46.5" x14ac:dyDescent="0.35">
      <c r="A653" s="251"/>
      <c r="B653" s="251"/>
      <c r="C653" s="252"/>
      <c r="D653" s="253"/>
      <c r="E653" s="253"/>
      <c r="F653" s="255"/>
      <c r="G653" s="251"/>
      <c r="H653" s="159" t="s">
        <v>796</v>
      </c>
      <c r="I653" s="158">
        <v>503076.85</v>
      </c>
      <c r="J653" s="158">
        <f>I653/D652</f>
        <v>129.16999999999999</v>
      </c>
      <c r="K653" s="158">
        <f>135+11</f>
        <v>146</v>
      </c>
      <c r="L653" s="7"/>
      <c r="M653" s="7"/>
      <c r="N653" s="7"/>
      <c r="O653" s="7"/>
      <c r="P653" s="7"/>
      <c r="Q653" s="7"/>
      <c r="R653" s="7"/>
      <c r="S653" s="7"/>
      <c r="T653" s="7"/>
      <c r="U653" s="7"/>
      <c r="V653" s="7"/>
      <c r="W653" s="7"/>
    </row>
    <row r="654" spans="1:23" ht="15.75" customHeight="1" x14ac:dyDescent="0.35">
      <c r="A654" s="251">
        <f>A652+1</f>
        <v>82</v>
      </c>
      <c r="B654" s="251">
        <v>1030</v>
      </c>
      <c r="C654" s="252" t="s">
        <v>350</v>
      </c>
      <c r="D654" s="253">
        <v>2345.1999999999998</v>
      </c>
      <c r="E654" s="253" t="s">
        <v>71</v>
      </c>
      <c r="F654" s="255">
        <v>5</v>
      </c>
      <c r="G654" s="251" t="s">
        <v>72</v>
      </c>
      <c r="H654" s="159" t="s">
        <v>73</v>
      </c>
      <c r="I654" s="158">
        <f>I655</f>
        <v>313013.92</v>
      </c>
      <c r="J654" s="158">
        <f>J655</f>
        <v>133.47</v>
      </c>
      <c r="K654" s="158">
        <f>K655</f>
        <v>146</v>
      </c>
      <c r="L654" s="7"/>
      <c r="M654" s="7"/>
      <c r="N654" s="7"/>
      <c r="O654" s="7"/>
      <c r="P654" s="7"/>
      <c r="Q654" s="7"/>
      <c r="R654" s="7"/>
      <c r="S654" s="7"/>
      <c r="T654" s="7"/>
      <c r="U654" s="7"/>
      <c r="V654" s="7"/>
      <c r="W654" s="7"/>
    </row>
    <row r="655" spans="1:23" ht="46.5" x14ac:dyDescent="0.35">
      <c r="A655" s="251">
        <v>75</v>
      </c>
      <c r="B655" s="251"/>
      <c r="C655" s="252"/>
      <c r="D655" s="253"/>
      <c r="E655" s="253"/>
      <c r="F655" s="255"/>
      <c r="G655" s="251"/>
      <c r="H655" s="159" t="s">
        <v>796</v>
      </c>
      <c r="I655" s="158">
        <f>287216.72+D654*11</f>
        <v>313013.92</v>
      </c>
      <c r="J655" s="158">
        <f>I655/D654</f>
        <v>133.47</v>
      </c>
      <c r="K655" s="158">
        <f>135+11</f>
        <v>146</v>
      </c>
      <c r="L655" s="7"/>
      <c r="M655" s="7"/>
      <c r="N655" s="7"/>
      <c r="O655" s="7"/>
      <c r="P655" s="7"/>
      <c r="Q655" s="7"/>
      <c r="R655" s="7"/>
      <c r="S655" s="7"/>
      <c r="T655" s="7"/>
      <c r="U655" s="7"/>
      <c r="V655" s="7"/>
      <c r="W655" s="7"/>
    </row>
    <row r="656" spans="1:23" ht="15.75" customHeight="1" x14ac:dyDescent="0.35">
      <c r="A656" s="251">
        <f>A654+1</f>
        <v>83</v>
      </c>
      <c r="B656" s="251">
        <v>1354</v>
      </c>
      <c r="C656" s="252" t="s">
        <v>351</v>
      </c>
      <c r="D656" s="253">
        <v>3816</v>
      </c>
      <c r="E656" s="253" t="s">
        <v>71</v>
      </c>
      <c r="F656" s="255">
        <v>5</v>
      </c>
      <c r="G656" s="251" t="s">
        <v>87</v>
      </c>
      <c r="H656" s="159" t="s">
        <v>73</v>
      </c>
      <c r="I656" s="158">
        <f>I657+I658</f>
        <v>429381.4</v>
      </c>
      <c r="J656" s="158">
        <f>J657+J658</f>
        <v>112.52</v>
      </c>
      <c r="K656" s="158">
        <f>K657+K658</f>
        <v>609</v>
      </c>
      <c r="L656" s="7"/>
      <c r="M656" s="7"/>
      <c r="N656" s="7"/>
      <c r="O656" s="7"/>
      <c r="P656" s="7"/>
      <c r="Q656" s="7"/>
      <c r="R656" s="7"/>
      <c r="S656" s="7"/>
      <c r="T656" s="7"/>
      <c r="U656" s="7"/>
      <c r="V656" s="7"/>
      <c r="W656" s="7"/>
    </row>
    <row r="657" spans="1:23" ht="31" x14ac:dyDescent="0.35">
      <c r="A657" s="251">
        <v>75</v>
      </c>
      <c r="B657" s="251"/>
      <c r="C657" s="252"/>
      <c r="D657" s="253"/>
      <c r="E657" s="253"/>
      <c r="F657" s="255"/>
      <c r="G657" s="251"/>
      <c r="H657" s="159" t="s">
        <v>666</v>
      </c>
      <c r="I657" s="158">
        <v>95400</v>
      </c>
      <c r="J657" s="158">
        <f>I657/D656</f>
        <v>25</v>
      </c>
      <c r="K657" s="158">
        <f>23+2</f>
        <v>25</v>
      </c>
      <c r="L657" s="7"/>
      <c r="M657" s="7"/>
      <c r="N657" s="7"/>
      <c r="O657" s="7"/>
      <c r="P657" s="7"/>
      <c r="Q657" s="7"/>
      <c r="R657" s="7"/>
      <c r="S657" s="7"/>
      <c r="T657" s="7"/>
      <c r="U657" s="7"/>
      <c r="V657" s="7"/>
      <c r="W657" s="7"/>
    </row>
    <row r="658" spans="1:23" x14ac:dyDescent="0.35">
      <c r="A658" s="251">
        <v>77</v>
      </c>
      <c r="B658" s="251"/>
      <c r="C658" s="252"/>
      <c r="D658" s="253"/>
      <c r="E658" s="253"/>
      <c r="F658" s="255"/>
      <c r="G658" s="251"/>
      <c r="H658" s="159" t="s">
        <v>74</v>
      </c>
      <c r="I658" s="158">
        <f>1113271.32*0.3</f>
        <v>333981.40000000002</v>
      </c>
      <c r="J658" s="158">
        <f>I658/D656</f>
        <v>87.52</v>
      </c>
      <c r="K658" s="158">
        <v>584</v>
      </c>
      <c r="L658" s="7"/>
      <c r="M658" s="7"/>
      <c r="N658" s="7"/>
      <c r="O658" s="7"/>
      <c r="P658" s="7"/>
      <c r="Q658" s="7"/>
      <c r="R658" s="7"/>
      <c r="S658" s="7"/>
      <c r="T658" s="7"/>
      <c r="U658" s="7"/>
      <c r="V658" s="7"/>
      <c r="W658" s="7"/>
    </row>
    <row r="659" spans="1:23" ht="15.75" customHeight="1" x14ac:dyDescent="0.35">
      <c r="A659" s="251">
        <f>A656+1</f>
        <v>84</v>
      </c>
      <c r="B659" s="251">
        <v>1357</v>
      </c>
      <c r="C659" s="252" t="s">
        <v>352</v>
      </c>
      <c r="D659" s="253">
        <v>3930.8</v>
      </c>
      <c r="E659" s="253" t="s">
        <v>75</v>
      </c>
      <c r="F659" s="255">
        <v>5</v>
      </c>
      <c r="G659" s="251" t="s">
        <v>87</v>
      </c>
      <c r="H659" s="159" t="s">
        <v>73</v>
      </c>
      <c r="I659" s="158">
        <f>I660+I661</f>
        <v>508104.81</v>
      </c>
      <c r="J659" s="158">
        <f>J660+J661</f>
        <v>129.26</v>
      </c>
      <c r="K659" s="158">
        <f>K660+K661</f>
        <v>609</v>
      </c>
      <c r="L659" s="7"/>
      <c r="M659" s="7"/>
      <c r="N659" s="7"/>
      <c r="O659" s="7"/>
      <c r="P659" s="7"/>
      <c r="Q659" s="7"/>
      <c r="R659" s="7"/>
      <c r="S659" s="7"/>
      <c r="T659" s="7"/>
      <c r="U659" s="7"/>
      <c r="V659" s="7"/>
      <c r="W659" s="7"/>
    </row>
    <row r="660" spans="1:23" ht="31" x14ac:dyDescent="0.35">
      <c r="A660" s="251">
        <v>75</v>
      </c>
      <c r="B660" s="251"/>
      <c r="C660" s="252"/>
      <c r="D660" s="253"/>
      <c r="E660" s="253"/>
      <c r="F660" s="255"/>
      <c r="G660" s="251"/>
      <c r="H660" s="159" t="s">
        <v>666</v>
      </c>
      <c r="I660" s="158">
        <v>93925.83</v>
      </c>
      <c r="J660" s="158">
        <f>I660/D659</f>
        <v>23.89</v>
      </c>
      <c r="K660" s="158">
        <f>23+2</f>
        <v>25</v>
      </c>
      <c r="L660" s="7"/>
      <c r="M660" s="7"/>
      <c r="N660" s="7"/>
      <c r="O660" s="7"/>
      <c r="P660" s="7"/>
      <c r="Q660" s="7"/>
      <c r="R660" s="7"/>
      <c r="S660" s="7"/>
      <c r="T660" s="7"/>
      <c r="U660" s="7"/>
      <c r="V660" s="7"/>
      <c r="W660" s="7"/>
    </row>
    <row r="661" spans="1:23" x14ac:dyDescent="0.35">
      <c r="A661" s="251"/>
      <c r="B661" s="251"/>
      <c r="C661" s="252"/>
      <c r="D661" s="253"/>
      <c r="E661" s="253"/>
      <c r="F661" s="255"/>
      <c r="G661" s="251"/>
      <c r="H661" s="159" t="s">
        <v>74</v>
      </c>
      <c r="I661" s="158">
        <f>1380596.6*0.3</f>
        <v>414178.98</v>
      </c>
      <c r="J661" s="158">
        <f>I661/D659</f>
        <v>105.37</v>
      </c>
      <c r="K661" s="158">
        <v>584</v>
      </c>
      <c r="L661" s="7"/>
      <c r="M661" s="7"/>
      <c r="N661" s="7"/>
      <c r="O661" s="7"/>
      <c r="P661" s="7"/>
      <c r="Q661" s="7"/>
      <c r="R661" s="7"/>
      <c r="S661" s="7"/>
      <c r="T661" s="7"/>
      <c r="U661" s="7"/>
      <c r="V661" s="7"/>
      <c r="W661" s="7"/>
    </row>
    <row r="662" spans="1:23" ht="15.75" customHeight="1" x14ac:dyDescent="0.35">
      <c r="A662" s="251">
        <f>A659+1</f>
        <v>85</v>
      </c>
      <c r="B662" s="251">
        <v>1358</v>
      </c>
      <c r="C662" s="252" t="s">
        <v>353</v>
      </c>
      <c r="D662" s="253">
        <v>3186.9</v>
      </c>
      <c r="E662" s="253" t="s">
        <v>75</v>
      </c>
      <c r="F662" s="255">
        <v>5</v>
      </c>
      <c r="G662" s="270" t="s">
        <v>87</v>
      </c>
      <c r="H662" s="159" t="s">
        <v>73</v>
      </c>
      <c r="I662" s="158">
        <f>I663</f>
        <v>67015</v>
      </c>
      <c r="J662" s="158">
        <f>J663</f>
        <v>21.03</v>
      </c>
      <c r="K662" s="158">
        <f>K663</f>
        <v>25</v>
      </c>
      <c r="L662" s="7"/>
      <c r="M662" s="7"/>
      <c r="N662" s="7"/>
      <c r="O662" s="7"/>
      <c r="P662" s="7"/>
      <c r="Q662" s="7"/>
      <c r="R662" s="7"/>
      <c r="S662" s="7"/>
      <c r="T662" s="7"/>
      <c r="U662" s="7"/>
      <c r="V662" s="7"/>
      <c r="W662" s="7"/>
    </row>
    <row r="663" spans="1:23" ht="31" x14ac:dyDescent="0.35">
      <c r="A663" s="251">
        <v>75</v>
      </c>
      <c r="B663" s="251"/>
      <c r="C663" s="252"/>
      <c r="D663" s="253"/>
      <c r="E663" s="253"/>
      <c r="F663" s="255"/>
      <c r="G663" s="272"/>
      <c r="H663" s="159" t="s">
        <v>666</v>
      </c>
      <c r="I663" s="158">
        <v>67015</v>
      </c>
      <c r="J663" s="158">
        <f>I663/D662</f>
        <v>21.03</v>
      </c>
      <c r="K663" s="158">
        <f>23+2</f>
        <v>25</v>
      </c>
      <c r="L663" s="7"/>
      <c r="M663" s="7"/>
      <c r="N663" s="7"/>
      <c r="O663" s="7"/>
      <c r="P663" s="7"/>
      <c r="Q663" s="7"/>
      <c r="R663" s="7"/>
      <c r="S663" s="7"/>
      <c r="T663" s="7"/>
      <c r="U663" s="7"/>
      <c r="V663" s="7"/>
      <c r="W663" s="7"/>
    </row>
    <row r="664" spans="1:23" x14ac:dyDescent="0.35">
      <c r="A664" s="251">
        <f>A662+1</f>
        <v>86</v>
      </c>
      <c r="B664" s="251">
        <v>1361</v>
      </c>
      <c r="C664" s="252" t="s">
        <v>354</v>
      </c>
      <c r="D664" s="253">
        <v>4296</v>
      </c>
      <c r="E664" s="253" t="s">
        <v>71</v>
      </c>
      <c r="F664" s="255">
        <v>5</v>
      </c>
      <c r="G664" s="251" t="s">
        <v>72</v>
      </c>
      <c r="H664" s="159" t="s">
        <v>73</v>
      </c>
      <c r="I664" s="158">
        <f>I665+I666</f>
        <v>4979493.59</v>
      </c>
      <c r="J664" s="158">
        <f>J665+J666</f>
        <v>1159.0999999999999</v>
      </c>
      <c r="K664" s="158">
        <f>K665+K666</f>
        <v>3523</v>
      </c>
      <c r="L664" s="7"/>
      <c r="M664" s="7"/>
      <c r="N664" s="7"/>
      <c r="O664" s="7"/>
      <c r="P664" s="7"/>
      <c r="Q664" s="7"/>
      <c r="R664" s="7"/>
      <c r="S664" s="7"/>
      <c r="T664" s="7"/>
      <c r="U664" s="7"/>
      <c r="V664" s="7"/>
      <c r="W664" s="7"/>
    </row>
    <row r="665" spans="1:23" ht="46.5" x14ac:dyDescent="0.35">
      <c r="A665" s="251">
        <v>75</v>
      </c>
      <c r="B665" s="251"/>
      <c r="C665" s="252"/>
      <c r="D665" s="253"/>
      <c r="E665" s="253"/>
      <c r="F665" s="255"/>
      <c r="G665" s="251"/>
      <c r="H665" s="159" t="s">
        <v>796</v>
      </c>
      <c r="I665" s="158">
        <f>579959.99+D664*11</f>
        <v>627215.99</v>
      </c>
      <c r="J665" s="158">
        <f>I665/D664</f>
        <v>146</v>
      </c>
      <c r="K665" s="158">
        <f>135+11</f>
        <v>146</v>
      </c>
      <c r="L665" s="7"/>
      <c r="M665" s="7"/>
      <c r="N665" s="7"/>
      <c r="O665" s="7"/>
      <c r="P665" s="7"/>
      <c r="Q665" s="7"/>
      <c r="R665" s="7"/>
      <c r="S665" s="7"/>
      <c r="T665" s="7"/>
      <c r="U665" s="7"/>
      <c r="V665" s="7"/>
      <c r="W665" s="7"/>
    </row>
    <row r="666" spans="1:23" ht="31" x14ac:dyDescent="0.35">
      <c r="A666" s="251">
        <v>77</v>
      </c>
      <c r="B666" s="251"/>
      <c r="C666" s="252"/>
      <c r="D666" s="253"/>
      <c r="E666" s="253"/>
      <c r="F666" s="255"/>
      <c r="G666" s="251"/>
      <c r="H666" s="159" t="s">
        <v>86</v>
      </c>
      <c r="I666" s="158">
        <f>K666*D664*0.3</f>
        <v>4352277.5999999996</v>
      </c>
      <c r="J666" s="158">
        <f>I666/D664</f>
        <v>1013.1</v>
      </c>
      <c r="K666" s="158">
        <v>3377</v>
      </c>
      <c r="L666" s="7"/>
      <c r="M666" s="7"/>
      <c r="N666" s="7"/>
      <c r="O666" s="7"/>
      <c r="P666" s="7"/>
      <c r="Q666" s="7"/>
      <c r="R666" s="7"/>
      <c r="S666" s="7"/>
      <c r="T666" s="7"/>
      <c r="U666" s="7"/>
      <c r="V666" s="7"/>
      <c r="W666" s="7"/>
    </row>
    <row r="667" spans="1:23" x14ac:dyDescent="0.35">
      <c r="A667" s="251">
        <f>A664+1</f>
        <v>87</v>
      </c>
      <c r="B667" s="251">
        <v>1818</v>
      </c>
      <c r="C667" s="252" t="s">
        <v>355</v>
      </c>
      <c r="D667" s="253">
        <v>1284.2</v>
      </c>
      <c r="E667" s="253" t="s">
        <v>75</v>
      </c>
      <c r="F667" s="255">
        <v>4</v>
      </c>
      <c r="G667" s="251" t="s">
        <v>72</v>
      </c>
      <c r="H667" s="159" t="s">
        <v>73</v>
      </c>
      <c r="I667" s="158">
        <f>I668+I669</f>
        <v>3070049.02</v>
      </c>
      <c r="J667" s="158">
        <f>J668+J669</f>
        <v>2390.63</v>
      </c>
      <c r="K667" s="158">
        <f>K668+K669</f>
        <v>4728</v>
      </c>
      <c r="L667" s="7"/>
      <c r="M667" s="7"/>
      <c r="N667" s="7"/>
      <c r="O667" s="7"/>
      <c r="P667" s="7"/>
      <c r="Q667" s="7"/>
      <c r="R667" s="7"/>
      <c r="S667" s="7"/>
      <c r="T667" s="7"/>
      <c r="U667" s="7"/>
      <c r="V667" s="7"/>
      <c r="W667" s="7"/>
    </row>
    <row r="668" spans="1:23" x14ac:dyDescent="0.35">
      <c r="A668" s="251">
        <v>75</v>
      </c>
      <c r="B668" s="251"/>
      <c r="C668" s="252"/>
      <c r="D668" s="253"/>
      <c r="E668" s="253"/>
      <c r="F668" s="255"/>
      <c r="G668" s="251"/>
      <c r="H668" s="159" t="s">
        <v>74</v>
      </c>
      <c r="I668" s="158">
        <v>3009638.38</v>
      </c>
      <c r="J668" s="158">
        <f>I668/D667</f>
        <v>2343.59</v>
      </c>
      <c r="K668" s="158">
        <v>4629</v>
      </c>
      <c r="L668" s="7"/>
      <c r="M668" s="7"/>
      <c r="N668" s="7"/>
      <c r="O668" s="7"/>
      <c r="P668" s="7"/>
      <c r="Q668" s="7"/>
      <c r="R668" s="7"/>
      <c r="S668" s="7"/>
      <c r="T668" s="7"/>
      <c r="U668" s="7"/>
      <c r="V668" s="7"/>
      <c r="W668" s="7"/>
    </row>
    <row r="669" spans="1:23" x14ac:dyDescent="0.35">
      <c r="A669" s="251">
        <v>76</v>
      </c>
      <c r="B669" s="251"/>
      <c r="C669" s="252"/>
      <c r="D669" s="253"/>
      <c r="E669" s="253"/>
      <c r="F669" s="255"/>
      <c r="G669" s="251"/>
      <c r="H669" s="159" t="s">
        <v>76</v>
      </c>
      <c r="I669" s="158">
        <v>60410.64</v>
      </c>
      <c r="J669" s="158">
        <f>I669/D667</f>
        <v>47.04</v>
      </c>
      <c r="K669" s="158">
        <v>99</v>
      </c>
      <c r="L669" s="7"/>
      <c r="M669" s="7"/>
      <c r="N669" s="7"/>
      <c r="O669" s="7"/>
      <c r="P669" s="7"/>
      <c r="Q669" s="7"/>
      <c r="R669" s="7"/>
      <c r="S669" s="7"/>
      <c r="T669" s="7"/>
      <c r="U669" s="7"/>
      <c r="V669" s="7"/>
      <c r="W669" s="7"/>
    </row>
    <row r="670" spans="1:23" x14ac:dyDescent="0.35">
      <c r="A670" s="251">
        <f>A667+1</f>
        <v>88</v>
      </c>
      <c r="B670" s="251">
        <v>1271</v>
      </c>
      <c r="C670" s="252" t="s">
        <v>356</v>
      </c>
      <c r="D670" s="253">
        <v>5305.3</v>
      </c>
      <c r="E670" s="253" t="s">
        <v>75</v>
      </c>
      <c r="F670" s="255">
        <v>5</v>
      </c>
      <c r="G670" s="251" t="s">
        <v>72</v>
      </c>
      <c r="H670" s="159" t="s">
        <v>73</v>
      </c>
      <c r="I670" s="158">
        <f>I671</f>
        <v>185002.91</v>
      </c>
      <c r="J670" s="158">
        <f>J671</f>
        <v>34.869999999999997</v>
      </c>
      <c r="K670" s="158">
        <f>K671</f>
        <v>164</v>
      </c>
      <c r="L670" s="7"/>
      <c r="M670" s="7"/>
      <c r="N670" s="7"/>
      <c r="O670" s="7"/>
      <c r="P670" s="7"/>
      <c r="Q670" s="7"/>
      <c r="R670" s="7"/>
      <c r="S670" s="7"/>
      <c r="T670" s="7"/>
      <c r="U670" s="7"/>
      <c r="V670" s="7"/>
      <c r="W670" s="7"/>
    </row>
    <row r="671" spans="1:23" ht="46.5" x14ac:dyDescent="0.35">
      <c r="A671" s="251">
        <v>75</v>
      </c>
      <c r="B671" s="251"/>
      <c r="C671" s="252"/>
      <c r="D671" s="253"/>
      <c r="E671" s="253"/>
      <c r="F671" s="255"/>
      <c r="G671" s="251"/>
      <c r="H671" s="159" t="s">
        <v>705</v>
      </c>
      <c r="I671" s="158">
        <v>185002.91</v>
      </c>
      <c r="J671" s="158">
        <f>I671/D670</f>
        <v>34.869999999999997</v>
      </c>
      <c r="K671" s="158">
        <f>151+13</f>
        <v>164</v>
      </c>
      <c r="L671" s="7"/>
      <c r="M671" s="7"/>
      <c r="N671" s="7"/>
      <c r="O671" s="7"/>
      <c r="P671" s="7"/>
      <c r="Q671" s="7"/>
      <c r="R671" s="7"/>
      <c r="S671" s="7"/>
      <c r="T671" s="7"/>
      <c r="U671" s="7"/>
      <c r="V671" s="7"/>
      <c r="W671" s="7"/>
    </row>
    <row r="672" spans="1:23" x14ac:dyDescent="0.35">
      <c r="A672" s="256">
        <f>A670+1</f>
        <v>89</v>
      </c>
      <c r="B672" s="256">
        <v>1296</v>
      </c>
      <c r="C672" s="259" t="s">
        <v>357</v>
      </c>
      <c r="D672" s="279">
        <v>1278.3</v>
      </c>
      <c r="E672" s="279" t="s">
        <v>75</v>
      </c>
      <c r="F672" s="291">
        <v>4</v>
      </c>
      <c r="G672" s="123"/>
      <c r="H672" s="159" t="s">
        <v>73</v>
      </c>
      <c r="I672" s="158">
        <f>SUM(I673:I684)</f>
        <v>3442319.11</v>
      </c>
      <c r="J672" s="158">
        <f>SUM(J673:J684)</f>
        <v>2692.89</v>
      </c>
      <c r="K672" s="158">
        <f>SUM(K673:K684)</f>
        <v>5895</v>
      </c>
      <c r="L672" s="7"/>
      <c r="M672" s="7"/>
      <c r="N672" s="7"/>
      <c r="O672" s="7"/>
      <c r="P672" s="7"/>
      <c r="Q672" s="7"/>
      <c r="R672" s="7"/>
      <c r="S672" s="7"/>
      <c r="T672" s="7"/>
      <c r="U672" s="7"/>
      <c r="V672" s="7"/>
      <c r="W672" s="7"/>
    </row>
    <row r="673" spans="1:23" ht="15.75" customHeight="1" x14ac:dyDescent="0.35">
      <c r="A673" s="257"/>
      <c r="B673" s="257"/>
      <c r="C673" s="260"/>
      <c r="D673" s="280"/>
      <c r="E673" s="280"/>
      <c r="F673" s="292"/>
      <c r="G673" s="251" t="s">
        <v>87</v>
      </c>
      <c r="H673" s="159" t="s">
        <v>74</v>
      </c>
      <c r="I673" s="158">
        <v>380841.81</v>
      </c>
      <c r="J673" s="158">
        <f>I673/D672</f>
        <v>297.93</v>
      </c>
      <c r="K673" s="158">
        <v>584</v>
      </c>
      <c r="L673" s="7"/>
      <c r="M673" s="7"/>
      <c r="N673" s="7"/>
      <c r="O673" s="7"/>
      <c r="P673" s="7"/>
      <c r="Q673" s="7"/>
      <c r="R673" s="7"/>
      <c r="S673" s="7"/>
      <c r="T673" s="7"/>
      <c r="U673" s="7"/>
      <c r="V673" s="7"/>
      <c r="W673" s="7"/>
    </row>
    <row r="674" spans="1:23" x14ac:dyDescent="0.35">
      <c r="A674" s="257"/>
      <c r="B674" s="257"/>
      <c r="C674" s="260"/>
      <c r="D674" s="280"/>
      <c r="E674" s="280"/>
      <c r="F674" s="292"/>
      <c r="G674" s="251"/>
      <c r="H674" s="159" t="s">
        <v>76</v>
      </c>
      <c r="I674" s="158">
        <v>8150.01</v>
      </c>
      <c r="J674" s="158">
        <f>I674/D672</f>
        <v>6.38</v>
      </c>
      <c r="K674" s="158">
        <v>12</v>
      </c>
      <c r="L674" s="7"/>
      <c r="M674" s="7"/>
      <c r="N674" s="7"/>
      <c r="O674" s="7"/>
      <c r="P674" s="7"/>
      <c r="Q674" s="7"/>
      <c r="R674" s="7"/>
      <c r="S674" s="7"/>
      <c r="T674" s="7"/>
      <c r="U674" s="7"/>
      <c r="V674" s="7"/>
      <c r="W674" s="7"/>
    </row>
    <row r="675" spans="1:23" ht="15.75" customHeight="1" x14ac:dyDescent="0.35">
      <c r="A675" s="257"/>
      <c r="B675" s="257"/>
      <c r="C675" s="260"/>
      <c r="D675" s="280"/>
      <c r="E675" s="280"/>
      <c r="F675" s="292"/>
      <c r="G675" s="251" t="s">
        <v>77</v>
      </c>
      <c r="H675" s="159" t="s">
        <v>74</v>
      </c>
      <c r="I675" s="158">
        <v>1715404.19</v>
      </c>
      <c r="J675" s="158">
        <f>I675/D672</f>
        <v>1341.94</v>
      </c>
      <c r="K675" s="158">
        <v>2691</v>
      </c>
      <c r="L675" s="7"/>
      <c r="M675" s="7"/>
      <c r="N675" s="7"/>
      <c r="O675" s="7"/>
      <c r="P675" s="7"/>
      <c r="Q675" s="7"/>
      <c r="R675" s="7"/>
      <c r="S675" s="7"/>
      <c r="T675" s="7"/>
      <c r="U675" s="7"/>
      <c r="V675" s="7"/>
      <c r="W675" s="7"/>
    </row>
    <row r="676" spans="1:23" x14ac:dyDescent="0.35">
      <c r="A676" s="257"/>
      <c r="B676" s="257"/>
      <c r="C676" s="260"/>
      <c r="D676" s="280"/>
      <c r="E676" s="280"/>
      <c r="F676" s="292"/>
      <c r="G676" s="251"/>
      <c r="H676" s="159" t="s">
        <v>76</v>
      </c>
      <c r="I676" s="158">
        <v>36709.64</v>
      </c>
      <c r="J676" s="158">
        <f>I676/D672</f>
        <v>28.72</v>
      </c>
      <c r="K676" s="158">
        <v>58</v>
      </c>
      <c r="L676" s="7"/>
      <c r="M676" s="7"/>
      <c r="N676" s="7"/>
      <c r="O676" s="7"/>
      <c r="P676" s="7"/>
      <c r="Q676" s="7"/>
      <c r="R676" s="7"/>
      <c r="S676" s="7"/>
      <c r="T676" s="7"/>
      <c r="U676" s="7"/>
      <c r="V676" s="7"/>
      <c r="W676" s="7"/>
    </row>
    <row r="677" spans="1:23" ht="15.75" customHeight="1" x14ac:dyDescent="0.35">
      <c r="A677" s="257"/>
      <c r="B677" s="257"/>
      <c r="C677" s="260"/>
      <c r="D677" s="280"/>
      <c r="E677" s="280"/>
      <c r="F677" s="292"/>
      <c r="G677" s="251" t="s">
        <v>78</v>
      </c>
      <c r="H677" s="159" t="s">
        <v>74</v>
      </c>
      <c r="I677" s="158">
        <v>195231.14</v>
      </c>
      <c r="J677" s="158">
        <f>I677/D672</f>
        <v>152.72999999999999</v>
      </c>
      <c r="K677" s="158">
        <v>463</v>
      </c>
      <c r="L677" s="7"/>
      <c r="M677" s="7"/>
      <c r="N677" s="7"/>
      <c r="O677" s="7"/>
      <c r="P677" s="7"/>
      <c r="Q677" s="7"/>
      <c r="R677" s="7"/>
      <c r="S677" s="7"/>
      <c r="T677" s="7"/>
      <c r="U677" s="7"/>
      <c r="V677" s="7"/>
      <c r="W677" s="7"/>
    </row>
    <row r="678" spans="1:23" x14ac:dyDescent="0.35">
      <c r="A678" s="257"/>
      <c r="B678" s="257"/>
      <c r="C678" s="260"/>
      <c r="D678" s="280"/>
      <c r="E678" s="280"/>
      <c r="F678" s="292"/>
      <c r="G678" s="251"/>
      <c r="H678" s="159" t="s">
        <v>76</v>
      </c>
      <c r="I678" s="158">
        <v>4177.95</v>
      </c>
      <c r="J678" s="158">
        <f>I678/D672</f>
        <v>3.27</v>
      </c>
      <c r="K678" s="158">
        <v>10</v>
      </c>
      <c r="L678" s="7"/>
      <c r="M678" s="7"/>
      <c r="N678" s="7"/>
      <c r="O678" s="7"/>
      <c r="P678" s="7"/>
      <c r="Q678" s="7"/>
      <c r="R678" s="7"/>
      <c r="S678" s="7"/>
      <c r="T678" s="7"/>
      <c r="U678" s="7"/>
      <c r="V678" s="7"/>
      <c r="W678" s="7"/>
    </row>
    <row r="679" spans="1:23" ht="15.75" customHeight="1" x14ac:dyDescent="0.35">
      <c r="A679" s="257"/>
      <c r="B679" s="257"/>
      <c r="C679" s="260"/>
      <c r="D679" s="280"/>
      <c r="E679" s="280"/>
      <c r="F679" s="292"/>
      <c r="G679" s="251" t="s">
        <v>79</v>
      </c>
      <c r="H679" s="159" t="s">
        <v>74</v>
      </c>
      <c r="I679" s="158">
        <v>378665.75</v>
      </c>
      <c r="J679" s="158">
        <f>I679/D672-0.01</f>
        <v>296.22000000000003</v>
      </c>
      <c r="K679" s="158">
        <v>409</v>
      </c>
      <c r="L679" s="7"/>
      <c r="M679" s="7"/>
      <c r="N679" s="7"/>
      <c r="O679" s="7"/>
      <c r="P679" s="7"/>
      <c r="Q679" s="7"/>
      <c r="R679" s="7"/>
      <c r="S679" s="7"/>
      <c r="T679" s="7"/>
      <c r="U679" s="7"/>
      <c r="V679" s="7"/>
      <c r="W679" s="7"/>
    </row>
    <row r="680" spans="1:23" x14ac:dyDescent="0.35">
      <c r="A680" s="257"/>
      <c r="B680" s="257"/>
      <c r="C680" s="260"/>
      <c r="D680" s="280"/>
      <c r="E680" s="280"/>
      <c r="F680" s="292"/>
      <c r="G680" s="251"/>
      <c r="H680" s="159" t="s">
        <v>76</v>
      </c>
      <c r="I680" s="158">
        <v>8103.45</v>
      </c>
      <c r="J680" s="158">
        <f>I680/D672</f>
        <v>6.34</v>
      </c>
      <c r="K680" s="158">
        <v>9</v>
      </c>
      <c r="L680" s="7"/>
      <c r="M680" s="7"/>
      <c r="N680" s="7"/>
      <c r="O680" s="7"/>
      <c r="P680" s="7"/>
      <c r="Q680" s="7"/>
      <c r="R680" s="7"/>
      <c r="S680" s="7"/>
      <c r="T680" s="7"/>
      <c r="U680" s="7"/>
      <c r="V680" s="7"/>
      <c r="W680" s="7"/>
    </row>
    <row r="681" spans="1:23" ht="15.75" customHeight="1" x14ac:dyDescent="0.35">
      <c r="A681" s="257"/>
      <c r="B681" s="257"/>
      <c r="C681" s="260"/>
      <c r="D681" s="280"/>
      <c r="E681" s="280"/>
      <c r="F681" s="292"/>
      <c r="G681" s="251" t="s">
        <v>90</v>
      </c>
      <c r="H681" s="159" t="s">
        <v>74</v>
      </c>
      <c r="I681" s="158">
        <v>208863.52</v>
      </c>
      <c r="J681" s="158">
        <f>I681/D672</f>
        <v>163.38999999999999</v>
      </c>
      <c r="K681" s="158">
        <v>448</v>
      </c>
      <c r="L681" s="7"/>
      <c r="M681" s="7"/>
      <c r="N681" s="7"/>
      <c r="O681" s="7"/>
      <c r="P681" s="7"/>
      <c r="Q681" s="7"/>
      <c r="R681" s="7"/>
      <c r="S681" s="7"/>
      <c r="T681" s="7"/>
      <c r="U681" s="7"/>
      <c r="V681" s="7"/>
      <c r="W681" s="7"/>
    </row>
    <row r="682" spans="1:23" x14ac:dyDescent="0.35">
      <c r="A682" s="257"/>
      <c r="B682" s="257"/>
      <c r="C682" s="260"/>
      <c r="D682" s="280"/>
      <c r="E682" s="280"/>
      <c r="F682" s="292"/>
      <c r="G682" s="251"/>
      <c r="H682" s="159" t="s">
        <v>76</v>
      </c>
      <c r="I682" s="158">
        <v>4469.68</v>
      </c>
      <c r="J682" s="158">
        <f>I682/D672</f>
        <v>3.5</v>
      </c>
      <c r="K682" s="158">
        <v>10</v>
      </c>
      <c r="L682" s="7"/>
      <c r="M682" s="7"/>
      <c r="N682" s="7"/>
      <c r="O682" s="7"/>
      <c r="P682" s="7"/>
      <c r="Q682" s="7"/>
      <c r="R682" s="7"/>
      <c r="S682" s="7"/>
      <c r="T682" s="7"/>
      <c r="U682" s="7"/>
      <c r="V682" s="7"/>
      <c r="W682" s="7"/>
    </row>
    <row r="683" spans="1:23" ht="15.75" customHeight="1" x14ac:dyDescent="0.35">
      <c r="A683" s="257"/>
      <c r="B683" s="257"/>
      <c r="C683" s="260"/>
      <c r="D683" s="280"/>
      <c r="E683" s="280"/>
      <c r="F683" s="292"/>
      <c r="G683" s="251" t="s">
        <v>696</v>
      </c>
      <c r="H683" s="159" t="s">
        <v>688</v>
      </c>
      <c r="I683" s="158">
        <v>491190.49</v>
      </c>
      <c r="J683" s="158">
        <f>I683/D672</f>
        <v>384.25</v>
      </c>
      <c r="K683" s="158">
        <v>1176</v>
      </c>
      <c r="L683" s="7"/>
      <c r="M683" s="7"/>
      <c r="N683" s="7"/>
      <c r="O683" s="7"/>
      <c r="P683" s="7"/>
      <c r="Q683" s="7"/>
      <c r="R683" s="7"/>
      <c r="S683" s="7"/>
      <c r="T683" s="7"/>
      <c r="U683" s="7"/>
      <c r="V683" s="7"/>
      <c r="W683" s="7"/>
    </row>
    <row r="684" spans="1:23" x14ac:dyDescent="0.35">
      <c r="A684" s="258"/>
      <c r="B684" s="258"/>
      <c r="C684" s="261"/>
      <c r="D684" s="281"/>
      <c r="E684" s="281"/>
      <c r="F684" s="294"/>
      <c r="G684" s="251"/>
      <c r="H684" s="159" t="s">
        <v>76</v>
      </c>
      <c r="I684" s="158">
        <f>2.14*I683/100</f>
        <v>10511.48</v>
      </c>
      <c r="J684" s="158">
        <f>I684/D672</f>
        <v>8.2200000000000006</v>
      </c>
      <c r="K684" s="158">
        <v>25</v>
      </c>
      <c r="L684" s="7"/>
      <c r="M684" s="7"/>
      <c r="N684" s="7"/>
      <c r="O684" s="7"/>
      <c r="P684" s="7"/>
      <c r="Q684" s="7"/>
      <c r="R684" s="7"/>
      <c r="S684" s="7"/>
      <c r="T684" s="7"/>
      <c r="U684" s="7"/>
      <c r="V684" s="7"/>
      <c r="W684" s="7"/>
    </row>
    <row r="685" spans="1:23" ht="15.75" customHeight="1" x14ac:dyDescent="0.35">
      <c r="A685" s="251">
        <f>A672+1</f>
        <v>90</v>
      </c>
      <c r="B685" s="251">
        <v>1628</v>
      </c>
      <c r="C685" s="252" t="s">
        <v>697</v>
      </c>
      <c r="D685" s="253">
        <v>6113.76</v>
      </c>
      <c r="E685" s="253" t="s">
        <v>75</v>
      </c>
      <c r="F685" s="255">
        <v>5</v>
      </c>
      <c r="G685" s="256" t="s">
        <v>687</v>
      </c>
      <c r="H685" s="159" t="s">
        <v>73</v>
      </c>
      <c r="I685" s="158">
        <f>I686+I687</f>
        <v>210346.09</v>
      </c>
      <c r="J685" s="158">
        <f>J686+J687</f>
        <v>34.409999999999997</v>
      </c>
      <c r="K685" s="158">
        <f>K686+K687</f>
        <v>1201</v>
      </c>
      <c r="L685" s="7"/>
      <c r="M685" s="7"/>
      <c r="N685" s="7"/>
      <c r="O685" s="7"/>
      <c r="P685" s="7"/>
      <c r="Q685" s="7"/>
      <c r="R685" s="7"/>
      <c r="S685" s="7"/>
      <c r="T685" s="7"/>
      <c r="U685" s="7"/>
      <c r="V685" s="7"/>
      <c r="W685" s="7"/>
    </row>
    <row r="686" spans="1:23" x14ac:dyDescent="0.35">
      <c r="A686" s="251"/>
      <c r="B686" s="251"/>
      <c r="C686" s="252"/>
      <c r="D686" s="253"/>
      <c r="E686" s="253"/>
      <c r="F686" s="255"/>
      <c r="G686" s="257"/>
      <c r="H686" s="159" t="s">
        <v>688</v>
      </c>
      <c r="I686" s="158">
        <v>205939</v>
      </c>
      <c r="J686" s="158">
        <f>I686/D685+0.01</f>
        <v>33.69</v>
      </c>
      <c r="K686" s="158">
        <v>1176</v>
      </c>
      <c r="L686" s="7"/>
      <c r="M686" s="7"/>
      <c r="N686" s="7"/>
      <c r="O686" s="7"/>
      <c r="P686" s="7"/>
      <c r="Q686" s="7"/>
      <c r="R686" s="7"/>
      <c r="S686" s="7"/>
      <c r="T686" s="7"/>
      <c r="U686" s="7"/>
      <c r="V686" s="7"/>
      <c r="W686" s="7"/>
    </row>
    <row r="687" spans="1:23" ht="86.25" customHeight="1" x14ac:dyDescent="0.35">
      <c r="A687" s="251"/>
      <c r="B687" s="251"/>
      <c r="C687" s="252"/>
      <c r="D687" s="253"/>
      <c r="E687" s="253"/>
      <c r="F687" s="255"/>
      <c r="G687" s="258"/>
      <c r="H687" s="159" t="s">
        <v>76</v>
      </c>
      <c r="I687" s="158">
        <v>4407.09</v>
      </c>
      <c r="J687" s="158">
        <f>I687/D685</f>
        <v>0.72</v>
      </c>
      <c r="K687" s="158">
        <v>25</v>
      </c>
      <c r="L687" s="7"/>
      <c r="M687" s="7"/>
      <c r="N687" s="7"/>
      <c r="O687" s="7"/>
      <c r="P687" s="7"/>
      <c r="Q687" s="7"/>
      <c r="R687" s="7"/>
      <c r="S687" s="7"/>
      <c r="T687" s="7"/>
      <c r="U687" s="7"/>
      <c r="V687" s="7"/>
      <c r="W687" s="7"/>
    </row>
    <row r="688" spans="1:23" x14ac:dyDescent="0.35">
      <c r="A688" s="251">
        <f>A685+1</f>
        <v>91</v>
      </c>
      <c r="B688" s="251">
        <v>1630</v>
      </c>
      <c r="C688" s="252" t="s">
        <v>359</v>
      </c>
      <c r="D688" s="274">
        <v>2043</v>
      </c>
      <c r="E688" s="274" t="s">
        <v>75</v>
      </c>
      <c r="F688" s="293">
        <v>5</v>
      </c>
      <c r="G688" s="251" t="s">
        <v>72</v>
      </c>
      <c r="H688" s="159" t="s">
        <v>73</v>
      </c>
      <c r="I688" s="158">
        <f>I689</f>
        <v>234912.75</v>
      </c>
      <c r="J688" s="158">
        <f>J689</f>
        <v>114.98</v>
      </c>
      <c r="K688" s="158">
        <f>K689</f>
        <v>164</v>
      </c>
      <c r="L688" s="7"/>
      <c r="M688" s="7"/>
      <c r="N688" s="7"/>
      <c r="O688" s="7"/>
      <c r="P688" s="7"/>
      <c r="Q688" s="7"/>
      <c r="R688" s="7"/>
      <c r="S688" s="7"/>
      <c r="T688" s="7"/>
      <c r="U688" s="7"/>
      <c r="V688" s="7"/>
      <c r="W688" s="7"/>
    </row>
    <row r="689" spans="1:23" ht="46.5" x14ac:dyDescent="0.35">
      <c r="A689" s="251">
        <v>75</v>
      </c>
      <c r="B689" s="251"/>
      <c r="C689" s="252"/>
      <c r="D689" s="274"/>
      <c r="E689" s="274"/>
      <c r="F689" s="293"/>
      <c r="G689" s="251"/>
      <c r="H689" s="159" t="s">
        <v>705</v>
      </c>
      <c r="I689" s="158">
        <v>234912.75</v>
      </c>
      <c r="J689" s="158">
        <f>I689/D688</f>
        <v>114.98</v>
      </c>
      <c r="K689" s="158">
        <f>151+13</f>
        <v>164</v>
      </c>
      <c r="L689" s="7"/>
      <c r="M689" s="7"/>
      <c r="N689" s="7"/>
      <c r="O689" s="7"/>
      <c r="P689" s="7"/>
      <c r="Q689" s="7"/>
      <c r="R689" s="7"/>
      <c r="S689" s="7"/>
      <c r="T689" s="7"/>
      <c r="U689" s="7"/>
      <c r="V689" s="7"/>
      <c r="W689" s="7"/>
    </row>
    <row r="690" spans="1:23" x14ac:dyDescent="0.35">
      <c r="A690" s="251">
        <f>A688+1</f>
        <v>92</v>
      </c>
      <c r="B690" s="251">
        <v>1468</v>
      </c>
      <c r="C690" s="252" t="s">
        <v>360</v>
      </c>
      <c r="D690" s="253">
        <v>3089.7</v>
      </c>
      <c r="E690" s="253" t="s">
        <v>75</v>
      </c>
      <c r="F690" s="255">
        <v>5</v>
      </c>
      <c r="G690" s="251" t="s">
        <v>72</v>
      </c>
      <c r="H690" s="159" t="s">
        <v>73</v>
      </c>
      <c r="I690" s="158">
        <f>I691+I692</f>
        <v>5232535.2699999996</v>
      </c>
      <c r="J690" s="158">
        <f>J691+J692</f>
        <v>1693.54</v>
      </c>
      <c r="K690" s="158">
        <f>K691+K692</f>
        <v>2831</v>
      </c>
      <c r="L690" s="7"/>
      <c r="M690" s="7"/>
      <c r="N690" s="7"/>
      <c r="O690" s="7"/>
      <c r="P690" s="7"/>
      <c r="Q690" s="7"/>
      <c r="R690" s="7"/>
      <c r="S690" s="7"/>
      <c r="T690" s="7"/>
      <c r="U690" s="7"/>
      <c r="V690" s="7"/>
      <c r="W690" s="7"/>
    </row>
    <row r="691" spans="1:23" x14ac:dyDescent="0.35">
      <c r="A691" s="251">
        <v>75</v>
      </c>
      <c r="B691" s="251"/>
      <c r="C691" s="252"/>
      <c r="D691" s="253"/>
      <c r="E691" s="253"/>
      <c r="F691" s="255"/>
      <c r="G691" s="251"/>
      <c r="H691" s="159" t="s">
        <v>74</v>
      </c>
      <c r="I691" s="158">
        <v>5122905.0999999996</v>
      </c>
      <c r="J691" s="158">
        <f>I691/D690</f>
        <v>1658.06</v>
      </c>
      <c r="K691" s="158">
        <v>2772</v>
      </c>
      <c r="L691" s="7"/>
      <c r="M691" s="7"/>
      <c r="N691" s="7"/>
      <c r="O691" s="7"/>
      <c r="P691" s="7"/>
      <c r="Q691" s="7"/>
      <c r="R691" s="7"/>
      <c r="S691" s="7"/>
      <c r="T691" s="7"/>
      <c r="U691" s="7"/>
      <c r="V691" s="7"/>
      <c r="W691" s="7"/>
    </row>
    <row r="692" spans="1:23" x14ac:dyDescent="0.35">
      <c r="A692" s="251">
        <v>76</v>
      </c>
      <c r="B692" s="251"/>
      <c r="C692" s="252"/>
      <c r="D692" s="253"/>
      <c r="E692" s="253"/>
      <c r="F692" s="255"/>
      <c r="G692" s="251"/>
      <c r="H692" s="159" t="s">
        <v>76</v>
      </c>
      <c r="I692" s="158">
        <v>109630.17</v>
      </c>
      <c r="J692" s="158">
        <f>I692/D690</f>
        <v>35.479999999999997</v>
      </c>
      <c r="K692" s="158">
        <v>59</v>
      </c>
      <c r="L692" s="7"/>
      <c r="M692" s="7"/>
      <c r="N692" s="7"/>
      <c r="O692" s="7"/>
      <c r="P692" s="7"/>
      <c r="Q692" s="7"/>
      <c r="R692" s="7"/>
      <c r="S692" s="7"/>
      <c r="T692" s="7"/>
      <c r="U692" s="7"/>
      <c r="V692" s="7"/>
      <c r="W692" s="7"/>
    </row>
    <row r="693" spans="1:23" ht="15.75" customHeight="1" x14ac:dyDescent="0.35">
      <c r="A693" s="251">
        <f>A690+1</f>
        <v>93</v>
      </c>
      <c r="B693" s="251">
        <v>4282</v>
      </c>
      <c r="C693" s="252" t="s">
        <v>362</v>
      </c>
      <c r="D693" s="253">
        <v>4517.62</v>
      </c>
      <c r="E693" s="253" t="s">
        <v>71</v>
      </c>
      <c r="F693" s="255">
        <v>10</v>
      </c>
      <c r="G693" s="123"/>
      <c r="H693" s="159" t="s">
        <v>73</v>
      </c>
      <c r="I693" s="158">
        <f>I694+I695+I696+I697+I698+I699</f>
        <v>3445996.26</v>
      </c>
      <c r="J693" s="158">
        <f>J694+J695+J696+J697+J698+J699</f>
        <v>762.79</v>
      </c>
      <c r="K693" s="158">
        <f>K694+K695+K696+K697+K698+K699</f>
        <v>783.59</v>
      </c>
      <c r="L693" s="7"/>
      <c r="M693" s="7"/>
      <c r="N693" s="7"/>
      <c r="O693" s="7"/>
      <c r="P693" s="7"/>
      <c r="Q693" s="7"/>
      <c r="R693" s="7"/>
      <c r="S693" s="7"/>
      <c r="T693" s="7"/>
      <c r="U693" s="7"/>
      <c r="V693" s="7"/>
      <c r="W693" s="7"/>
    </row>
    <row r="694" spans="1:23" ht="31" x14ac:dyDescent="0.35">
      <c r="A694" s="251"/>
      <c r="B694" s="251"/>
      <c r="C694" s="252"/>
      <c r="D694" s="253"/>
      <c r="E694" s="253"/>
      <c r="F694" s="255"/>
      <c r="G694" s="256" t="s">
        <v>673</v>
      </c>
      <c r="H694" s="159" t="s">
        <v>666</v>
      </c>
      <c r="I694" s="158">
        <v>0</v>
      </c>
      <c r="J694" s="158">
        <v>0</v>
      </c>
      <c r="K694" s="158">
        <f>24580/D693</f>
        <v>5.44</v>
      </c>
      <c r="L694" s="7"/>
      <c r="M694" s="7"/>
      <c r="N694" s="7"/>
      <c r="O694" s="7"/>
      <c r="P694" s="7"/>
      <c r="Q694" s="7"/>
      <c r="R694" s="7"/>
      <c r="S694" s="7"/>
      <c r="T694" s="7"/>
      <c r="U694" s="7"/>
      <c r="V694" s="7"/>
      <c r="W694" s="7"/>
    </row>
    <row r="695" spans="1:23" x14ac:dyDescent="0.35">
      <c r="A695" s="251">
        <v>756</v>
      </c>
      <c r="B695" s="251"/>
      <c r="C695" s="252"/>
      <c r="D695" s="253"/>
      <c r="E695" s="253"/>
      <c r="F695" s="255"/>
      <c r="G695" s="257"/>
      <c r="H695" s="159" t="s">
        <v>674</v>
      </c>
      <c r="I695" s="158">
        <v>1686898.5</v>
      </c>
      <c r="J695" s="158">
        <f>I695/D693</f>
        <v>373.4</v>
      </c>
      <c r="K695" s="158">
        <f>1708823/D693</f>
        <v>378.26</v>
      </c>
      <c r="L695" s="7"/>
      <c r="M695" s="7"/>
      <c r="N695" s="7"/>
      <c r="O695" s="7"/>
      <c r="P695" s="7"/>
      <c r="Q695" s="7"/>
      <c r="R695" s="7"/>
      <c r="S695" s="7"/>
      <c r="T695" s="7"/>
      <c r="U695" s="7"/>
      <c r="V695" s="7"/>
      <c r="W695" s="7"/>
    </row>
    <row r="696" spans="1:23" x14ac:dyDescent="0.35">
      <c r="A696" s="251">
        <v>757</v>
      </c>
      <c r="B696" s="251"/>
      <c r="C696" s="252"/>
      <c r="D696" s="253"/>
      <c r="E696" s="253"/>
      <c r="F696" s="255"/>
      <c r="G696" s="258"/>
      <c r="H696" s="159" t="s">
        <v>76</v>
      </c>
      <c r="I696" s="158">
        <f>I695*0.0214</f>
        <v>36099.629999999997</v>
      </c>
      <c r="J696" s="158">
        <f>I696/D693</f>
        <v>7.99</v>
      </c>
      <c r="K696" s="158">
        <f>36569/D693</f>
        <v>8.09</v>
      </c>
      <c r="L696" s="7"/>
      <c r="M696" s="7"/>
      <c r="N696" s="7"/>
      <c r="O696" s="7"/>
      <c r="P696" s="7"/>
      <c r="Q696" s="7"/>
      <c r="R696" s="7"/>
      <c r="S696" s="7"/>
      <c r="T696" s="7"/>
      <c r="U696" s="7"/>
      <c r="V696" s="7"/>
      <c r="W696" s="7"/>
    </row>
    <row r="697" spans="1:23" ht="31" x14ac:dyDescent="0.35">
      <c r="A697" s="251"/>
      <c r="B697" s="251"/>
      <c r="C697" s="252"/>
      <c r="D697" s="253"/>
      <c r="E697" s="253"/>
      <c r="F697" s="255"/>
      <c r="G697" s="256" t="s">
        <v>679</v>
      </c>
      <c r="H697" s="159" t="s">
        <v>666</v>
      </c>
      <c r="I697" s="158">
        <v>0</v>
      </c>
      <c r="J697" s="158">
        <v>0</v>
      </c>
      <c r="K697" s="158">
        <f>24580/D693</f>
        <v>5.44</v>
      </c>
      <c r="L697" s="7"/>
      <c r="M697" s="7"/>
      <c r="N697" s="7"/>
      <c r="O697" s="7"/>
      <c r="P697" s="7"/>
      <c r="Q697" s="7"/>
      <c r="R697" s="7"/>
      <c r="S697" s="7"/>
      <c r="T697" s="7"/>
      <c r="U697" s="7"/>
      <c r="V697" s="7"/>
      <c r="W697" s="7"/>
    </row>
    <row r="698" spans="1:23" x14ac:dyDescent="0.35">
      <c r="A698" s="251"/>
      <c r="B698" s="251"/>
      <c r="C698" s="252"/>
      <c r="D698" s="253"/>
      <c r="E698" s="253"/>
      <c r="F698" s="255"/>
      <c r="G698" s="257"/>
      <c r="H698" s="159" t="s">
        <v>674</v>
      </c>
      <c r="I698" s="158">
        <v>1686898.5</v>
      </c>
      <c r="J698" s="158">
        <f>I698/D693+0.01</f>
        <v>373.41</v>
      </c>
      <c r="K698" s="158">
        <f>1708823/D693+0.01</f>
        <v>378.27</v>
      </c>
      <c r="L698" s="7"/>
      <c r="M698" s="7"/>
      <c r="N698" s="7"/>
      <c r="O698" s="7"/>
      <c r="P698" s="7"/>
      <c r="Q698" s="7"/>
      <c r="R698" s="7"/>
      <c r="S698" s="7"/>
      <c r="T698" s="7"/>
      <c r="U698" s="7"/>
      <c r="V698" s="7"/>
      <c r="W698" s="7"/>
    </row>
    <row r="699" spans="1:23" x14ac:dyDescent="0.35">
      <c r="A699" s="251"/>
      <c r="B699" s="251"/>
      <c r="C699" s="252"/>
      <c r="D699" s="253"/>
      <c r="E699" s="253"/>
      <c r="F699" s="255"/>
      <c r="G699" s="258"/>
      <c r="H699" s="159" t="s">
        <v>76</v>
      </c>
      <c r="I699" s="158">
        <f>I698*0.0214</f>
        <v>36099.629999999997</v>
      </c>
      <c r="J699" s="158">
        <f>I699/D693</f>
        <v>7.99</v>
      </c>
      <c r="K699" s="158">
        <f>36569/D693</f>
        <v>8.09</v>
      </c>
      <c r="L699" s="7"/>
      <c r="M699" s="7"/>
      <c r="N699" s="7"/>
      <c r="O699" s="7"/>
      <c r="P699" s="7"/>
      <c r="Q699" s="7"/>
      <c r="R699" s="7"/>
      <c r="S699" s="7"/>
      <c r="T699" s="7"/>
      <c r="U699" s="7"/>
      <c r="V699" s="7"/>
      <c r="W699" s="7"/>
    </row>
    <row r="700" spans="1:23" x14ac:dyDescent="0.35">
      <c r="A700" s="251">
        <f>A693+1</f>
        <v>94</v>
      </c>
      <c r="B700" s="251">
        <v>4285</v>
      </c>
      <c r="C700" s="252" t="s">
        <v>363</v>
      </c>
      <c r="D700" s="253">
        <v>2969.76</v>
      </c>
      <c r="E700" s="253" t="s">
        <v>75</v>
      </c>
      <c r="F700" s="255">
        <v>9</v>
      </c>
      <c r="G700" s="123"/>
      <c r="H700" s="159" t="s">
        <v>73</v>
      </c>
      <c r="I700" s="158">
        <f>I701+I702+I703</f>
        <v>1721904.68</v>
      </c>
      <c r="J700" s="158">
        <f>J701+J702+J703</f>
        <v>579.80999999999995</v>
      </c>
      <c r="K700" s="158">
        <f>K701+K702+K703</f>
        <v>596</v>
      </c>
      <c r="L700" s="7"/>
      <c r="M700" s="7"/>
      <c r="N700" s="7"/>
      <c r="O700" s="7"/>
      <c r="P700" s="7"/>
      <c r="Q700" s="7"/>
      <c r="R700" s="7"/>
      <c r="S700" s="7"/>
      <c r="T700" s="7"/>
      <c r="U700" s="7"/>
      <c r="V700" s="7"/>
      <c r="W700" s="7"/>
    </row>
    <row r="701" spans="1:23" ht="31" x14ac:dyDescent="0.35">
      <c r="A701" s="251"/>
      <c r="B701" s="251"/>
      <c r="C701" s="252"/>
      <c r="D701" s="253"/>
      <c r="E701" s="253"/>
      <c r="F701" s="255"/>
      <c r="G701" s="256" t="s">
        <v>673</v>
      </c>
      <c r="H701" s="159" t="s">
        <v>666</v>
      </c>
      <c r="I701" s="158">
        <v>0</v>
      </c>
      <c r="J701" s="158">
        <v>0</v>
      </c>
      <c r="K701" s="158">
        <f>24580/D700</f>
        <v>8.2799999999999994</v>
      </c>
      <c r="L701" s="7"/>
      <c r="M701" s="7"/>
      <c r="N701" s="7"/>
      <c r="O701" s="7"/>
      <c r="P701" s="7"/>
      <c r="Q701" s="7"/>
      <c r="R701" s="7"/>
      <c r="S701" s="7"/>
      <c r="T701" s="7"/>
      <c r="U701" s="7"/>
      <c r="V701" s="7"/>
      <c r="W701" s="7"/>
    </row>
    <row r="702" spans="1:23" x14ac:dyDescent="0.35">
      <c r="A702" s="251">
        <v>756</v>
      </c>
      <c r="B702" s="251"/>
      <c r="C702" s="252"/>
      <c r="D702" s="253"/>
      <c r="E702" s="253"/>
      <c r="F702" s="255"/>
      <c r="G702" s="257"/>
      <c r="H702" s="159" t="s">
        <v>674</v>
      </c>
      <c r="I702" s="158">
        <v>1685827.96</v>
      </c>
      <c r="J702" s="158">
        <f>I702/D700</f>
        <v>567.66</v>
      </c>
      <c r="K702" s="158">
        <f>1708823/D700</f>
        <v>575.41</v>
      </c>
      <c r="L702" s="7"/>
      <c r="M702" s="7"/>
      <c r="N702" s="7"/>
      <c r="O702" s="7"/>
      <c r="P702" s="7"/>
      <c r="Q702" s="7"/>
      <c r="R702" s="7"/>
      <c r="S702" s="7"/>
      <c r="T702" s="7"/>
      <c r="U702" s="7"/>
      <c r="V702" s="7"/>
      <c r="W702" s="7"/>
    </row>
    <row r="703" spans="1:23" x14ac:dyDescent="0.35">
      <c r="A703" s="251">
        <v>757</v>
      </c>
      <c r="B703" s="251"/>
      <c r="C703" s="252"/>
      <c r="D703" s="253"/>
      <c r="E703" s="253"/>
      <c r="F703" s="255"/>
      <c r="G703" s="258"/>
      <c r="H703" s="159" t="s">
        <v>76</v>
      </c>
      <c r="I703" s="158">
        <f>I702*0.0214</f>
        <v>36076.720000000001</v>
      </c>
      <c r="J703" s="158">
        <f>I703/D700</f>
        <v>12.15</v>
      </c>
      <c r="K703" s="158">
        <f>36569/D700</f>
        <v>12.31</v>
      </c>
      <c r="L703" s="7"/>
      <c r="M703" s="7"/>
      <c r="N703" s="7"/>
      <c r="O703" s="7"/>
      <c r="P703" s="7"/>
      <c r="Q703" s="7"/>
      <c r="R703" s="7"/>
      <c r="S703" s="7"/>
      <c r="T703" s="7"/>
      <c r="U703" s="7"/>
      <c r="V703" s="7"/>
      <c r="W703" s="7"/>
    </row>
    <row r="704" spans="1:23" ht="15.75" customHeight="1" x14ac:dyDescent="0.35">
      <c r="A704" s="251">
        <f>A700+1</f>
        <v>95</v>
      </c>
      <c r="B704" s="251">
        <v>3514</v>
      </c>
      <c r="C704" s="252" t="s">
        <v>364</v>
      </c>
      <c r="D704" s="253">
        <v>13650.4</v>
      </c>
      <c r="E704" s="253" t="s">
        <v>71</v>
      </c>
      <c r="F704" s="255">
        <v>10</v>
      </c>
      <c r="G704" s="123"/>
      <c r="H704" s="159" t="s">
        <v>73</v>
      </c>
      <c r="I704" s="158">
        <f>I705+I706+I707+I708+I709+I710+I711+I712+I713+I714+I715+I716</f>
        <v>6942406.0800000001</v>
      </c>
      <c r="J704" s="158">
        <f>J705+J706+J707+J708+J709+J710+J711+J712+J713+J714+J715+J716</f>
        <v>508.59</v>
      </c>
      <c r="K704" s="158">
        <f>K705+K706+K707+K708+K709+K710+K711+K712+K713+K714+K715+K716</f>
        <v>518.66</v>
      </c>
      <c r="L704" s="7"/>
      <c r="M704" s="7"/>
      <c r="N704" s="7"/>
      <c r="O704" s="7"/>
      <c r="P704" s="7"/>
      <c r="Q704" s="7"/>
      <c r="R704" s="7"/>
      <c r="S704" s="7"/>
      <c r="T704" s="7"/>
      <c r="U704" s="7"/>
      <c r="V704" s="7"/>
      <c r="W704" s="7"/>
    </row>
    <row r="705" spans="1:23" ht="31" x14ac:dyDescent="0.35">
      <c r="A705" s="251"/>
      <c r="B705" s="251"/>
      <c r="C705" s="252"/>
      <c r="D705" s="253"/>
      <c r="E705" s="253"/>
      <c r="F705" s="255"/>
      <c r="G705" s="256" t="s">
        <v>680</v>
      </c>
      <c r="H705" s="159" t="s">
        <v>666</v>
      </c>
      <c r="I705" s="158">
        <v>0</v>
      </c>
      <c r="J705" s="158">
        <v>0</v>
      </c>
      <c r="K705" s="158">
        <f>24580/D704-0.01</f>
        <v>1.79</v>
      </c>
      <c r="L705" s="7"/>
      <c r="M705" s="7"/>
      <c r="N705" s="7"/>
      <c r="O705" s="7"/>
      <c r="P705" s="7"/>
      <c r="Q705" s="7"/>
      <c r="R705" s="7"/>
      <c r="S705" s="7"/>
      <c r="T705" s="7"/>
      <c r="U705" s="7"/>
      <c r="V705" s="7"/>
      <c r="W705" s="7"/>
    </row>
    <row r="706" spans="1:23" x14ac:dyDescent="0.35">
      <c r="A706" s="251">
        <v>756</v>
      </c>
      <c r="B706" s="251"/>
      <c r="C706" s="252"/>
      <c r="D706" s="253"/>
      <c r="E706" s="253"/>
      <c r="F706" s="255"/>
      <c r="G706" s="257"/>
      <c r="H706" s="159" t="s">
        <v>674</v>
      </c>
      <c r="I706" s="158">
        <v>1699398.21</v>
      </c>
      <c r="J706" s="158">
        <f>I706/D704+0.01</f>
        <v>124.5</v>
      </c>
      <c r="K706" s="158">
        <f>1708823/D704+0.01</f>
        <v>125.19</v>
      </c>
      <c r="L706" s="7"/>
      <c r="M706" s="7"/>
      <c r="N706" s="7"/>
      <c r="O706" s="7"/>
      <c r="P706" s="7"/>
      <c r="Q706" s="7"/>
      <c r="R706" s="7"/>
      <c r="S706" s="7"/>
      <c r="T706" s="7"/>
      <c r="U706" s="7"/>
      <c r="V706" s="7"/>
      <c r="W706" s="7"/>
    </row>
    <row r="707" spans="1:23" x14ac:dyDescent="0.35">
      <c r="A707" s="251">
        <v>757</v>
      </c>
      <c r="B707" s="251"/>
      <c r="C707" s="252"/>
      <c r="D707" s="253"/>
      <c r="E707" s="253"/>
      <c r="F707" s="255"/>
      <c r="G707" s="258"/>
      <c r="H707" s="159" t="s">
        <v>76</v>
      </c>
      <c r="I707" s="158">
        <v>36203.31</v>
      </c>
      <c r="J707" s="158">
        <f>I707/D704</f>
        <v>2.65</v>
      </c>
      <c r="K707" s="158">
        <f>36569/D704</f>
        <v>2.68</v>
      </c>
      <c r="L707" s="7"/>
      <c r="M707" s="7"/>
      <c r="N707" s="7"/>
      <c r="O707" s="7"/>
      <c r="P707" s="7"/>
      <c r="Q707" s="7"/>
      <c r="R707" s="7"/>
      <c r="S707" s="7"/>
      <c r="T707" s="7"/>
      <c r="U707" s="7"/>
      <c r="V707" s="7"/>
      <c r="W707" s="7"/>
    </row>
    <row r="708" spans="1:23" ht="31" x14ac:dyDescent="0.35">
      <c r="A708" s="251"/>
      <c r="B708" s="251"/>
      <c r="C708" s="252"/>
      <c r="D708" s="253"/>
      <c r="E708" s="253"/>
      <c r="F708" s="255"/>
      <c r="G708" s="256" t="s">
        <v>681</v>
      </c>
      <c r="H708" s="159" t="s">
        <v>666</v>
      </c>
      <c r="I708" s="158">
        <v>0</v>
      </c>
      <c r="J708" s="158">
        <v>0</v>
      </c>
      <c r="K708" s="158">
        <f>24580/D704</f>
        <v>1.8</v>
      </c>
      <c r="L708" s="7"/>
      <c r="M708" s="7"/>
      <c r="N708" s="7"/>
      <c r="O708" s="7"/>
      <c r="P708" s="7"/>
      <c r="Q708" s="7"/>
      <c r="R708" s="7"/>
      <c r="S708" s="7"/>
      <c r="T708" s="7"/>
      <c r="U708" s="7"/>
      <c r="V708" s="7"/>
      <c r="W708" s="7"/>
    </row>
    <row r="709" spans="1:23" x14ac:dyDescent="0.35">
      <c r="A709" s="251"/>
      <c r="B709" s="251"/>
      <c r="C709" s="252"/>
      <c r="D709" s="253"/>
      <c r="E709" s="253"/>
      <c r="F709" s="255"/>
      <c r="G709" s="257"/>
      <c r="H709" s="159" t="s">
        <v>674</v>
      </c>
      <c r="I709" s="158">
        <v>1699398.21</v>
      </c>
      <c r="J709" s="158">
        <f>I709/D704+0.01</f>
        <v>124.5</v>
      </c>
      <c r="K709" s="158">
        <f>1708823/D704+0.01</f>
        <v>125.19</v>
      </c>
      <c r="L709" s="7"/>
      <c r="M709" s="7"/>
      <c r="N709" s="7"/>
      <c r="O709" s="7"/>
      <c r="P709" s="7"/>
      <c r="Q709" s="7"/>
      <c r="R709" s="7"/>
      <c r="S709" s="7"/>
      <c r="T709" s="7"/>
      <c r="U709" s="7"/>
      <c r="V709" s="7"/>
      <c r="W709" s="7"/>
    </row>
    <row r="710" spans="1:23" x14ac:dyDescent="0.35">
      <c r="A710" s="251"/>
      <c r="B710" s="251"/>
      <c r="C710" s="252"/>
      <c r="D710" s="253"/>
      <c r="E710" s="253"/>
      <c r="F710" s="255"/>
      <c r="G710" s="258"/>
      <c r="H710" s="159" t="s">
        <v>76</v>
      </c>
      <c r="I710" s="158">
        <v>36203.31</v>
      </c>
      <c r="J710" s="158">
        <f>I710/D704</f>
        <v>2.65</v>
      </c>
      <c r="K710" s="158">
        <f>36569/D704</f>
        <v>2.68</v>
      </c>
      <c r="L710" s="7"/>
      <c r="M710" s="7"/>
      <c r="N710" s="7"/>
      <c r="O710" s="7"/>
      <c r="P710" s="7"/>
      <c r="Q710" s="7"/>
      <c r="R710" s="7"/>
      <c r="S710" s="7"/>
      <c r="T710" s="7"/>
      <c r="U710" s="7"/>
      <c r="V710" s="7"/>
      <c r="W710" s="7"/>
    </row>
    <row r="711" spans="1:23" ht="31" x14ac:dyDescent="0.35">
      <c r="A711" s="251"/>
      <c r="B711" s="251"/>
      <c r="C711" s="252"/>
      <c r="D711" s="253"/>
      <c r="E711" s="253"/>
      <c r="F711" s="255"/>
      <c r="G711" s="256" t="s">
        <v>678</v>
      </c>
      <c r="H711" s="159" t="s">
        <v>666</v>
      </c>
      <c r="I711" s="158">
        <v>0</v>
      </c>
      <c r="J711" s="158">
        <v>0</v>
      </c>
      <c r="K711" s="158">
        <f>24580/D704</f>
        <v>1.8</v>
      </c>
      <c r="L711" s="7"/>
      <c r="M711" s="7"/>
      <c r="N711" s="7"/>
      <c r="O711" s="7"/>
      <c r="P711" s="7"/>
      <c r="Q711" s="7"/>
      <c r="R711" s="7"/>
      <c r="S711" s="7"/>
      <c r="T711" s="7"/>
      <c r="U711" s="7"/>
      <c r="V711" s="7"/>
      <c r="W711" s="7"/>
    </row>
    <row r="712" spans="1:23" x14ac:dyDescent="0.35">
      <c r="A712" s="251"/>
      <c r="B712" s="251"/>
      <c r="C712" s="252"/>
      <c r="D712" s="253"/>
      <c r="E712" s="253"/>
      <c r="F712" s="255"/>
      <c r="G712" s="257"/>
      <c r="H712" s="159" t="s">
        <v>674</v>
      </c>
      <c r="I712" s="158">
        <v>1699398.21</v>
      </c>
      <c r="J712" s="158">
        <f>I712/D704+0.01</f>
        <v>124.5</v>
      </c>
      <c r="K712" s="158">
        <f>1708823/D704+0.01</f>
        <v>125.19</v>
      </c>
      <c r="L712" s="7"/>
      <c r="M712" s="7"/>
      <c r="N712" s="7"/>
      <c r="O712" s="7"/>
      <c r="P712" s="7"/>
      <c r="Q712" s="7"/>
      <c r="R712" s="7"/>
      <c r="S712" s="7"/>
      <c r="T712" s="7"/>
      <c r="U712" s="7"/>
      <c r="V712" s="7"/>
      <c r="W712" s="7"/>
    </row>
    <row r="713" spans="1:23" x14ac:dyDescent="0.35">
      <c r="A713" s="251"/>
      <c r="B713" s="251"/>
      <c r="C713" s="252"/>
      <c r="D713" s="253"/>
      <c r="E713" s="253"/>
      <c r="F713" s="255"/>
      <c r="G713" s="258"/>
      <c r="H713" s="159" t="s">
        <v>76</v>
      </c>
      <c r="I713" s="158">
        <v>36203.31</v>
      </c>
      <c r="J713" s="158">
        <f>I713/D704</f>
        <v>2.65</v>
      </c>
      <c r="K713" s="158">
        <f>36569/D704</f>
        <v>2.68</v>
      </c>
      <c r="L713" s="7"/>
      <c r="M713" s="7"/>
      <c r="N713" s="7"/>
      <c r="O713" s="7"/>
      <c r="P713" s="7"/>
      <c r="Q713" s="7"/>
      <c r="R713" s="7"/>
      <c r="S713" s="7"/>
      <c r="T713" s="7"/>
      <c r="U713" s="7"/>
      <c r="V713" s="7"/>
      <c r="W713" s="7"/>
    </row>
    <row r="714" spans="1:23" ht="31" x14ac:dyDescent="0.35">
      <c r="A714" s="251"/>
      <c r="B714" s="251"/>
      <c r="C714" s="252"/>
      <c r="D714" s="253"/>
      <c r="E714" s="253"/>
      <c r="F714" s="255"/>
      <c r="G714" s="256" t="s">
        <v>682</v>
      </c>
      <c r="H714" s="159" t="s">
        <v>666</v>
      </c>
      <c r="I714" s="158">
        <v>0</v>
      </c>
      <c r="J714" s="158">
        <v>0</v>
      </c>
      <c r="K714" s="158">
        <f>24580/D704</f>
        <v>1.8</v>
      </c>
      <c r="L714" s="7"/>
      <c r="M714" s="7"/>
      <c r="N714" s="7"/>
      <c r="O714" s="7"/>
      <c r="P714" s="7"/>
      <c r="Q714" s="7"/>
      <c r="R714" s="7"/>
      <c r="S714" s="7"/>
      <c r="T714" s="7"/>
      <c r="U714" s="7"/>
      <c r="V714" s="7"/>
      <c r="W714" s="7"/>
    </row>
    <row r="715" spans="1:23" x14ac:dyDescent="0.35">
      <c r="A715" s="251"/>
      <c r="B715" s="251"/>
      <c r="C715" s="252"/>
      <c r="D715" s="253"/>
      <c r="E715" s="253"/>
      <c r="F715" s="255"/>
      <c r="G715" s="257"/>
      <c r="H715" s="159" t="s">
        <v>674</v>
      </c>
      <c r="I715" s="158">
        <v>1699398.21</v>
      </c>
      <c r="J715" s="158">
        <f>I715/D704</f>
        <v>124.49</v>
      </c>
      <c r="K715" s="158">
        <f>1708823/D704</f>
        <v>125.18</v>
      </c>
      <c r="L715" s="7"/>
      <c r="M715" s="7"/>
      <c r="N715" s="7"/>
      <c r="O715" s="7"/>
      <c r="P715" s="7"/>
      <c r="Q715" s="7"/>
      <c r="R715" s="7"/>
      <c r="S715" s="7"/>
      <c r="T715" s="7"/>
      <c r="U715" s="7"/>
      <c r="V715" s="7"/>
      <c r="W715" s="7"/>
    </row>
    <row r="716" spans="1:23" x14ac:dyDescent="0.35">
      <c r="A716" s="251"/>
      <c r="B716" s="251"/>
      <c r="C716" s="252"/>
      <c r="D716" s="253"/>
      <c r="E716" s="253"/>
      <c r="F716" s="255"/>
      <c r="G716" s="258"/>
      <c r="H716" s="159" t="s">
        <v>76</v>
      </c>
      <c r="I716" s="158">
        <v>36203.31</v>
      </c>
      <c r="J716" s="158">
        <f>I716/D704</f>
        <v>2.65</v>
      </c>
      <c r="K716" s="158">
        <f>36569/D704</f>
        <v>2.68</v>
      </c>
      <c r="L716" s="7"/>
      <c r="M716" s="7"/>
      <c r="N716" s="7"/>
      <c r="O716" s="7"/>
      <c r="P716" s="7"/>
      <c r="Q716" s="7"/>
      <c r="R716" s="7"/>
      <c r="S716" s="7"/>
      <c r="T716" s="7"/>
      <c r="U716" s="7"/>
      <c r="V716" s="7"/>
      <c r="W716" s="7"/>
    </row>
    <row r="717" spans="1:23" x14ac:dyDescent="0.35">
      <c r="A717" s="251">
        <f>A704+1</f>
        <v>96</v>
      </c>
      <c r="B717" s="251">
        <v>3060</v>
      </c>
      <c r="C717" s="252" t="s">
        <v>366</v>
      </c>
      <c r="D717" s="253">
        <v>3179.5</v>
      </c>
      <c r="E717" s="253" t="s">
        <v>75</v>
      </c>
      <c r="F717" s="255">
        <v>5</v>
      </c>
      <c r="G717" s="251" t="s">
        <v>72</v>
      </c>
      <c r="H717" s="159" t="s">
        <v>73</v>
      </c>
      <c r="I717" s="158">
        <f>I718+I719</f>
        <v>7672501.5899999999</v>
      </c>
      <c r="J717" s="158">
        <f>J718+J719</f>
        <v>2413.12</v>
      </c>
      <c r="K717" s="158">
        <f>K718+K719</f>
        <v>2831</v>
      </c>
      <c r="L717" s="7"/>
      <c r="M717" s="7"/>
      <c r="N717" s="7"/>
      <c r="O717" s="7"/>
      <c r="P717" s="7"/>
      <c r="Q717" s="7"/>
      <c r="R717" s="7"/>
      <c r="S717" s="7"/>
      <c r="T717" s="7"/>
      <c r="U717" s="7"/>
      <c r="V717" s="7"/>
      <c r="W717" s="7"/>
    </row>
    <row r="718" spans="1:23" x14ac:dyDescent="0.35">
      <c r="A718" s="251"/>
      <c r="B718" s="251"/>
      <c r="C718" s="252"/>
      <c r="D718" s="253"/>
      <c r="E718" s="253"/>
      <c r="F718" s="255"/>
      <c r="G718" s="251"/>
      <c r="H718" s="159" t="s">
        <v>74</v>
      </c>
      <c r="I718" s="158">
        <v>7537436.4400000004</v>
      </c>
      <c r="J718" s="158">
        <f>I718/D717</f>
        <v>2370.64</v>
      </c>
      <c r="K718" s="158">
        <v>2772</v>
      </c>
      <c r="L718" s="7"/>
      <c r="M718" s="7"/>
      <c r="N718" s="7"/>
      <c r="O718" s="7"/>
      <c r="P718" s="7"/>
      <c r="Q718" s="7"/>
      <c r="R718" s="7"/>
      <c r="S718" s="7"/>
      <c r="T718" s="7"/>
      <c r="U718" s="7"/>
      <c r="V718" s="7"/>
      <c r="W718" s="7"/>
    </row>
    <row r="719" spans="1:23" x14ac:dyDescent="0.35">
      <c r="A719" s="251"/>
      <c r="B719" s="251"/>
      <c r="C719" s="252"/>
      <c r="D719" s="253"/>
      <c r="E719" s="253"/>
      <c r="F719" s="255"/>
      <c r="G719" s="251"/>
      <c r="H719" s="159" t="s">
        <v>76</v>
      </c>
      <c r="I719" s="158">
        <v>135065.15</v>
      </c>
      <c r="J719" s="158">
        <f>I719/D717</f>
        <v>42.48</v>
      </c>
      <c r="K719" s="158">
        <v>59</v>
      </c>
      <c r="L719" s="7"/>
      <c r="M719" s="7"/>
      <c r="N719" s="7"/>
      <c r="O719" s="7"/>
      <c r="P719" s="7"/>
      <c r="Q719" s="7"/>
      <c r="R719" s="7"/>
      <c r="S719" s="7"/>
      <c r="T719" s="7"/>
      <c r="U719" s="7"/>
      <c r="V719" s="7"/>
      <c r="W719" s="7"/>
    </row>
    <row r="720" spans="1:23" x14ac:dyDescent="0.35">
      <c r="A720" s="251">
        <f>A717+1</f>
        <v>97</v>
      </c>
      <c r="B720" s="251">
        <v>3061</v>
      </c>
      <c r="C720" s="252" t="s">
        <v>367</v>
      </c>
      <c r="D720" s="253">
        <v>3146.9</v>
      </c>
      <c r="E720" s="253" t="s">
        <v>75</v>
      </c>
      <c r="F720" s="255">
        <v>5</v>
      </c>
      <c r="G720" s="251" t="s">
        <v>72</v>
      </c>
      <c r="H720" s="159" t="s">
        <v>73</v>
      </c>
      <c r="I720" s="158">
        <f>I721+I722</f>
        <v>8861987.0899999999</v>
      </c>
      <c r="J720" s="158">
        <f>J721+J722</f>
        <v>2816.1</v>
      </c>
      <c r="K720" s="158">
        <f>K721+K722</f>
        <v>2831</v>
      </c>
      <c r="L720" s="7"/>
      <c r="M720" s="7"/>
      <c r="N720" s="7"/>
      <c r="O720" s="7"/>
      <c r="P720" s="7"/>
      <c r="Q720" s="7"/>
      <c r="R720" s="7"/>
      <c r="S720" s="7"/>
      <c r="T720" s="7"/>
      <c r="U720" s="7"/>
      <c r="V720" s="7"/>
      <c r="W720" s="7"/>
    </row>
    <row r="721" spans="1:23" x14ac:dyDescent="0.35">
      <c r="A721" s="251">
        <v>77</v>
      </c>
      <c r="B721" s="251"/>
      <c r="C721" s="252"/>
      <c r="D721" s="253"/>
      <c r="E721" s="253"/>
      <c r="F721" s="255"/>
      <c r="G721" s="251"/>
      <c r="H721" s="159" t="s">
        <v>74</v>
      </c>
      <c r="I721" s="158">
        <v>8678176.6600000001</v>
      </c>
      <c r="J721" s="158">
        <f>I721/D720</f>
        <v>2757.69</v>
      </c>
      <c r="K721" s="158">
        <v>2772</v>
      </c>
      <c r="L721" s="7"/>
      <c r="M721" s="7"/>
      <c r="N721" s="7"/>
      <c r="O721" s="7"/>
      <c r="P721" s="7"/>
      <c r="Q721" s="7"/>
      <c r="R721" s="7"/>
      <c r="S721" s="7"/>
      <c r="T721" s="7"/>
      <c r="U721" s="7"/>
      <c r="V721" s="7"/>
      <c r="W721" s="7"/>
    </row>
    <row r="722" spans="1:23" x14ac:dyDescent="0.35">
      <c r="A722" s="251">
        <v>78</v>
      </c>
      <c r="B722" s="251"/>
      <c r="C722" s="252"/>
      <c r="D722" s="253"/>
      <c r="E722" s="253"/>
      <c r="F722" s="255"/>
      <c r="G722" s="251"/>
      <c r="H722" s="159" t="s">
        <v>76</v>
      </c>
      <c r="I722" s="158">
        <v>183810.43</v>
      </c>
      <c r="J722" s="158">
        <f>I722/D720</f>
        <v>58.41</v>
      </c>
      <c r="K722" s="158">
        <v>59</v>
      </c>
      <c r="L722" s="7"/>
      <c r="M722" s="7"/>
      <c r="N722" s="7"/>
      <c r="O722" s="7"/>
      <c r="P722" s="7"/>
      <c r="Q722" s="7"/>
      <c r="R722" s="7"/>
      <c r="S722" s="7"/>
      <c r="T722" s="7"/>
      <c r="U722" s="7"/>
      <c r="V722" s="7"/>
      <c r="W722" s="7"/>
    </row>
    <row r="723" spans="1:23" x14ac:dyDescent="0.35">
      <c r="A723" s="251">
        <f>A720+1</f>
        <v>98</v>
      </c>
      <c r="B723" s="251">
        <v>3199</v>
      </c>
      <c r="C723" s="252" t="s">
        <v>368</v>
      </c>
      <c r="D723" s="253">
        <v>1522.1</v>
      </c>
      <c r="E723" s="253" t="s">
        <v>75</v>
      </c>
      <c r="F723" s="255">
        <v>5</v>
      </c>
      <c r="G723" s="251" t="s">
        <v>72</v>
      </c>
      <c r="H723" s="159" t="s">
        <v>73</v>
      </c>
      <c r="I723" s="158">
        <f>I724+I725</f>
        <v>3728232.76</v>
      </c>
      <c r="J723" s="158">
        <f>J724+J725</f>
        <v>2449.4</v>
      </c>
      <c r="K723" s="158">
        <f>K724+K725</f>
        <v>2831</v>
      </c>
      <c r="L723" s="7"/>
      <c r="M723" s="7"/>
      <c r="N723" s="7"/>
      <c r="O723" s="7"/>
      <c r="P723" s="7"/>
      <c r="Q723" s="7"/>
      <c r="R723" s="7"/>
      <c r="S723" s="7"/>
      <c r="T723" s="7"/>
      <c r="U723" s="7"/>
      <c r="V723" s="7"/>
      <c r="W723" s="7"/>
    </row>
    <row r="724" spans="1:23" x14ac:dyDescent="0.35">
      <c r="A724" s="251">
        <v>75</v>
      </c>
      <c r="B724" s="251"/>
      <c r="C724" s="252"/>
      <c r="D724" s="253"/>
      <c r="E724" s="253"/>
      <c r="F724" s="255"/>
      <c r="G724" s="251"/>
      <c r="H724" s="159" t="s">
        <v>74</v>
      </c>
      <c r="I724" s="158">
        <v>3650120.19</v>
      </c>
      <c r="J724" s="158">
        <f>I724/D723</f>
        <v>2398.08</v>
      </c>
      <c r="K724" s="158">
        <v>2772</v>
      </c>
      <c r="L724" s="7"/>
      <c r="M724" s="7"/>
      <c r="N724" s="7"/>
      <c r="O724" s="7"/>
      <c r="P724" s="7"/>
      <c r="Q724" s="7"/>
      <c r="R724" s="7"/>
      <c r="S724" s="7"/>
      <c r="T724" s="7"/>
      <c r="U724" s="7"/>
      <c r="V724" s="7"/>
      <c r="W724" s="7"/>
    </row>
    <row r="725" spans="1:23" x14ac:dyDescent="0.35">
      <c r="A725" s="251">
        <v>76</v>
      </c>
      <c r="B725" s="251"/>
      <c r="C725" s="252"/>
      <c r="D725" s="253"/>
      <c r="E725" s="253"/>
      <c r="F725" s="255"/>
      <c r="G725" s="251"/>
      <c r="H725" s="159" t="s">
        <v>76</v>
      </c>
      <c r="I725" s="158">
        <v>78112.570000000007</v>
      </c>
      <c r="J725" s="158">
        <f>I725/D723</f>
        <v>51.32</v>
      </c>
      <c r="K725" s="158">
        <v>59</v>
      </c>
      <c r="L725" s="7"/>
      <c r="M725" s="7"/>
      <c r="N725" s="7"/>
      <c r="O725" s="7"/>
      <c r="P725" s="7"/>
      <c r="Q725" s="7"/>
      <c r="R725" s="7"/>
      <c r="S725" s="7"/>
      <c r="T725" s="7"/>
      <c r="U725" s="7"/>
      <c r="V725" s="7"/>
      <c r="W725" s="7"/>
    </row>
    <row r="726" spans="1:23" ht="15.75" customHeight="1" x14ac:dyDescent="0.35">
      <c r="A726" s="251">
        <f>A723+1</f>
        <v>99</v>
      </c>
      <c r="B726" s="251">
        <v>3342</v>
      </c>
      <c r="C726" s="252" t="s">
        <v>369</v>
      </c>
      <c r="D726" s="253">
        <v>12396.3</v>
      </c>
      <c r="E726" s="253" t="s">
        <v>71</v>
      </c>
      <c r="F726" s="255">
        <v>9</v>
      </c>
      <c r="G726" s="123"/>
      <c r="H726" s="159" t="s">
        <v>73</v>
      </c>
      <c r="I726" s="158">
        <f>I727+I728+I729+I730+I731+I732+I733+I734+I735+I736+I737+I738+I739+I740+I741+I742+I743+I744</f>
        <v>10470157.859999999</v>
      </c>
      <c r="J726" s="158">
        <f>J727+J728+J729+J730+J731+J732+J733+J734+J735+J736+J737+J738+J739+J740+J741+J742+J743+J744</f>
        <v>844.62</v>
      </c>
      <c r="K726" s="158">
        <f>K727+K728+K729+K730+K731+K732+K733+K734+K735+K736+K737+K738+K739+K740+K741+K742+K743+K744</f>
        <v>856.69</v>
      </c>
      <c r="L726" s="7"/>
      <c r="M726" s="7"/>
      <c r="N726" s="7"/>
      <c r="O726" s="7"/>
      <c r="P726" s="7"/>
      <c r="Q726" s="7"/>
      <c r="R726" s="7"/>
      <c r="S726" s="7"/>
      <c r="T726" s="7"/>
      <c r="U726" s="7"/>
      <c r="V726" s="7"/>
      <c r="W726" s="7"/>
    </row>
    <row r="727" spans="1:23" ht="31" x14ac:dyDescent="0.35">
      <c r="A727" s="251"/>
      <c r="B727" s="251"/>
      <c r="C727" s="252"/>
      <c r="D727" s="253"/>
      <c r="E727" s="253"/>
      <c r="F727" s="255"/>
      <c r="G727" s="256" t="s">
        <v>673</v>
      </c>
      <c r="H727" s="159" t="s">
        <v>666</v>
      </c>
      <c r="I727" s="158">
        <v>0</v>
      </c>
      <c r="J727" s="158">
        <v>0</v>
      </c>
      <c r="K727" s="158">
        <f>24580/D726</f>
        <v>1.98</v>
      </c>
      <c r="L727" s="7"/>
      <c r="M727" s="7"/>
      <c r="N727" s="7"/>
      <c r="O727" s="7"/>
      <c r="P727" s="7"/>
      <c r="Q727" s="7"/>
      <c r="R727" s="7"/>
      <c r="S727" s="7"/>
      <c r="T727" s="7"/>
      <c r="U727" s="7"/>
      <c r="V727" s="7"/>
      <c r="W727" s="7"/>
    </row>
    <row r="728" spans="1:23" x14ac:dyDescent="0.35">
      <c r="A728" s="251">
        <v>756</v>
      </c>
      <c r="B728" s="251"/>
      <c r="C728" s="252"/>
      <c r="D728" s="253"/>
      <c r="E728" s="253"/>
      <c r="F728" s="255"/>
      <c r="G728" s="257"/>
      <c r="H728" s="159" t="s">
        <v>674</v>
      </c>
      <c r="I728" s="158">
        <v>1708823</v>
      </c>
      <c r="J728" s="158">
        <f>I728/D726</f>
        <v>137.85</v>
      </c>
      <c r="K728" s="158">
        <f>1708823/D726+0.01</f>
        <v>137.86000000000001</v>
      </c>
      <c r="L728" s="7"/>
      <c r="M728" s="7"/>
      <c r="N728" s="7"/>
      <c r="O728" s="7"/>
      <c r="P728" s="7"/>
      <c r="Q728" s="7"/>
      <c r="R728" s="7"/>
      <c r="S728" s="7"/>
      <c r="T728" s="7"/>
      <c r="U728" s="7"/>
      <c r="V728" s="7"/>
      <c r="W728" s="7"/>
    </row>
    <row r="729" spans="1:23" x14ac:dyDescent="0.35">
      <c r="A729" s="251">
        <v>757</v>
      </c>
      <c r="B729" s="251"/>
      <c r="C729" s="252"/>
      <c r="D729" s="253"/>
      <c r="E729" s="253"/>
      <c r="F729" s="255"/>
      <c r="G729" s="258"/>
      <c r="H729" s="159" t="s">
        <v>76</v>
      </c>
      <c r="I729" s="158">
        <v>36203.31</v>
      </c>
      <c r="J729" s="158">
        <f>I729/D726</f>
        <v>2.92</v>
      </c>
      <c r="K729" s="158">
        <f>36569/D726</f>
        <v>2.95</v>
      </c>
      <c r="L729" s="7"/>
      <c r="M729" s="7"/>
      <c r="N729" s="7"/>
      <c r="O729" s="7"/>
      <c r="P729" s="7"/>
      <c r="Q729" s="7"/>
      <c r="R729" s="7"/>
      <c r="S729" s="7"/>
      <c r="T729" s="7"/>
      <c r="U729" s="7"/>
      <c r="V729" s="7"/>
      <c r="W729" s="7"/>
    </row>
    <row r="730" spans="1:23" ht="31" x14ac:dyDescent="0.35">
      <c r="A730" s="251"/>
      <c r="B730" s="251"/>
      <c r="C730" s="252"/>
      <c r="D730" s="253"/>
      <c r="E730" s="253"/>
      <c r="F730" s="255"/>
      <c r="G730" s="256" t="s">
        <v>679</v>
      </c>
      <c r="H730" s="159" t="s">
        <v>666</v>
      </c>
      <c r="I730" s="158">
        <v>0</v>
      </c>
      <c r="J730" s="158">
        <v>0</v>
      </c>
      <c r="K730" s="158">
        <f>24580/D726</f>
        <v>1.98</v>
      </c>
      <c r="L730" s="7"/>
      <c r="M730" s="7"/>
      <c r="N730" s="7"/>
      <c r="O730" s="7"/>
      <c r="P730" s="7"/>
      <c r="Q730" s="7"/>
      <c r="R730" s="7"/>
      <c r="S730" s="7"/>
      <c r="T730" s="7"/>
      <c r="U730" s="7"/>
      <c r="V730" s="7"/>
      <c r="W730" s="7"/>
    </row>
    <row r="731" spans="1:23" x14ac:dyDescent="0.35">
      <c r="A731" s="251"/>
      <c r="B731" s="251"/>
      <c r="C731" s="252"/>
      <c r="D731" s="253"/>
      <c r="E731" s="253"/>
      <c r="F731" s="255"/>
      <c r="G731" s="257"/>
      <c r="H731" s="159" t="s">
        <v>674</v>
      </c>
      <c r="I731" s="158">
        <v>1708823</v>
      </c>
      <c r="J731" s="158">
        <f>I731/D726</f>
        <v>137.85</v>
      </c>
      <c r="K731" s="158">
        <f>1708823/D726</f>
        <v>137.85</v>
      </c>
      <c r="L731" s="7"/>
      <c r="M731" s="7"/>
      <c r="N731" s="7"/>
      <c r="O731" s="7"/>
      <c r="P731" s="7"/>
      <c r="Q731" s="7"/>
      <c r="R731" s="7"/>
      <c r="S731" s="7"/>
      <c r="T731" s="7"/>
      <c r="U731" s="7"/>
      <c r="V731" s="7"/>
      <c r="W731" s="7"/>
    </row>
    <row r="732" spans="1:23" x14ac:dyDescent="0.35">
      <c r="A732" s="251"/>
      <c r="B732" s="251"/>
      <c r="C732" s="252"/>
      <c r="D732" s="253"/>
      <c r="E732" s="253"/>
      <c r="F732" s="255"/>
      <c r="G732" s="258"/>
      <c r="H732" s="159" t="s">
        <v>76</v>
      </c>
      <c r="I732" s="158">
        <v>36203.31</v>
      </c>
      <c r="J732" s="158">
        <f>I732/D726</f>
        <v>2.92</v>
      </c>
      <c r="K732" s="158">
        <f>36569/D726</f>
        <v>2.95</v>
      </c>
      <c r="L732" s="7"/>
      <c r="M732" s="7"/>
      <c r="N732" s="7"/>
      <c r="O732" s="7"/>
      <c r="P732" s="7"/>
      <c r="Q732" s="7"/>
      <c r="R732" s="7"/>
      <c r="S732" s="7"/>
      <c r="T732" s="7"/>
      <c r="U732" s="7"/>
      <c r="V732" s="7"/>
      <c r="W732" s="7"/>
    </row>
    <row r="733" spans="1:23" ht="31" x14ac:dyDescent="0.35">
      <c r="A733" s="251"/>
      <c r="B733" s="251"/>
      <c r="C733" s="252"/>
      <c r="D733" s="253"/>
      <c r="E733" s="253"/>
      <c r="F733" s="255"/>
      <c r="G733" s="256" t="s">
        <v>680</v>
      </c>
      <c r="H733" s="159" t="s">
        <v>666</v>
      </c>
      <c r="I733" s="158">
        <v>0</v>
      </c>
      <c r="J733" s="158">
        <v>0</v>
      </c>
      <c r="K733" s="158">
        <f>24580/D726</f>
        <v>1.98</v>
      </c>
      <c r="L733" s="7"/>
      <c r="M733" s="7"/>
      <c r="N733" s="7"/>
      <c r="O733" s="7"/>
      <c r="P733" s="7"/>
      <c r="Q733" s="7"/>
      <c r="R733" s="7"/>
      <c r="S733" s="7"/>
      <c r="T733" s="7"/>
      <c r="U733" s="7"/>
      <c r="V733" s="7"/>
      <c r="W733" s="7"/>
    </row>
    <row r="734" spans="1:23" x14ac:dyDescent="0.35">
      <c r="A734" s="251"/>
      <c r="B734" s="251"/>
      <c r="C734" s="252"/>
      <c r="D734" s="253"/>
      <c r="E734" s="253"/>
      <c r="F734" s="255"/>
      <c r="G734" s="257"/>
      <c r="H734" s="159" t="s">
        <v>674</v>
      </c>
      <c r="I734" s="158">
        <v>1708823</v>
      </c>
      <c r="J734" s="158">
        <f>I734/D726</f>
        <v>137.85</v>
      </c>
      <c r="K734" s="158">
        <f>1708823/D726</f>
        <v>137.85</v>
      </c>
      <c r="L734" s="7"/>
      <c r="M734" s="7"/>
      <c r="N734" s="7"/>
      <c r="O734" s="7"/>
      <c r="P734" s="7"/>
      <c r="Q734" s="7"/>
      <c r="R734" s="7"/>
      <c r="S734" s="7"/>
      <c r="T734" s="7"/>
      <c r="U734" s="7"/>
      <c r="V734" s="7"/>
      <c r="W734" s="7"/>
    </row>
    <row r="735" spans="1:23" x14ac:dyDescent="0.35">
      <c r="A735" s="251"/>
      <c r="B735" s="251"/>
      <c r="C735" s="252"/>
      <c r="D735" s="253"/>
      <c r="E735" s="253"/>
      <c r="F735" s="255"/>
      <c r="G735" s="258"/>
      <c r="H735" s="159" t="s">
        <v>76</v>
      </c>
      <c r="I735" s="158">
        <v>36203.31</v>
      </c>
      <c r="J735" s="158">
        <f>I735/D726</f>
        <v>2.92</v>
      </c>
      <c r="K735" s="158">
        <f>36569/D726</f>
        <v>2.95</v>
      </c>
      <c r="L735" s="7"/>
      <c r="M735" s="7"/>
      <c r="N735" s="7"/>
      <c r="O735" s="7"/>
      <c r="P735" s="7"/>
      <c r="Q735" s="7"/>
      <c r="R735" s="7"/>
      <c r="S735" s="7"/>
      <c r="T735" s="7"/>
      <c r="U735" s="7"/>
      <c r="V735" s="7"/>
      <c r="W735" s="7"/>
    </row>
    <row r="736" spans="1:23" ht="31" x14ac:dyDescent="0.35">
      <c r="A736" s="251"/>
      <c r="B736" s="251"/>
      <c r="C736" s="252"/>
      <c r="D736" s="253"/>
      <c r="E736" s="253"/>
      <c r="F736" s="255"/>
      <c r="G736" s="256" t="s">
        <v>681</v>
      </c>
      <c r="H736" s="159" t="s">
        <v>666</v>
      </c>
      <c r="I736" s="158">
        <v>0</v>
      </c>
      <c r="J736" s="158">
        <v>0</v>
      </c>
      <c r="K736" s="158">
        <f>24580/D726</f>
        <v>1.98</v>
      </c>
      <c r="L736" s="7"/>
      <c r="M736" s="7"/>
      <c r="N736" s="7"/>
      <c r="O736" s="7"/>
      <c r="P736" s="7"/>
      <c r="Q736" s="7"/>
      <c r="R736" s="7"/>
      <c r="S736" s="7"/>
      <c r="T736" s="7"/>
      <c r="U736" s="7"/>
      <c r="V736" s="7"/>
      <c r="W736" s="7"/>
    </row>
    <row r="737" spans="1:23" x14ac:dyDescent="0.35">
      <c r="A737" s="251"/>
      <c r="B737" s="251"/>
      <c r="C737" s="252"/>
      <c r="D737" s="253"/>
      <c r="E737" s="253"/>
      <c r="F737" s="255"/>
      <c r="G737" s="257"/>
      <c r="H737" s="159" t="s">
        <v>674</v>
      </c>
      <c r="I737" s="158">
        <v>1708823</v>
      </c>
      <c r="J737" s="158">
        <f>I737/D726</f>
        <v>137.85</v>
      </c>
      <c r="K737" s="158">
        <f>1708823/D726</f>
        <v>137.85</v>
      </c>
      <c r="L737" s="7"/>
      <c r="M737" s="7"/>
      <c r="N737" s="7"/>
      <c r="O737" s="7"/>
      <c r="P737" s="7"/>
      <c r="Q737" s="7"/>
      <c r="R737" s="7"/>
      <c r="S737" s="7"/>
      <c r="T737" s="7"/>
      <c r="U737" s="7"/>
      <c r="V737" s="7"/>
      <c r="W737" s="7"/>
    </row>
    <row r="738" spans="1:23" x14ac:dyDescent="0.35">
      <c r="A738" s="251"/>
      <c r="B738" s="251"/>
      <c r="C738" s="252"/>
      <c r="D738" s="253"/>
      <c r="E738" s="253"/>
      <c r="F738" s="255"/>
      <c r="G738" s="258"/>
      <c r="H738" s="159" t="s">
        <v>76</v>
      </c>
      <c r="I738" s="158">
        <v>36203.31</v>
      </c>
      <c r="J738" s="158">
        <f>I738/D726</f>
        <v>2.92</v>
      </c>
      <c r="K738" s="158">
        <f>36569/D726</f>
        <v>2.95</v>
      </c>
      <c r="L738" s="7"/>
      <c r="M738" s="7"/>
      <c r="N738" s="7"/>
      <c r="O738" s="7"/>
      <c r="P738" s="7"/>
      <c r="Q738" s="7"/>
      <c r="R738" s="7"/>
      <c r="S738" s="7"/>
      <c r="T738" s="7"/>
      <c r="U738" s="7"/>
      <c r="V738" s="7"/>
      <c r="W738" s="7"/>
    </row>
    <row r="739" spans="1:23" ht="31" x14ac:dyDescent="0.35">
      <c r="A739" s="251"/>
      <c r="B739" s="251"/>
      <c r="C739" s="252"/>
      <c r="D739" s="253"/>
      <c r="E739" s="253"/>
      <c r="F739" s="255"/>
      <c r="G739" s="256" t="s">
        <v>678</v>
      </c>
      <c r="H739" s="159" t="s">
        <v>666</v>
      </c>
      <c r="I739" s="158">
        <v>0</v>
      </c>
      <c r="J739" s="158">
        <v>0</v>
      </c>
      <c r="K739" s="158">
        <f>24580/D726</f>
        <v>1.98</v>
      </c>
      <c r="L739" s="7"/>
      <c r="M739" s="7"/>
      <c r="N739" s="7"/>
      <c r="O739" s="7"/>
      <c r="P739" s="7"/>
      <c r="Q739" s="7"/>
      <c r="R739" s="7"/>
      <c r="S739" s="7"/>
      <c r="T739" s="7"/>
      <c r="U739" s="7"/>
      <c r="V739" s="7"/>
      <c r="W739" s="7"/>
    </row>
    <row r="740" spans="1:23" x14ac:dyDescent="0.35">
      <c r="A740" s="251"/>
      <c r="B740" s="251"/>
      <c r="C740" s="252"/>
      <c r="D740" s="253"/>
      <c r="E740" s="253"/>
      <c r="F740" s="255"/>
      <c r="G740" s="257"/>
      <c r="H740" s="159" t="s">
        <v>674</v>
      </c>
      <c r="I740" s="158">
        <v>1708823</v>
      </c>
      <c r="J740" s="158">
        <f>I740/D726</f>
        <v>137.85</v>
      </c>
      <c r="K740" s="158">
        <f>1708823/D726</f>
        <v>137.85</v>
      </c>
      <c r="L740" s="7"/>
      <c r="M740" s="7"/>
      <c r="N740" s="7"/>
      <c r="O740" s="7"/>
      <c r="P740" s="7"/>
      <c r="Q740" s="7"/>
      <c r="R740" s="7"/>
      <c r="S740" s="7"/>
      <c r="T740" s="7"/>
      <c r="U740" s="7"/>
      <c r="V740" s="7"/>
      <c r="W740" s="7"/>
    </row>
    <row r="741" spans="1:23" x14ac:dyDescent="0.35">
      <c r="A741" s="251"/>
      <c r="B741" s="251"/>
      <c r="C741" s="252"/>
      <c r="D741" s="253"/>
      <c r="E741" s="253"/>
      <c r="F741" s="255"/>
      <c r="G741" s="258"/>
      <c r="H741" s="159" t="s">
        <v>76</v>
      </c>
      <c r="I741" s="158">
        <v>36203.31</v>
      </c>
      <c r="J741" s="158">
        <f>I741/D726</f>
        <v>2.92</v>
      </c>
      <c r="K741" s="158">
        <f>36569/D726</f>
        <v>2.95</v>
      </c>
      <c r="L741" s="7"/>
      <c r="M741" s="7"/>
      <c r="N741" s="7"/>
      <c r="O741" s="7"/>
      <c r="P741" s="7"/>
      <c r="Q741" s="7"/>
      <c r="R741" s="7"/>
      <c r="S741" s="7"/>
      <c r="T741" s="7"/>
      <c r="U741" s="7"/>
      <c r="V741" s="7"/>
      <c r="W741" s="7"/>
    </row>
    <row r="742" spans="1:23" ht="31" x14ac:dyDescent="0.35">
      <c r="A742" s="251"/>
      <c r="B742" s="251"/>
      <c r="C742" s="252"/>
      <c r="D742" s="253"/>
      <c r="E742" s="253"/>
      <c r="F742" s="255"/>
      <c r="G742" s="256" t="s">
        <v>682</v>
      </c>
      <c r="H742" s="159" t="s">
        <v>666</v>
      </c>
      <c r="I742" s="158">
        <v>0</v>
      </c>
      <c r="J742" s="158">
        <v>0</v>
      </c>
      <c r="K742" s="158">
        <f>24580/D726</f>
        <v>1.98</v>
      </c>
      <c r="L742" s="7"/>
      <c r="M742" s="7"/>
      <c r="N742" s="7"/>
      <c r="O742" s="7"/>
      <c r="P742" s="7"/>
      <c r="Q742" s="7"/>
      <c r="R742" s="7"/>
      <c r="S742" s="7"/>
      <c r="T742" s="7"/>
      <c r="U742" s="7"/>
      <c r="V742" s="7"/>
      <c r="W742" s="7"/>
    </row>
    <row r="743" spans="1:23" x14ac:dyDescent="0.35">
      <c r="A743" s="251"/>
      <c r="B743" s="251"/>
      <c r="C743" s="252"/>
      <c r="D743" s="253"/>
      <c r="E743" s="253"/>
      <c r="F743" s="255"/>
      <c r="G743" s="257"/>
      <c r="H743" s="159" t="s">
        <v>674</v>
      </c>
      <c r="I743" s="158">
        <v>1708823</v>
      </c>
      <c r="J743" s="158">
        <f>I743/D726</f>
        <v>137.85</v>
      </c>
      <c r="K743" s="158">
        <f>1708823/D726</f>
        <v>137.85</v>
      </c>
      <c r="L743" s="7"/>
      <c r="M743" s="7"/>
      <c r="N743" s="7"/>
      <c r="O743" s="7"/>
      <c r="P743" s="7"/>
      <c r="Q743" s="7"/>
      <c r="R743" s="7"/>
      <c r="S743" s="7"/>
      <c r="T743" s="7"/>
      <c r="U743" s="7"/>
      <c r="V743" s="7"/>
      <c r="W743" s="7"/>
    </row>
    <row r="744" spans="1:23" x14ac:dyDescent="0.35">
      <c r="A744" s="251"/>
      <c r="B744" s="251"/>
      <c r="C744" s="252"/>
      <c r="D744" s="253"/>
      <c r="E744" s="253"/>
      <c r="F744" s="255"/>
      <c r="G744" s="258"/>
      <c r="H744" s="159" t="s">
        <v>76</v>
      </c>
      <c r="I744" s="158">
        <v>36203.31</v>
      </c>
      <c r="J744" s="158">
        <f>I744/D726</f>
        <v>2.92</v>
      </c>
      <c r="K744" s="158">
        <f>36569/D726</f>
        <v>2.95</v>
      </c>
      <c r="L744" s="7"/>
      <c r="M744" s="7"/>
      <c r="N744" s="7"/>
      <c r="O744" s="7"/>
      <c r="P744" s="7"/>
      <c r="Q744" s="7"/>
      <c r="R744" s="7"/>
      <c r="S744" s="7"/>
      <c r="T744" s="7"/>
      <c r="U744" s="7"/>
      <c r="V744" s="7"/>
      <c r="W744" s="7"/>
    </row>
    <row r="745" spans="1:23" ht="15.75" customHeight="1" x14ac:dyDescent="0.35">
      <c r="A745" s="256">
        <f>A726+1</f>
        <v>100</v>
      </c>
      <c r="B745" s="256">
        <v>3278</v>
      </c>
      <c r="C745" s="259" t="s">
        <v>370</v>
      </c>
      <c r="D745" s="279">
        <v>4404.5</v>
      </c>
      <c r="E745" s="279" t="s">
        <v>71</v>
      </c>
      <c r="F745" s="291">
        <v>5</v>
      </c>
      <c r="G745" s="123"/>
      <c r="H745" s="159" t="s">
        <v>73</v>
      </c>
      <c r="I745" s="158">
        <f>I746+I747+I748+I749+I750+I751+I752+I753</f>
        <v>4285929.38</v>
      </c>
      <c r="J745" s="158">
        <f>J746+J747+J748+J749+J750+J751+J752+J753</f>
        <v>973.08</v>
      </c>
      <c r="K745" s="158">
        <f>K746+K747+K748+K749+K750+K751+K752+K753</f>
        <v>3589</v>
      </c>
      <c r="L745" s="7"/>
      <c r="M745" s="7"/>
      <c r="N745" s="7"/>
      <c r="O745" s="7"/>
      <c r="P745" s="7"/>
      <c r="Q745" s="7"/>
      <c r="R745" s="7"/>
      <c r="S745" s="7"/>
      <c r="T745" s="7"/>
      <c r="U745" s="7"/>
      <c r="V745" s="7"/>
      <c r="W745" s="7"/>
    </row>
    <row r="746" spans="1:23" ht="31" x14ac:dyDescent="0.35">
      <c r="A746" s="257"/>
      <c r="B746" s="257"/>
      <c r="C746" s="260"/>
      <c r="D746" s="280"/>
      <c r="E746" s="280"/>
      <c r="F746" s="292"/>
      <c r="G746" s="256" t="s">
        <v>77</v>
      </c>
      <c r="H746" s="159" t="s">
        <v>666</v>
      </c>
      <c r="I746" s="158">
        <v>191446.24</v>
      </c>
      <c r="J746" s="158">
        <f>I746/D745</f>
        <v>43.47</v>
      </c>
      <c r="K746" s="158">
        <f>85+7</f>
        <v>92</v>
      </c>
      <c r="L746" s="7"/>
      <c r="M746" s="7"/>
      <c r="N746" s="7"/>
      <c r="O746" s="7"/>
      <c r="P746" s="7"/>
      <c r="Q746" s="7"/>
      <c r="R746" s="7"/>
      <c r="S746" s="7"/>
      <c r="T746" s="7"/>
      <c r="U746" s="7"/>
      <c r="V746" s="7"/>
      <c r="W746" s="7"/>
    </row>
    <row r="747" spans="1:23" x14ac:dyDescent="0.35">
      <c r="A747" s="257"/>
      <c r="B747" s="257"/>
      <c r="C747" s="260"/>
      <c r="D747" s="280"/>
      <c r="E747" s="280"/>
      <c r="F747" s="292"/>
      <c r="G747" s="258"/>
      <c r="H747" s="159" t="s">
        <v>74</v>
      </c>
      <c r="I747" s="158">
        <f>9006597.78*0.3</f>
        <v>2701979.33</v>
      </c>
      <c r="J747" s="158">
        <f>I747/D745-0.01</f>
        <v>613.45000000000005</v>
      </c>
      <c r="K747" s="158">
        <v>2119</v>
      </c>
      <c r="L747" s="7"/>
      <c r="M747" s="7"/>
      <c r="N747" s="7"/>
      <c r="O747" s="7"/>
      <c r="P747" s="7"/>
      <c r="Q747" s="7"/>
      <c r="R747" s="7"/>
      <c r="S747" s="7"/>
      <c r="T747" s="7"/>
      <c r="U747" s="7"/>
      <c r="V747" s="7"/>
      <c r="W747" s="7"/>
    </row>
    <row r="748" spans="1:23" ht="31.5" customHeight="1" x14ac:dyDescent="0.35">
      <c r="A748" s="257"/>
      <c r="B748" s="257"/>
      <c r="C748" s="260"/>
      <c r="D748" s="280"/>
      <c r="E748" s="280"/>
      <c r="F748" s="292"/>
      <c r="G748" s="256" t="s">
        <v>78</v>
      </c>
      <c r="H748" s="159" t="s">
        <v>666</v>
      </c>
      <c r="I748" s="158">
        <v>88076.78</v>
      </c>
      <c r="J748" s="158">
        <f>I748/D745</f>
        <v>20</v>
      </c>
      <c r="K748" s="158">
        <f>19+2</f>
        <v>21</v>
      </c>
      <c r="L748" s="7"/>
      <c r="M748" s="7"/>
      <c r="N748" s="7"/>
      <c r="O748" s="7"/>
      <c r="P748" s="7"/>
      <c r="Q748" s="7"/>
      <c r="R748" s="7"/>
      <c r="S748" s="7"/>
      <c r="T748" s="7"/>
      <c r="U748" s="7"/>
      <c r="V748" s="7"/>
      <c r="W748" s="7"/>
    </row>
    <row r="749" spans="1:23" x14ac:dyDescent="0.35">
      <c r="A749" s="257"/>
      <c r="B749" s="257"/>
      <c r="C749" s="260"/>
      <c r="D749" s="280"/>
      <c r="E749" s="280"/>
      <c r="F749" s="292"/>
      <c r="G749" s="258"/>
      <c r="H749" s="159" t="s">
        <v>74</v>
      </c>
      <c r="I749" s="158">
        <f>939332.77*0.3</f>
        <v>281799.83</v>
      </c>
      <c r="J749" s="158">
        <f>I749/D745</f>
        <v>63.98</v>
      </c>
      <c r="K749" s="158">
        <v>463</v>
      </c>
      <c r="L749" s="7"/>
      <c r="M749" s="7"/>
      <c r="N749" s="7"/>
      <c r="O749" s="7"/>
      <c r="P749" s="7"/>
      <c r="Q749" s="7"/>
      <c r="R749" s="7"/>
      <c r="S749" s="7"/>
      <c r="T749" s="7"/>
      <c r="U749" s="7"/>
      <c r="V749" s="7"/>
      <c r="W749" s="7"/>
    </row>
    <row r="750" spans="1:23" ht="31.5" customHeight="1" x14ac:dyDescent="0.35">
      <c r="A750" s="257"/>
      <c r="B750" s="257"/>
      <c r="C750" s="260"/>
      <c r="D750" s="280"/>
      <c r="E750" s="280"/>
      <c r="F750" s="292"/>
      <c r="G750" s="282" t="s">
        <v>79</v>
      </c>
      <c r="H750" s="159" t="s">
        <v>666</v>
      </c>
      <c r="I750" s="158">
        <v>71918.87</v>
      </c>
      <c r="J750" s="158">
        <f>I750/D745</f>
        <v>16.329999999999998</v>
      </c>
      <c r="K750" s="158">
        <f>16+1</f>
        <v>17</v>
      </c>
      <c r="L750" s="7"/>
      <c r="M750" s="7"/>
      <c r="N750" s="7"/>
      <c r="O750" s="7"/>
      <c r="P750" s="7"/>
      <c r="Q750" s="7"/>
      <c r="R750" s="7"/>
      <c r="S750" s="7"/>
      <c r="T750" s="7"/>
      <c r="U750" s="7"/>
      <c r="V750" s="7"/>
      <c r="W750" s="7"/>
    </row>
    <row r="751" spans="1:23" x14ac:dyDescent="0.35">
      <c r="A751" s="257"/>
      <c r="B751" s="257"/>
      <c r="C751" s="260"/>
      <c r="D751" s="280"/>
      <c r="E751" s="280"/>
      <c r="F751" s="292"/>
      <c r="G751" s="284"/>
      <c r="H751" s="159" t="s">
        <v>74</v>
      </c>
      <c r="I751" s="158">
        <f>1801440.5*0.3</f>
        <v>540432.15</v>
      </c>
      <c r="J751" s="158">
        <f>I751/D745</f>
        <v>122.7</v>
      </c>
      <c r="K751" s="158">
        <v>409</v>
      </c>
      <c r="L751" s="7"/>
      <c r="M751" s="7"/>
      <c r="N751" s="7"/>
      <c r="O751" s="7"/>
      <c r="P751" s="7"/>
      <c r="Q751" s="7"/>
      <c r="R751" s="7"/>
      <c r="S751" s="7"/>
      <c r="T751" s="7"/>
      <c r="U751" s="7"/>
      <c r="V751" s="7"/>
      <c r="W751" s="7"/>
    </row>
    <row r="752" spans="1:23" ht="31" x14ac:dyDescent="0.35">
      <c r="A752" s="257"/>
      <c r="B752" s="257"/>
      <c r="C752" s="260"/>
      <c r="D752" s="280"/>
      <c r="E752" s="280"/>
      <c r="F752" s="292"/>
      <c r="G752" s="256" t="s">
        <v>90</v>
      </c>
      <c r="H752" s="159" t="s">
        <v>666</v>
      </c>
      <c r="I752" s="158">
        <v>51947.61</v>
      </c>
      <c r="J752" s="158">
        <f>I752/D745</f>
        <v>11.79</v>
      </c>
      <c r="K752" s="158">
        <f>18+2</f>
        <v>20</v>
      </c>
      <c r="L752" s="7"/>
      <c r="M752" s="7"/>
      <c r="N752" s="7"/>
      <c r="O752" s="7"/>
      <c r="P752" s="7"/>
      <c r="Q752" s="7"/>
      <c r="R752" s="7"/>
      <c r="S752" s="7"/>
      <c r="T752" s="7"/>
      <c r="U752" s="7"/>
      <c r="V752" s="7"/>
      <c r="W752" s="7"/>
    </row>
    <row r="753" spans="1:23" x14ac:dyDescent="0.35">
      <c r="A753" s="258"/>
      <c r="B753" s="258"/>
      <c r="C753" s="261"/>
      <c r="D753" s="281"/>
      <c r="E753" s="281"/>
      <c r="F753" s="294"/>
      <c r="G753" s="258"/>
      <c r="H753" s="159" t="s">
        <v>74</v>
      </c>
      <c r="I753" s="158">
        <f>1194428.57*0.3</f>
        <v>358328.57</v>
      </c>
      <c r="J753" s="158">
        <f>I753/D745</f>
        <v>81.36</v>
      </c>
      <c r="K753" s="158">
        <v>448</v>
      </c>
      <c r="L753" s="7"/>
      <c r="M753" s="7"/>
      <c r="N753" s="7"/>
      <c r="O753" s="7"/>
      <c r="P753" s="7"/>
      <c r="Q753" s="7"/>
      <c r="R753" s="7"/>
      <c r="S753" s="7"/>
      <c r="T753" s="7"/>
      <c r="U753" s="7"/>
      <c r="V753" s="7"/>
      <c r="W753" s="7"/>
    </row>
    <row r="754" spans="1:23" ht="15.75" customHeight="1" x14ac:dyDescent="0.35">
      <c r="A754" s="256">
        <f>A745+1</f>
        <v>101</v>
      </c>
      <c r="B754" s="256">
        <v>3280</v>
      </c>
      <c r="C754" s="259" t="s">
        <v>372</v>
      </c>
      <c r="D754" s="279">
        <v>4328.8</v>
      </c>
      <c r="E754" s="279" t="s">
        <v>71</v>
      </c>
      <c r="F754" s="291">
        <v>5</v>
      </c>
      <c r="G754" s="123"/>
      <c r="H754" s="159" t="s">
        <v>73</v>
      </c>
      <c r="I754" s="158">
        <f>I755+I756+I757+I758</f>
        <v>408759.43</v>
      </c>
      <c r="J754" s="158">
        <f>J755+J756+J757+J758</f>
        <v>94.43</v>
      </c>
      <c r="K754" s="158">
        <f>K755+K756+K757+K758</f>
        <v>150</v>
      </c>
      <c r="L754" s="7"/>
      <c r="M754" s="7"/>
      <c r="N754" s="7"/>
      <c r="O754" s="7"/>
      <c r="P754" s="7"/>
      <c r="Q754" s="7"/>
      <c r="R754" s="7"/>
      <c r="S754" s="7"/>
      <c r="T754" s="7"/>
      <c r="U754" s="7"/>
      <c r="V754" s="7"/>
      <c r="W754" s="7"/>
    </row>
    <row r="755" spans="1:23" ht="31" x14ac:dyDescent="0.35">
      <c r="A755" s="257"/>
      <c r="B755" s="257"/>
      <c r="C755" s="260"/>
      <c r="D755" s="280"/>
      <c r="E755" s="280"/>
      <c r="F755" s="292"/>
      <c r="G755" s="120" t="s">
        <v>77</v>
      </c>
      <c r="H755" s="159" t="s">
        <v>666</v>
      </c>
      <c r="I755" s="158">
        <f>165400.75+D754*7</f>
        <v>195702.35</v>
      </c>
      <c r="J755" s="158">
        <f>I755/D754</f>
        <v>45.21</v>
      </c>
      <c r="K755" s="158">
        <f>85+7</f>
        <v>92</v>
      </c>
      <c r="L755" s="7"/>
      <c r="M755" s="7"/>
      <c r="N755" s="7"/>
      <c r="O755" s="7"/>
      <c r="P755" s="7"/>
      <c r="Q755" s="7"/>
      <c r="R755" s="7"/>
      <c r="S755" s="7"/>
      <c r="T755" s="7"/>
      <c r="U755" s="7"/>
      <c r="V755" s="7"/>
      <c r="W755" s="7"/>
    </row>
    <row r="756" spans="1:23" ht="46.5" x14ac:dyDescent="0.35">
      <c r="A756" s="257"/>
      <c r="B756" s="257"/>
      <c r="C756" s="260"/>
      <c r="D756" s="280"/>
      <c r="E756" s="280"/>
      <c r="F756" s="292"/>
      <c r="G756" s="120" t="s">
        <v>78</v>
      </c>
      <c r="H756" s="159" t="s">
        <v>666</v>
      </c>
      <c r="I756" s="158">
        <f>D754*K756</f>
        <v>90904.8</v>
      </c>
      <c r="J756" s="158">
        <f>I756/D754</f>
        <v>21</v>
      </c>
      <c r="K756" s="158">
        <f>19+2</f>
        <v>21</v>
      </c>
      <c r="L756" s="7"/>
      <c r="M756" s="7"/>
      <c r="N756" s="7"/>
      <c r="O756" s="7"/>
      <c r="P756" s="7"/>
      <c r="Q756" s="7"/>
      <c r="R756" s="7"/>
      <c r="S756" s="7"/>
      <c r="T756" s="7"/>
      <c r="U756" s="7"/>
      <c r="V756" s="7"/>
      <c r="W756" s="7"/>
    </row>
    <row r="757" spans="1:23" ht="31" x14ac:dyDescent="0.35">
      <c r="A757" s="257"/>
      <c r="B757" s="257"/>
      <c r="C757" s="260"/>
      <c r="D757" s="280"/>
      <c r="E757" s="280"/>
      <c r="F757" s="292"/>
      <c r="G757" s="120" t="s">
        <v>79</v>
      </c>
      <c r="H757" s="159" t="s">
        <v>666</v>
      </c>
      <c r="I757" s="158">
        <f>65062.06+D754*1</f>
        <v>69390.86</v>
      </c>
      <c r="J757" s="158">
        <f>I757/D754</f>
        <v>16.03</v>
      </c>
      <c r="K757" s="158">
        <f>16+1</f>
        <v>17</v>
      </c>
      <c r="L757" s="7"/>
      <c r="M757" s="7"/>
      <c r="N757" s="7"/>
      <c r="O757" s="7"/>
      <c r="P757" s="7"/>
      <c r="Q757" s="7"/>
      <c r="R757" s="7"/>
      <c r="S757" s="7"/>
      <c r="T757" s="7"/>
      <c r="U757" s="7"/>
      <c r="V757" s="7"/>
      <c r="W757" s="7"/>
    </row>
    <row r="758" spans="1:23" ht="31" x14ac:dyDescent="0.35">
      <c r="A758" s="257"/>
      <c r="B758" s="257"/>
      <c r="C758" s="260"/>
      <c r="D758" s="280"/>
      <c r="E758" s="280"/>
      <c r="F758" s="292"/>
      <c r="G758" s="120" t="s">
        <v>90</v>
      </c>
      <c r="H758" s="159" t="s">
        <v>666</v>
      </c>
      <c r="I758" s="158">
        <f>44103.82+D754*2</f>
        <v>52761.42</v>
      </c>
      <c r="J758" s="158">
        <f>I758/D754</f>
        <v>12.19</v>
      </c>
      <c r="K758" s="158">
        <f>18+2</f>
        <v>20</v>
      </c>
      <c r="L758" s="7"/>
      <c r="M758" s="7"/>
      <c r="N758" s="7"/>
      <c r="O758" s="7"/>
      <c r="P758" s="7"/>
      <c r="Q758" s="7"/>
      <c r="R758" s="7"/>
      <c r="S758" s="7"/>
      <c r="T758" s="7"/>
      <c r="U758" s="7"/>
      <c r="V758" s="7"/>
      <c r="W758" s="7"/>
    </row>
    <row r="759" spans="1:23" ht="15.75" customHeight="1" x14ac:dyDescent="0.35">
      <c r="A759" s="256">
        <f>A754+1</f>
        <v>102</v>
      </c>
      <c r="B759" s="256">
        <v>3281</v>
      </c>
      <c r="C759" s="259" t="s">
        <v>373</v>
      </c>
      <c r="D759" s="279">
        <v>4302</v>
      </c>
      <c r="E759" s="279" t="s">
        <v>71</v>
      </c>
      <c r="F759" s="291">
        <v>5</v>
      </c>
      <c r="G759" s="123"/>
      <c r="H759" s="159" t="s">
        <v>73</v>
      </c>
      <c r="I759" s="158">
        <f>I760+I761+I762+I763</f>
        <v>408076.74</v>
      </c>
      <c r="J759" s="158">
        <f>J760+J761+J762+J763</f>
        <v>94.86</v>
      </c>
      <c r="K759" s="158">
        <f>K760+K761+K762+K763</f>
        <v>150</v>
      </c>
      <c r="L759" s="7"/>
      <c r="M759" s="7"/>
      <c r="N759" s="7"/>
      <c r="O759" s="7"/>
      <c r="P759" s="7"/>
      <c r="Q759" s="7"/>
      <c r="R759" s="7"/>
      <c r="S759" s="7"/>
      <c r="T759" s="7"/>
      <c r="U759" s="7"/>
      <c r="V759" s="7"/>
      <c r="W759" s="7"/>
    </row>
    <row r="760" spans="1:23" ht="31" x14ac:dyDescent="0.35">
      <c r="A760" s="257">
        <v>882</v>
      </c>
      <c r="B760" s="257"/>
      <c r="C760" s="260"/>
      <c r="D760" s="280"/>
      <c r="E760" s="280"/>
      <c r="F760" s="292"/>
      <c r="G760" s="120" t="s">
        <v>77</v>
      </c>
      <c r="H760" s="159" t="s">
        <v>666</v>
      </c>
      <c r="I760" s="158">
        <f>165683.39+D759*7</f>
        <v>195797.39</v>
      </c>
      <c r="J760" s="158">
        <f>I760/D759</f>
        <v>45.51</v>
      </c>
      <c r="K760" s="158">
        <f>85+7</f>
        <v>92</v>
      </c>
      <c r="L760" s="7"/>
      <c r="M760" s="7"/>
      <c r="N760" s="7"/>
      <c r="O760" s="7"/>
      <c r="P760" s="7"/>
      <c r="Q760" s="7"/>
      <c r="R760" s="7"/>
      <c r="S760" s="7"/>
      <c r="T760" s="7"/>
      <c r="U760" s="7"/>
      <c r="V760" s="7"/>
      <c r="W760" s="7"/>
    </row>
    <row r="761" spans="1:23" ht="46.5" x14ac:dyDescent="0.35">
      <c r="A761" s="257">
        <v>884</v>
      </c>
      <c r="B761" s="257"/>
      <c r="C761" s="260"/>
      <c r="D761" s="280"/>
      <c r="E761" s="280"/>
      <c r="F761" s="292"/>
      <c r="G761" s="120" t="s">
        <v>78</v>
      </c>
      <c r="H761" s="159" t="s">
        <v>666</v>
      </c>
      <c r="I761" s="158">
        <f>D759*K761</f>
        <v>90342</v>
      </c>
      <c r="J761" s="158">
        <f>I761/D759</f>
        <v>21</v>
      </c>
      <c r="K761" s="158">
        <f>19+2</f>
        <v>21</v>
      </c>
      <c r="L761" s="7"/>
      <c r="M761" s="7"/>
      <c r="N761" s="7"/>
      <c r="O761" s="7"/>
      <c r="P761" s="7"/>
      <c r="Q761" s="7"/>
      <c r="R761" s="7"/>
      <c r="S761" s="7"/>
      <c r="T761" s="7"/>
      <c r="U761" s="7"/>
      <c r="V761" s="7"/>
      <c r="W761" s="7"/>
    </row>
    <row r="762" spans="1:23" ht="31" x14ac:dyDescent="0.35">
      <c r="A762" s="257"/>
      <c r="B762" s="257"/>
      <c r="C762" s="260"/>
      <c r="D762" s="280"/>
      <c r="E762" s="280"/>
      <c r="F762" s="292"/>
      <c r="G762" s="120" t="s">
        <v>79</v>
      </c>
      <c r="H762" s="159" t="s">
        <v>666</v>
      </c>
      <c r="I762" s="158">
        <f>64987.95+D759*1</f>
        <v>69289.95</v>
      </c>
      <c r="J762" s="158">
        <f>I762/D759</f>
        <v>16.11</v>
      </c>
      <c r="K762" s="158">
        <f>16+1</f>
        <v>17</v>
      </c>
      <c r="L762" s="7"/>
      <c r="M762" s="7"/>
      <c r="N762" s="7"/>
      <c r="O762" s="7"/>
      <c r="P762" s="7"/>
      <c r="Q762" s="7"/>
      <c r="R762" s="7"/>
      <c r="S762" s="7"/>
      <c r="T762" s="7"/>
      <c r="U762" s="7"/>
      <c r="V762" s="7"/>
      <c r="W762" s="7"/>
    </row>
    <row r="763" spans="1:23" ht="31" x14ac:dyDescent="0.35">
      <c r="A763" s="257">
        <v>886</v>
      </c>
      <c r="B763" s="257"/>
      <c r="C763" s="260"/>
      <c r="D763" s="280"/>
      <c r="E763" s="280"/>
      <c r="F763" s="292"/>
      <c r="G763" s="120" t="s">
        <v>90</v>
      </c>
      <c r="H763" s="159" t="s">
        <v>666</v>
      </c>
      <c r="I763" s="158">
        <f>44043.4+D759*2</f>
        <v>52647.4</v>
      </c>
      <c r="J763" s="158">
        <f>I763/D759</f>
        <v>12.24</v>
      </c>
      <c r="K763" s="158">
        <f>18+2</f>
        <v>20</v>
      </c>
      <c r="L763" s="7"/>
      <c r="M763" s="7"/>
      <c r="N763" s="7"/>
      <c r="O763" s="7"/>
      <c r="P763" s="7"/>
      <c r="Q763" s="7"/>
      <c r="R763" s="7"/>
      <c r="S763" s="7"/>
      <c r="T763" s="7"/>
      <c r="U763" s="7"/>
      <c r="V763" s="7"/>
      <c r="W763" s="7"/>
    </row>
    <row r="764" spans="1:23" x14ac:dyDescent="0.35">
      <c r="A764" s="251">
        <f>A759+1</f>
        <v>103</v>
      </c>
      <c r="B764" s="251">
        <v>4053</v>
      </c>
      <c r="C764" s="252" t="s">
        <v>374</v>
      </c>
      <c r="D764" s="274">
        <v>2642</v>
      </c>
      <c r="E764" s="274" t="s">
        <v>71</v>
      </c>
      <c r="F764" s="293">
        <v>5</v>
      </c>
      <c r="G764" s="251" t="s">
        <v>72</v>
      </c>
      <c r="H764" s="159" t="s">
        <v>73</v>
      </c>
      <c r="I764" s="158">
        <f>I765+I766</f>
        <v>2706613.74</v>
      </c>
      <c r="J764" s="158">
        <f>J765+J766</f>
        <v>1024.46</v>
      </c>
      <c r="K764" s="158">
        <f>K765+K766</f>
        <v>3523</v>
      </c>
      <c r="L764" s="7"/>
      <c r="M764" s="7"/>
      <c r="N764" s="7"/>
      <c r="O764" s="7"/>
      <c r="P764" s="7"/>
      <c r="Q764" s="7"/>
      <c r="R764" s="7"/>
      <c r="S764" s="7"/>
      <c r="T764" s="7"/>
      <c r="U764" s="7"/>
      <c r="V764" s="7"/>
      <c r="W764" s="7"/>
    </row>
    <row r="765" spans="1:23" ht="46.5" x14ac:dyDescent="0.35">
      <c r="A765" s="251">
        <v>75</v>
      </c>
      <c r="B765" s="251"/>
      <c r="C765" s="252"/>
      <c r="D765" s="274"/>
      <c r="E765" s="274"/>
      <c r="F765" s="293"/>
      <c r="G765" s="251"/>
      <c r="H765" s="159" t="s">
        <v>796</v>
      </c>
      <c r="I765" s="158">
        <v>372876.13</v>
      </c>
      <c r="J765" s="158">
        <f>I765/D764</f>
        <v>141.13</v>
      </c>
      <c r="K765" s="158">
        <f>135+11</f>
        <v>146</v>
      </c>
      <c r="L765" s="7"/>
      <c r="M765" s="7"/>
      <c r="N765" s="7"/>
      <c r="O765" s="7"/>
      <c r="P765" s="7"/>
      <c r="Q765" s="7"/>
      <c r="R765" s="7"/>
      <c r="S765" s="7"/>
      <c r="T765" s="7"/>
      <c r="U765" s="7"/>
      <c r="V765" s="7"/>
      <c r="W765" s="7"/>
    </row>
    <row r="766" spans="1:23" ht="31" x14ac:dyDescent="0.35">
      <c r="A766" s="251">
        <v>77</v>
      </c>
      <c r="B766" s="251"/>
      <c r="C766" s="252"/>
      <c r="D766" s="274"/>
      <c r="E766" s="274"/>
      <c r="F766" s="293"/>
      <c r="G766" s="251"/>
      <c r="H766" s="159" t="s">
        <v>86</v>
      </c>
      <c r="I766" s="158">
        <f>7779125.36*0.3</f>
        <v>2333737.61</v>
      </c>
      <c r="J766" s="158">
        <f>I766/D764+0.01</f>
        <v>883.33</v>
      </c>
      <c r="K766" s="158">
        <v>3377</v>
      </c>
      <c r="L766" s="7"/>
      <c r="M766" s="7"/>
      <c r="N766" s="7"/>
      <c r="O766" s="7"/>
      <c r="P766" s="7"/>
      <c r="Q766" s="7"/>
      <c r="R766" s="7"/>
      <c r="S766" s="7"/>
      <c r="T766" s="7"/>
      <c r="U766" s="7"/>
      <c r="V766" s="7"/>
      <c r="W766" s="7"/>
    </row>
    <row r="767" spans="1:23" ht="15.75" customHeight="1" x14ac:dyDescent="0.35">
      <c r="A767" s="251">
        <f>A764+1</f>
        <v>104</v>
      </c>
      <c r="B767" s="251">
        <v>4058</v>
      </c>
      <c r="C767" s="252" t="s">
        <v>375</v>
      </c>
      <c r="D767" s="253">
        <v>8847.6</v>
      </c>
      <c r="E767" s="253" t="s">
        <v>75</v>
      </c>
      <c r="F767" s="255">
        <v>9</v>
      </c>
      <c r="G767" s="123"/>
      <c r="H767" s="159" t="s">
        <v>73</v>
      </c>
      <c r="I767" s="158">
        <f>I768+I769+I770+I771+I772+I773+I774+I775+I776+I777+I778+I779+I780+I781+I782</f>
        <v>8592843.0800000001</v>
      </c>
      <c r="J767" s="158">
        <f>J768+J769+J770+J771+J772+J773+J774+J775+J776+J777+J778+J779+J780+J781+J782</f>
        <v>971.21</v>
      </c>
      <c r="K767" s="158">
        <f>K768+K769+K770+K771+K772+K773+K774+K775+K776+K777+K778+K779+K780+K781+K782</f>
        <v>1000.26</v>
      </c>
      <c r="L767" s="7"/>
      <c r="M767" s="7"/>
      <c r="N767" s="7"/>
      <c r="O767" s="7"/>
      <c r="P767" s="7"/>
      <c r="Q767" s="7"/>
      <c r="R767" s="7"/>
      <c r="S767" s="7"/>
      <c r="T767" s="7"/>
      <c r="U767" s="7"/>
      <c r="V767" s="7"/>
      <c r="W767" s="7"/>
    </row>
    <row r="768" spans="1:23" ht="31" x14ac:dyDescent="0.35">
      <c r="A768" s="251"/>
      <c r="B768" s="251"/>
      <c r="C768" s="252"/>
      <c r="D768" s="253"/>
      <c r="E768" s="253"/>
      <c r="F768" s="255"/>
      <c r="G768" s="256" t="s">
        <v>673</v>
      </c>
      <c r="H768" s="159" t="s">
        <v>666</v>
      </c>
      <c r="I768" s="158">
        <v>0</v>
      </c>
      <c r="J768" s="158">
        <v>0</v>
      </c>
      <c r="K768" s="158">
        <f>24580/D767</f>
        <v>2.78</v>
      </c>
      <c r="L768" s="7"/>
      <c r="M768" s="7"/>
      <c r="N768" s="7"/>
      <c r="O768" s="7"/>
      <c r="P768" s="7"/>
      <c r="Q768" s="7"/>
      <c r="R768" s="7"/>
      <c r="S768" s="7"/>
      <c r="T768" s="7"/>
      <c r="U768" s="7"/>
      <c r="V768" s="7"/>
      <c r="W768" s="7"/>
    </row>
    <row r="769" spans="1:23" x14ac:dyDescent="0.35">
      <c r="A769" s="251">
        <v>756</v>
      </c>
      <c r="B769" s="251"/>
      <c r="C769" s="252"/>
      <c r="D769" s="253"/>
      <c r="E769" s="253"/>
      <c r="F769" s="255"/>
      <c r="G769" s="257"/>
      <c r="H769" s="159" t="s">
        <v>674</v>
      </c>
      <c r="I769" s="158">
        <v>1700265.87</v>
      </c>
      <c r="J769" s="158">
        <f>I769/D767</f>
        <v>192.17</v>
      </c>
      <c r="K769" s="158">
        <f>1708823/D767</f>
        <v>193.14</v>
      </c>
      <c r="L769" s="7"/>
      <c r="M769" s="7"/>
      <c r="N769" s="7"/>
      <c r="O769" s="7"/>
      <c r="P769" s="7"/>
      <c r="Q769" s="7"/>
      <c r="R769" s="7"/>
      <c r="S769" s="7"/>
      <c r="T769" s="7"/>
      <c r="U769" s="7"/>
      <c r="V769" s="7"/>
      <c r="W769" s="7"/>
    </row>
    <row r="770" spans="1:23" x14ac:dyDescent="0.35">
      <c r="A770" s="251">
        <v>757</v>
      </c>
      <c r="B770" s="251"/>
      <c r="C770" s="252"/>
      <c r="D770" s="253"/>
      <c r="E770" s="253"/>
      <c r="F770" s="255"/>
      <c r="G770" s="258"/>
      <c r="H770" s="159" t="s">
        <v>76</v>
      </c>
      <c r="I770" s="158">
        <v>36203.31</v>
      </c>
      <c r="J770" s="158">
        <f>I770/D767</f>
        <v>4.09</v>
      </c>
      <c r="K770" s="158">
        <f>36569/D767</f>
        <v>4.13</v>
      </c>
      <c r="L770" s="7"/>
      <c r="M770" s="7"/>
      <c r="N770" s="7"/>
      <c r="O770" s="7"/>
      <c r="P770" s="7"/>
      <c r="Q770" s="7"/>
      <c r="R770" s="7"/>
      <c r="S770" s="7"/>
      <c r="T770" s="7"/>
      <c r="U770" s="7"/>
      <c r="V770" s="7"/>
      <c r="W770" s="7"/>
    </row>
    <row r="771" spans="1:23" ht="31" x14ac:dyDescent="0.35">
      <c r="A771" s="251"/>
      <c r="B771" s="251"/>
      <c r="C771" s="252"/>
      <c r="D771" s="253"/>
      <c r="E771" s="253"/>
      <c r="F771" s="255"/>
      <c r="G771" s="256" t="s">
        <v>679</v>
      </c>
      <c r="H771" s="159" t="s">
        <v>666</v>
      </c>
      <c r="I771" s="158">
        <v>0</v>
      </c>
      <c r="J771" s="158">
        <v>0</v>
      </c>
      <c r="K771" s="158">
        <f>24580/D767</f>
        <v>2.78</v>
      </c>
      <c r="L771" s="7"/>
      <c r="M771" s="7"/>
      <c r="N771" s="7"/>
      <c r="O771" s="7"/>
      <c r="P771" s="7"/>
      <c r="Q771" s="7"/>
      <c r="R771" s="7"/>
      <c r="S771" s="7"/>
      <c r="T771" s="7"/>
      <c r="U771" s="7"/>
      <c r="V771" s="7"/>
      <c r="W771" s="7"/>
    </row>
    <row r="772" spans="1:23" x14ac:dyDescent="0.35">
      <c r="A772" s="251"/>
      <c r="B772" s="251"/>
      <c r="C772" s="252"/>
      <c r="D772" s="253"/>
      <c r="E772" s="253"/>
      <c r="F772" s="255"/>
      <c r="G772" s="257"/>
      <c r="H772" s="159" t="s">
        <v>674</v>
      </c>
      <c r="I772" s="158">
        <v>1700265.87</v>
      </c>
      <c r="J772" s="158">
        <f>I772/D767</f>
        <v>192.17</v>
      </c>
      <c r="K772" s="158">
        <f>1708823/D767</f>
        <v>193.14</v>
      </c>
      <c r="L772" s="7"/>
      <c r="M772" s="7"/>
      <c r="N772" s="7"/>
      <c r="O772" s="7"/>
      <c r="P772" s="7"/>
      <c r="Q772" s="7"/>
      <c r="R772" s="7"/>
      <c r="S772" s="7"/>
      <c r="T772" s="7"/>
      <c r="U772" s="7"/>
      <c r="V772" s="7"/>
      <c r="W772" s="7"/>
    </row>
    <row r="773" spans="1:23" x14ac:dyDescent="0.35">
      <c r="A773" s="251"/>
      <c r="B773" s="251"/>
      <c r="C773" s="252"/>
      <c r="D773" s="253"/>
      <c r="E773" s="253"/>
      <c r="F773" s="255"/>
      <c r="G773" s="258"/>
      <c r="H773" s="159" t="s">
        <v>76</v>
      </c>
      <c r="I773" s="158">
        <v>36203.31</v>
      </c>
      <c r="J773" s="158">
        <f>I773/D767</f>
        <v>4.09</v>
      </c>
      <c r="K773" s="158">
        <f>36569/D767</f>
        <v>4.13</v>
      </c>
      <c r="L773" s="7"/>
      <c r="M773" s="7"/>
      <c r="N773" s="7"/>
      <c r="O773" s="7"/>
      <c r="P773" s="7"/>
      <c r="Q773" s="7"/>
      <c r="R773" s="7"/>
      <c r="S773" s="7"/>
      <c r="T773" s="7"/>
      <c r="U773" s="7"/>
      <c r="V773" s="7"/>
      <c r="W773" s="7"/>
    </row>
    <row r="774" spans="1:23" ht="31" x14ac:dyDescent="0.35">
      <c r="A774" s="251"/>
      <c r="B774" s="251"/>
      <c r="C774" s="252"/>
      <c r="D774" s="253"/>
      <c r="E774" s="253"/>
      <c r="F774" s="255"/>
      <c r="G774" s="256" t="s">
        <v>680</v>
      </c>
      <c r="H774" s="159" t="s">
        <v>666</v>
      </c>
      <c r="I774" s="158">
        <v>0</v>
      </c>
      <c r="J774" s="158">
        <v>0</v>
      </c>
      <c r="K774" s="158">
        <f>24580/D767</f>
        <v>2.78</v>
      </c>
      <c r="L774" s="7"/>
      <c r="M774" s="7"/>
      <c r="N774" s="7"/>
      <c r="O774" s="7"/>
      <c r="P774" s="7"/>
      <c r="Q774" s="7"/>
      <c r="R774" s="7"/>
      <c r="S774" s="7"/>
      <c r="T774" s="7"/>
      <c r="U774" s="7"/>
      <c r="V774" s="7"/>
      <c r="W774" s="7"/>
    </row>
    <row r="775" spans="1:23" x14ac:dyDescent="0.35">
      <c r="A775" s="251"/>
      <c r="B775" s="251"/>
      <c r="C775" s="252"/>
      <c r="D775" s="253"/>
      <c r="E775" s="253"/>
      <c r="F775" s="255"/>
      <c r="G775" s="257"/>
      <c r="H775" s="159" t="s">
        <v>674</v>
      </c>
      <c r="I775" s="158">
        <v>1700265.87</v>
      </c>
      <c r="J775" s="158">
        <f>I775/D767+0.01</f>
        <v>192.18</v>
      </c>
      <c r="K775" s="158">
        <f>1708823/D767+0.01</f>
        <v>193.15</v>
      </c>
      <c r="L775" s="7"/>
      <c r="M775" s="7"/>
      <c r="N775" s="7"/>
      <c r="O775" s="7"/>
      <c r="P775" s="7"/>
      <c r="Q775" s="7"/>
      <c r="R775" s="7"/>
      <c r="S775" s="7"/>
      <c r="T775" s="7"/>
      <c r="U775" s="7"/>
      <c r="V775" s="7"/>
      <c r="W775" s="7"/>
    </row>
    <row r="776" spans="1:23" x14ac:dyDescent="0.35">
      <c r="A776" s="251"/>
      <c r="B776" s="251"/>
      <c r="C776" s="252"/>
      <c r="D776" s="253"/>
      <c r="E776" s="253"/>
      <c r="F776" s="255"/>
      <c r="G776" s="258"/>
      <c r="H776" s="159" t="s">
        <v>76</v>
      </c>
      <c r="I776" s="158">
        <v>36203.31</v>
      </c>
      <c r="J776" s="158">
        <f>I776/D767</f>
        <v>4.09</v>
      </c>
      <c r="K776" s="158">
        <f>36569/D767</f>
        <v>4.13</v>
      </c>
      <c r="L776" s="7"/>
      <c r="M776" s="7"/>
      <c r="N776" s="7"/>
      <c r="O776" s="7"/>
      <c r="P776" s="7"/>
      <c r="Q776" s="7"/>
      <c r="R776" s="7"/>
      <c r="S776" s="7"/>
      <c r="T776" s="7"/>
      <c r="U776" s="7"/>
      <c r="V776" s="7"/>
      <c r="W776" s="7"/>
    </row>
    <row r="777" spans="1:23" ht="31" x14ac:dyDescent="0.35">
      <c r="A777" s="251"/>
      <c r="B777" s="251"/>
      <c r="C777" s="252"/>
      <c r="D777" s="253"/>
      <c r="E777" s="253"/>
      <c r="F777" s="255"/>
      <c r="G777" s="256" t="s">
        <v>681</v>
      </c>
      <c r="H777" s="159" t="s">
        <v>666</v>
      </c>
      <c r="I777" s="158">
        <v>0</v>
      </c>
      <c r="J777" s="158">
        <v>0</v>
      </c>
      <c r="K777" s="158">
        <f>24580/D767</f>
        <v>2.78</v>
      </c>
      <c r="L777" s="7"/>
      <c r="M777" s="7"/>
      <c r="N777" s="7"/>
      <c r="O777" s="7"/>
      <c r="P777" s="7"/>
      <c r="Q777" s="7"/>
      <c r="R777" s="7"/>
      <c r="S777" s="7"/>
      <c r="T777" s="7"/>
      <c r="U777" s="7"/>
      <c r="V777" s="7"/>
      <c r="W777" s="7"/>
    </row>
    <row r="778" spans="1:23" x14ac:dyDescent="0.35">
      <c r="A778" s="251"/>
      <c r="B778" s="251"/>
      <c r="C778" s="252"/>
      <c r="D778" s="253"/>
      <c r="E778" s="253"/>
      <c r="F778" s="255"/>
      <c r="G778" s="257"/>
      <c r="H778" s="159" t="s">
        <v>674</v>
      </c>
      <c r="I778" s="158">
        <v>1656273.52</v>
      </c>
      <c r="J778" s="158">
        <f>I778/D767</f>
        <v>187.2</v>
      </c>
      <c r="K778" s="158">
        <f>1708823/D767</f>
        <v>193.14</v>
      </c>
      <c r="L778" s="7"/>
      <c r="M778" s="7"/>
      <c r="N778" s="7"/>
      <c r="O778" s="7"/>
      <c r="P778" s="7"/>
      <c r="Q778" s="7"/>
      <c r="R778" s="7"/>
      <c r="S778" s="7"/>
      <c r="T778" s="7"/>
      <c r="U778" s="7"/>
      <c r="V778" s="7"/>
      <c r="W778" s="7"/>
    </row>
    <row r="779" spans="1:23" x14ac:dyDescent="0.35">
      <c r="A779" s="251"/>
      <c r="B779" s="251"/>
      <c r="C779" s="252"/>
      <c r="D779" s="253"/>
      <c r="E779" s="253"/>
      <c r="F779" s="255"/>
      <c r="G779" s="258"/>
      <c r="H779" s="159" t="s">
        <v>76</v>
      </c>
      <c r="I779" s="158">
        <f>I778*0.0214</f>
        <v>35444.25</v>
      </c>
      <c r="J779" s="158">
        <f>I779/D767</f>
        <v>4.01</v>
      </c>
      <c r="K779" s="158">
        <f>36569/D767</f>
        <v>4.13</v>
      </c>
      <c r="L779" s="7"/>
      <c r="M779" s="7"/>
      <c r="N779" s="7"/>
      <c r="O779" s="7"/>
      <c r="P779" s="7"/>
      <c r="Q779" s="7"/>
      <c r="R779" s="7"/>
      <c r="S779" s="7"/>
      <c r="T779" s="7"/>
      <c r="U779" s="7"/>
      <c r="V779" s="7"/>
      <c r="W779" s="7"/>
    </row>
    <row r="780" spans="1:23" ht="31" x14ac:dyDescent="0.35">
      <c r="A780" s="251"/>
      <c r="B780" s="251"/>
      <c r="C780" s="252"/>
      <c r="D780" s="253"/>
      <c r="E780" s="253"/>
      <c r="F780" s="255"/>
      <c r="G780" s="256" t="s">
        <v>678</v>
      </c>
      <c r="H780" s="159" t="s">
        <v>666</v>
      </c>
      <c r="I780" s="158">
        <v>0</v>
      </c>
      <c r="J780" s="158">
        <v>0</v>
      </c>
      <c r="K780" s="158">
        <f>24580/D767</f>
        <v>2.78</v>
      </c>
      <c r="L780" s="7"/>
      <c r="M780" s="7"/>
      <c r="N780" s="7"/>
      <c r="O780" s="7"/>
      <c r="P780" s="7"/>
      <c r="Q780" s="7"/>
      <c r="R780" s="7"/>
      <c r="S780" s="7"/>
      <c r="T780" s="7"/>
      <c r="U780" s="7"/>
      <c r="V780" s="7"/>
      <c r="W780" s="7"/>
    </row>
    <row r="781" spans="1:23" x14ac:dyDescent="0.35">
      <c r="A781" s="251"/>
      <c r="B781" s="251"/>
      <c r="C781" s="252"/>
      <c r="D781" s="253"/>
      <c r="E781" s="253"/>
      <c r="F781" s="255"/>
      <c r="G781" s="257"/>
      <c r="H781" s="159" t="s">
        <v>674</v>
      </c>
      <c r="I781" s="158">
        <v>1656273.52</v>
      </c>
      <c r="J781" s="158">
        <f>I781/D767</f>
        <v>187.2</v>
      </c>
      <c r="K781" s="158">
        <f>1708823/D767</f>
        <v>193.14</v>
      </c>
      <c r="L781" s="7"/>
      <c r="M781" s="7"/>
      <c r="N781" s="7"/>
      <c r="O781" s="7"/>
      <c r="P781" s="7"/>
      <c r="Q781" s="7"/>
      <c r="R781" s="7"/>
      <c r="S781" s="7"/>
      <c r="T781" s="7"/>
      <c r="U781" s="7"/>
      <c r="V781" s="7"/>
      <c r="W781" s="7"/>
    </row>
    <row r="782" spans="1:23" x14ac:dyDescent="0.35">
      <c r="A782" s="251"/>
      <c r="B782" s="251"/>
      <c r="C782" s="252"/>
      <c r="D782" s="253"/>
      <c r="E782" s="253"/>
      <c r="F782" s="255"/>
      <c r="G782" s="258"/>
      <c r="H782" s="159" t="s">
        <v>76</v>
      </c>
      <c r="I782" s="158">
        <f>I781*0.0214</f>
        <v>35444.25</v>
      </c>
      <c r="J782" s="158">
        <f>I782/D767</f>
        <v>4.01</v>
      </c>
      <c r="K782" s="158">
        <f>36569/D767</f>
        <v>4.13</v>
      </c>
      <c r="L782" s="7"/>
      <c r="M782" s="7"/>
      <c r="N782" s="7"/>
      <c r="O782" s="7"/>
      <c r="P782" s="7"/>
      <c r="Q782" s="7"/>
      <c r="R782" s="7"/>
      <c r="S782" s="7"/>
      <c r="T782" s="7"/>
      <c r="U782" s="7"/>
      <c r="V782" s="7"/>
      <c r="W782" s="7"/>
    </row>
    <row r="783" spans="1:23" ht="15.75" customHeight="1" x14ac:dyDescent="0.35">
      <c r="A783" s="251">
        <f>A767+1</f>
        <v>105</v>
      </c>
      <c r="B783" s="251">
        <v>4059</v>
      </c>
      <c r="C783" s="252" t="s">
        <v>376</v>
      </c>
      <c r="D783" s="253">
        <v>17452.2</v>
      </c>
      <c r="E783" s="253" t="s">
        <v>71</v>
      </c>
      <c r="F783" s="255">
        <v>9</v>
      </c>
      <c r="G783" s="123"/>
      <c r="H783" s="159" t="s">
        <v>73</v>
      </c>
      <c r="I783" s="158">
        <f>I784+I785+I786+I787+I788+I789+I790+I791+I792+I793+I794+I795+I796+I797+I798+I799+I800+I801+I802+I803+I804+I805+I806+I807+I808+I809+I810</f>
        <v>13705848.02</v>
      </c>
      <c r="J783" s="158">
        <f>J784+J785+J786+J787+J788+J789+J790+J791+J792+J793+J794+J795+J796+J797+J798+J799+J800+J801+J802+J803+J804+J805+J806+J807+J808+J809+J810</f>
        <v>785.34</v>
      </c>
      <c r="K783" s="158">
        <f>K784+K785+K786+K787+K788+K789+K790+K791+K792+K793+K794+K795+K796+K797+K798+K799+K800+K801+K802+K803+K804+K805+K806+K807+K808+K809+K810</f>
        <v>912.76</v>
      </c>
      <c r="L783" s="7"/>
      <c r="M783" s="7"/>
      <c r="N783" s="7"/>
      <c r="O783" s="7"/>
      <c r="P783" s="7"/>
      <c r="Q783" s="7"/>
      <c r="R783" s="7"/>
      <c r="S783" s="7"/>
      <c r="T783" s="7"/>
      <c r="U783" s="7"/>
      <c r="V783" s="7"/>
      <c r="W783" s="7"/>
    </row>
    <row r="784" spans="1:23" ht="31" x14ac:dyDescent="0.35">
      <c r="A784" s="251"/>
      <c r="B784" s="251"/>
      <c r="C784" s="252"/>
      <c r="D784" s="253"/>
      <c r="E784" s="253"/>
      <c r="F784" s="255"/>
      <c r="G784" s="256" t="s">
        <v>673</v>
      </c>
      <c r="H784" s="159" t="s">
        <v>666</v>
      </c>
      <c r="I784" s="158">
        <v>0</v>
      </c>
      <c r="J784" s="158">
        <v>0</v>
      </c>
      <c r="K784" s="158">
        <f>24580/D783</f>
        <v>1.41</v>
      </c>
      <c r="L784" s="7"/>
      <c r="M784" s="7"/>
      <c r="N784" s="7"/>
      <c r="O784" s="7"/>
      <c r="P784" s="7"/>
      <c r="Q784" s="7"/>
      <c r="R784" s="7"/>
      <c r="S784" s="7"/>
      <c r="T784" s="7"/>
      <c r="U784" s="7"/>
      <c r="V784" s="7"/>
      <c r="W784" s="7"/>
    </row>
    <row r="785" spans="1:23" x14ac:dyDescent="0.35">
      <c r="A785" s="251">
        <v>756</v>
      </c>
      <c r="B785" s="251"/>
      <c r="C785" s="252"/>
      <c r="D785" s="253"/>
      <c r="E785" s="253"/>
      <c r="F785" s="255"/>
      <c r="G785" s="257"/>
      <c r="H785" s="159" t="s">
        <v>674</v>
      </c>
      <c r="I785" s="158">
        <v>1490306.18</v>
      </c>
      <c r="J785" s="158">
        <f>I785/D783</f>
        <v>85.39</v>
      </c>
      <c r="K785" s="158">
        <f>1708823/D783-0.01</f>
        <v>97.9</v>
      </c>
      <c r="L785" s="7"/>
      <c r="M785" s="7"/>
      <c r="N785" s="7"/>
      <c r="O785" s="7"/>
      <c r="P785" s="7"/>
      <c r="Q785" s="7"/>
      <c r="R785" s="7"/>
      <c r="S785" s="7"/>
      <c r="T785" s="7"/>
      <c r="U785" s="7"/>
      <c r="V785" s="7"/>
      <c r="W785" s="7"/>
    </row>
    <row r="786" spans="1:23" x14ac:dyDescent="0.35">
      <c r="A786" s="251">
        <v>757</v>
      </c>
      <c r="B786" s="251"/>
      <c r="C786" s="252"/>
      <c r="D786" s="253"/>
      <c r="E786" s="253"/>
      <c r="F786" s="255"/>
      <c r="G786" s="258"/>
      <c r="H786" s="159" t="s">
        <v>76</v>
      </c>
      <c r="I786" s="158">
        <v>31892.560000000001</v>
      </c>
      <c r="J786" s="158">
        <f>I786/D783</f>
        <v>1.83</v>
      </c>
      <c r="K786" s="158">
        <f>36569/D783</f>
        <v>2.1</v>
      </c>
      <c r="L786" s="7"/>
      <c r="M786" s="7"/>
      <c r="N786" s="7"/>
      <c r="O786" s="7"/>
      <c r="P786" s="7"/>
      <c r="Q786" s="7"/>
      <c r="R786" s="7"/>
      <c r="S786" s="7"/>
      <c r="T786" s="7"/>
      <c r="U786" s="7"/>
      <c r="V786" s="7"/>
      <c r="W786" s="7"/>
    </row>
    <row r="787" spans="1:23" ht="31" x14ac:dyDescent="0.35">
      <c r="A787" s="251"/>
      <c r="B787" s="251"/>
      <c r="C787" s="252"/>
      <c r="D787" s="253"/>
      <c r="E787" s="253"/>
      <c r="F787" s="255"/>
      <c r="G787" s="256" t="s">
        <v>679</v>
      </c>
      <c r="H787" s="159" t="s">
        <v>666</v>
      </c>
      <c r="I787" s="158">
        <v>0</v>
      </c>
      <c r="J787" s="158">
        <v>0</v>
      </c>
      <c r="K787" s="158">
        <f>24580/D783</f>
        <v>1.41</v>
      </c>
      <c r="L787" s="7"/>
      <c r="M787" s="7"/>
      <c r="N787" s="7"/>
      <c r="O787" s="7"/>
      <c r="P787" s="7"/>
      <c r="Q787" s="7"/>
      <c r="R787" s="7"/>
      <c r="S787" s="7"/>
      <c r="T787" s="7"/>
      <c r="U787" s="7"/>
      <c r="V787" s="7"/>
      <c r="W787" s="7"/>
    </row>
    <row r="788" spans="1:23" x14ac:dyDescent="0.35">
      <c r="A788" s="251"/>
      <c r="B788" s="251"/>
      <c r="C788" s="252"/>
      <c r="D788" s="253"/>
      <c r="E788" s="253"/>
      <c r="F788" s="255"/>
      <c r="G788" s="257"/>
      <c r="H788" s="159" t="s">
        <v>674</v>
      </c>
      <c r="I788" s="158">
        <v>1490306.18</v>
      </c>
      <c r="J788" s="158">
        <f>I788/D783</f>
        <v>85.39</v>
      </c>
      <c r="K788" s="158">
        <f>1708823/D783-0.01</f>
        <v>97.9</v>
      </c>
      <c r="L788" s="7"/>
      <c r="M788" s="7"/>
      <c r="N788" s="7"/>
      <c r="O788" s="7"/>
      <c r="P788" s="7"/>
      <c r="Q788" s="7"/>
      <c r="R788" s="7"/>
      <c r="S788" s="7"/>
      <c r="T788" s="7"/>
      <c r="U788" s="7"/>
      <c r="V788" s="7"/>
      <c r="W788" s="7"/>
    </row>
    <row r="789" spans="1:23" x14ac:dyDescent="0.35">
      <c r="A789" s="251"/>
      <c r="B789" s="251"/>
      <c r="C789" s="252"/>
      <c r="D789" s="253"/>
      <c r="E789" s="253"/>
      <c r="F789" s="255"/>
      <c r="G789" s="258"/>
      <c r="H789" s="159" t="s">
        <v>76</v>
      </c>
      <c r="I789" s="158">
        <v>31892.55</v>
      </c>
      <c r="J789" s="158">
        <f>I789/D783</f>
        <v>1.83</v>
      </c>
      <c r="K789" s="158">
        <f>36569/D783</f>
        <v>2.1</v>
      </c>
      <c r="L789" s="7"/>
      <c r="M789" s="7"/>
      <c r="N789" s="7"/>
      <c r="O789" s="7"/>
      <c r="P789" s="7"/>
      <c r="Q789" s="7"/>
      <c r="R789" s="7"/>
      <c r="S789" s="7"/>
      <c r="T789" s="7"/>
      <c r="U789" s="7"/>
      <c r="V789" s="7"/>
      <c r="W789" s="7"/>
    </row>
    <row r="790" spans="1:23" ht="31" x14ac:dyDescent="0.35">
      <c r="A790" s="251"/>
      <c r="B790" s="251"/>
      <c r="C790" s="252"/>
      <c r="D790" s="253"/>
      <c r="E790" s="253"/>
      <c r="F790" s="255"/>
      <c r="G790" s="256" t="s">
        <v>680</v>
      </c>
      <c r="H790" s="159" t="s">
        <v>666</v>
      </c>
      <c r="I790" s="158">
        <v>0</v>
      </c>
      <c r="J790" s="158">
        <v>0</v>
      </c>
      <c r="K790" s="158">
        <f>24580/D783</f>
        <v>1.41</v>
      </c>
      <c r="L790" s="7"/>
      <c r="M790" s="7"/>
      <c r="N790" s="7"/>
      <c r="O790" s="7"/>
      <c r="P790" s="7"/>
      <c r="Q790" s="7"/>
      <c r="R790" s="7"/>
      <c r="S790" s="7"/>
      <c r="T790" s="7"/>
      <c r="U790" s="7"/>
      <c r="V790" s="7"/>
      <c r="W790" s="7"/>
    </row>
    <row r="791" spans="1:23" x14ac:dyDescent="0.35">
      <c r="A791" s="251"/>
      <c r="B791" s="251"/>
      <c r="C791" s="252"/>
      <c r="D791" s="253"/>
      <c r="E791" s="253"/>
      <c r="F791" s="255"/>
      <c r="G791" s="257"/>
      <c r="H791" s="159" t="s">
        <v>674</v>
      </c>
      <c r="I791" s="158">
        <v>1496238.65</v>
      </c>
      <c r="J791" s="158">
        <f>I791/D783</f>
        <v>85.73</v>
      </c>
      <c r="K791" s="158">
        <f>1708823/D783</f>
        <v>97.91</v>
      </c>
      <c r="L791" s="7"/>
      <c r="M791" s="7"/>
      <c r="N791" s="7"/>
      <c r="O791" s="7"/>
      <c r="P791" s="7"/>
      <c r="Q791" s="7"/>
      <c r="R791" s="7"/>
      <c r="S791" s="7"/>
      <c r="T791" s="7"/>
      <c r="U791" s="7"/>
      <c r="V791" s="7"/>
      <c r="W791" s="7"/>
    </row>
    <row r="792" spans="1:23" x14ac:dyDescent="0.35">
      <c r="A792" s="251"/>
      <c r="B792" s="251"/>
      <c r="C792" s="252"/>
      <c r="D792" s="253"/>
      <c r="E792" s="253"/>
      <c r="F792" s="255"/>
      <c r="G792" s="258"/>
      <c r="H792" s="159" t="s">
        <v>76</v>
      </c>
      <c r="I792" s="158">
        <v>32019.51</v>
      </c>
      <c r="J792" s="158">
        <f>I792/D783</f>
        <v>1.83</v>
      </c>
      <c r="K792" s="158">
        <f>36569/D783</f>
        <v>2.1</v>
      </c>
      <c r="L792" s="7"/>
      <c r="M792" s="7"/>
      <c r="N792" s="7"/>
      <c r="O792" s="7"/>
      <c r="P792" s="7"/>
      <c r="Q792" s="7"/>
      <c r="R792" s="7"/>
      <c r="S792" s="7"/>
      <c r="T792" s="7"/>
      <c r="U792" s="7"/>
      <c r="V792" s="7"/>
      <c r="W792" s="7"/>
    </row>
    <row r="793" spans="1:23" ht="31" x14ac:dyDescent="0.35">
      <c r="A793" s="251"/>
      <c r="B793" s="251"/>
      <c r="C793" s="252"/>
      <c r="D793" s="253"/>
      <c r="E793" s="253"/>
      <c r="F793" s="255"/>
      <c r="G793" s="256" t="s">
        <v>681</v>
      </c>
      <c r="H793" s="159" t="s">
        <v>666</v>
      </c>
      <c r="I793" s="158">
        <v>0</v>
      </c>
      <c r="J793" s="158">
        <v>0</v>
      </c>
      <c r="K793" s="158">
        <f>24580/D783</f>
        <v>1.41</v>
      </c>
      <c r="L793" s="7"/>
      <c r="M793" s="7"/>
      <c r="N793" s="7"/>
      <c r="O793" s="7"/>
      <c r="P793" s="7"/>
      <c r="Q793" s="7"/>
      <c r="R793" s="7"/>
      <c r="S793" s="7"/>
      <c r="T793" s="7"/>
      <c r="U793" s="7"/>
      <c r="V793" s="7"/>
      <c r="W793" s="7"/>
    </row>
    <row r="794" spans="1:23" x14ac:dyDescent="0.35">
      <c r="A794" s="251"/>
      <c r="B794" s="251"/>
      <c r="C794" s="252"/>
      <c r="D794" s="253"/>
      <c r="E794" s="253"/>
      <c r="F794" s="255"/>
      <c r="G794" s="257"/>
      <c r="H794" s="159" t="s">
        <v>674</v>
      </c>
      <c r="I794" s="158">
        <v>1490306.18</v>
      </c>
      <c r="J794" s="158">
        <f>I794/D783</f>
        <v>85.39</v>
      </c>
      <c r="K794" s="158">
        <f>1708823/D783</f>
        <v>97.91</v>
      </c>
      <c r="L794" s="7"/>
      <c r="M794" s="7"/>
      <c r="N794" s="7"/>
      <c r="O794" s="7"/>
      <c r="P794" s="7"/>
      <c r="Q794" s="7"/>
      <c r="R794" s="7"/>
      <c r="S794" s="7"/>
      <c r="T794" s="7"/>
      <c r="U794" s="7"/>
      <c r="V794" s="7"/>
      <c r="W794" s="7"/>
    </row>
    <row r="795" spans="1:23" x14ac:dyDescent="0.35">
      <c r="A795" s="251"/>
      <c r="B795" s="251"/>
      <c r="C795" s="252"/>
      <c r="D795" s="253"/>
      <c r="E795" s="253"/>
      <c r="F795" s="255"/>
      <c r="G795" s="258"/>
      <c r="H795" s="159" t="s">
        <v>76</v>
      </c>
      <c r="I795" s="158">
        <v>31892.560000000001</v>
      </c>
      <c r="J795" s="158">
        <f>I795/D783</f>
        <v>1.83</v>
      </c>
      <c r="K795" s="158">
        <f>36569/D783</f>
        <v>2.1</v>
      </c>
      <c r="L795" s="7"/>
      <c r="M795" s="7"/>
      <c r="N795" s="7"/>
      <c r="O795" s="7"/>
      <c r="P795" s="7"/>
      <c r="Q795" s="7"/>
      <c r="R795" s="7"/>
      <c r="S795" s="7"/>
      <c r="T795" s="7"/>
      <c r="U795" s="7"/>
      <c r="V795" s="7"/>
      <c r="W795" s="7"/>
    </row>
    <row r="796" spans="1:23" ht="31" x14ac:dyDescent="0.35">
      <c r="A796" s="251"/>
      <c r="B796" s="251"/>
      <c r="C796" s="252"/>
      <c r="D796" s="253"/>
      <c r="E796" s="253"/>
      <c r="F796" s="255"/>
      <c r="G796" s="256" t="s">
        <v>678</v>
      </c>
      <c r="H796" s="159" t="s">
        <v>666</v>
      </c>
      <c r="I796" s="158">
        <v>0</v>
      </c>
      <c r="J796" s="158">
        <v>0</v>
      </c>
      <c r="K796" s="158">
        <f>24580/D783</f>
        <v>1.41</v>
      </c>
      <c r="L796" s="7"/>
      <c r="M796" s="7"/>
      <c r="N796" s="7"/>
      <c r="O796" s="7"/>
      <c r="P796" s="7"/>
      <c r="Q796" s="7"/>
      <c r="R796" s="7"/>
      <c r="S796" s="7"/>
      <c r="T796" s="7"/>
      <c r="U796" s="7"/>
      <c r="V796" s="7"/>
      <c r="W796" s="7"/>
    </row>
    <row r="797" spans="1:23" x14ac:dyDescent="0.35">
      <c r="A797" s="251"/>
      <c r="B797" s="251"/>
      <c r="C797" s="252"/>
      <c r="D797" s="253"/>
      <c r="E797" s="253"/>
      <c r="F797" s="255"/>
      <c r="G797" s="257"/>
      <c r="H797" s="159" t="s">
        <v>674</v>
      </c>
      <c r="I797" s="158">
        <v>1490306.18</v>
      </c>
      <c r="J797" s="158">
        <f>I797/D783</f>
        <v>85.39</v>
      </c>
      <c r="K797" s="158">
        <f>1708823/D783</f>
        <v>97.91</v>
      </c>
      <c r="L797" s="7"/>
      <c r="M797" s="7"/>
      <c r="N797" s="7"/>
      <c r="O797" s="7"/>
      <c r="P797" s="7"/>
      <c r="Q797" s="7"/>
      <c r="R797" s="7"/>
      <c r="S797" s="7"/>
      <c r="T797" s="7"/>
      <c r="U797" s="7"/>
      <c r="V797" s="7"/>
      <c r="W797" s="7"/>
    </row>
    <row r="798" spans="1:23" x14ac:dyDescent="0.35">
      <c r="A798" s="251"/>
      <c r="B798" s="251"/>
      <c r="C798" s="252"/>
      <c r="D798" s="253"/>
      <c r="E798" s="253"/>
      <c r="F798" s="255"/>
      <c r="G798" s="258"/>
      <c r="H798" s="159" t="s">
        <v>76</v>
      </c>
      <c r="I798" s="158">
        <v>31892.55</v>
      </c>
      <c r="J798" s="158">
        <f>I798/D783</f>
        <v>1.83</v>
      </c>
      <c r="K798" s="158">
        <f>36569/D783</f>
        <v>2.1</v>
      </c>
      <c r="L798" s="7"/>
      <c r="M798" s="7"/>
      <c r="N798" s="7"/>
      <c r="O798" s="7"/>
      <c r="P798" s="7"/>
      <c r="Q798" s="7"/>
      <c r="R798" s="7"/>
      <c r="S798" s="7"/>
      <c r="T798" s="7"/>
      <c r="U798" s="7"/>
      <c r="V798" s="7"/>
      <c r="W798" s="7"/>
    </row>
    <row r="799" spans="1:23" ht="31" x14ac:dyDescent="0.35">
      <c r="A799" s="251"/>
      <c r="B799" s="251"/>
      <c r="C799" s="252"/>
      <c r="D799" s="253"/>
      <c r="E799" s="253"/>
      <c r="F799" s="255"/>
      <c r="G799" s="256" t="s">
        <v>682</v>
      </c>
      <c r="H799" s="159" t="s">
        <v>666</v>
      </c>
      <c r="I799" s="158">
        <v>0</v>
      </c>
      <c r="J799" s="158">
        <v>0</v>
      </c>
      <c r="K799" s="158">
        <f>24580/D783</f>
        <v>1.41</v>
      </c>
      <c r="L799" s="7"/>
      <c r="M799" s="7"/>
      <c r="N799" s="7"/>
      <c r="O799" s="7"/>
      <c r="P799" s="7"/>
      <c r="Q799" s="7"/>
      <c r="R799" s="7"/>
      <c r="S799" s="7"/>
      <c r="T799" s="7"/>
      <c r="U799" s="7"/>
      <c r="V799" s="7"/>
      <c r="W799" s="7"/>
    </row>
    <row r="800" spans="1:23" x14ac:dyDescent="0.35">
      <c r="A800" s="251"/>
      <c r="B800" s="251"/>
      <c r="C800" s="252"/>
      <c r="D800" s="253"/>
      <c r="E800" s="253"/>
      <c r="F800" s="255"/>
      <c r="G800" s="257"/>
      <c r="H800" s="159" t="s">
        <v>674</v>
      </c>
      <c r="I800" s="158">
        <v>1490306.18</v>
      </c>
      <c r="J800" s="158">
        <f>I800/D783</f>
        <v>85.39</v>
      </c>
      <c r="K800" s="158">
        <f>1708823/D783</f>
        <v>97.91</v>
      </c>
      <c r="L800" s="7"/>
      <c r="M800" s="7"/>
      <c r="N800" s="7"/>
      <c r="O800" s="7"/>
      <c r="P800" s="7"/>
      <c r="Q800" s="7"/>
      <c r="R800" s="7"/>
      <c r="S800" s="7"/>
      <c r="T800" s="7"/>
      <c r="U800" s="7"/>
      <c r="V800" s="7"/>
      <c r="W800" s="7"/>
    </row>
    <row r="801" spans="1:23" x14ac:dyDescent="0.35">
      <c r="A801" s="251"/>
      <c r="B801" s="251"/>
      <c r="C801" s="252"/>
      <c r="D801" s="253"/>
      <c r="E801" s="253"/>
      <c r="F801" s="255"/>
      <c r="G801" s="258"/>
      <c r="H801" s="159" t="s">
        <v>76</v>
      </c>
      <c r="I801" s="158">
        <v>31892.55</v>
      </c>
      <c r="J801" s="158">
        <f>I801/D783</f>
        <v>1.83</v>
      </c>
      <c r="K801" s="158">
        <f>36569/D783</f>
        <v>2.1</v>
      </c>
      <c r="L801" s="7"/>
      <c r="M801" s="7"/>
      <c r="N801" s="7"/>
      <c r="O801" s="7"/>
      <c r="P801" s="7"/>
      <c r="Q801" s="7"/>
      <c r="R801" s="7"/>
      <c r="S801" s="7"/>
      <c r="T801" s="7"/>
      <c r="U801" s="7"/>
      <c r="V801" s="7"/>
      <c r="W801" s="7"/>
    </row>
    <row r="802" spans="1:23" ht="31" x14ac:dyDescent="0.35">
      <c r="A802" s="251"/>
      <c r="B802" s="251"/>
      <c r="C802" s="252"/>
      <c r="D802" s="253"/>
      <c r="E802" s="253"/>
      <c r="F802" s="255"/>
      <c r="G802" s="256" t="s">
        <v>683</v>
      </c>
      <c r="H802" s="159" t="s">
        <v>666</v>
      </c>
      <c r="I802" s="158">
        <v>0</v>
      </c>
      <c r="J802" s="158">
        <v>0</v>
      </c>
      <c r="K802" s="158">
        <f>24580/D783</f>
        <v>1.41</v>
      </c>
      <c r="L802" s="7"/>
      <c r="M802" s="7"/>
      <c r="N802" s="7"/>
      <c r="O802" s="7"/>
      <c r="P802" s="7"/>
      <c r="Q802" s="7"/>
      <c r="R802" s="7"/>
      <c r="S802" s="7"/>
      <c r="T802" s="7"/>
      <c r="U802" s="7"/>
      <c r="V802" s="7"/>
      <c r="W802" s="7"/>
    </row>
    <row r="803" spans="1:23" x14ac:dyDescent="0.35">
      <c r="A803" s="251"/>
      <c r="B803" s="251"/>
      <c r="C803" s="252"/>
      <c r="D803" s="253"/>
      <c r="E803" s="253"/>
      <c r="F803" s="255"/>
      <c r="G803" s="257"/>
      <c r="H803" s="159" t="s">
        <v>674</v>
      </c>
      <c r="I803" s="158">
        <v>1490306.18</v>
      </c>
      <c r="J803" s="158">
        <f>I803/D783+0.01</f>
        <v>85.4</v>
      </c>
      <c r="K803" s="158">
        <f>1708823/D783</f>
        <v>97.91</v>
      </c>
      <c r="L803" s="7"/>
      <c r="M803" s="7"/>
      <c r="N803" s="7"/>
      <c r="O803" s="7"/>
      <c r="P803" s="7"/>
      <c r="Q803" s="7"/>
      <c r="R803" s="7"/>
      <c r="S803" s="7"/>
      <c r="T803" s="7"/>
      <c r="U803" s="7"/>
      <c r="V803" s="7"/>
      <c r="W803" s="7"/>
    </row>
    <row r="804" spans="1:23" x14ac:dyDescent="0.35">
      <c r="A804" s="251"/>
      <c r="B804" s="251"/>
      <c r="C804" s="252"/>
      <c r="D804" s="253"/>
      <c r="E804" s="253"/>
      <c r="F804" s="255"/>
      <c r="G804" s="258"/>
      <c r="H804" s="159" t="s">
        <v>76</v>
      </c>
      <c r="I804" s="158">
        <v>31892.55</v>
      </c>
      <c r="J804" s="158">
        <f>I804/D783</f>
        <v>1.83</v>
      </c>
      <c r="K804" s="158">
        <f>36569/D783</f>
        <v>2.1</v>
      </c>
      <c r="L804" s="7"/>
      <c r="M804" s="7"/>
      <c r="N804" s="7"/>
      <c r="O804" s="7"/>
      <c r="P804" s="7"/>
      <c r="Q804" s="7"/>
      <c r="R804" s="7"/>
      <c r="S804" s="7"/>
      <c r="T804" s="7"/>
      <c r="U804" s="7"/>
      <c r="V804" s="7"/>
      <c r="W804" s="7"/>
    </row>
    <row r="805" spans="1:23" ht="31" x14ac:dyDescent="0.35">
      <c r="A805" s="251"/>
      <c r="B805" s="251"/>
      <c r="C805" s="252"/>
      <c r="D805" s="253"/>
      <c r="E805" s="253"/>
      <c r="F805" s="255"/>
      <c r="G805" s="256" t="s">
        <v>684</v>
      </c>
      <c r="H805" s="159" t="s">
        <v>666</v>
      </c>
      <c r="I805" s="158">
        <v>0</v>
      </c>
      <c r="J805" s="158">
        <v>0</v>
      </c>
      <c r="K805" s="158">
        <f>24580/D783</f>
        <v>1.41</v>
      </c>
      <c r="L805" s="7"/>
      <c r="M805" s="7"/>
      <c r="N805" s="7"/>
      <c r="O805" s="7"/>
      <c r="P805" s="7"/>
      <c r="Q805" s="7"/>
      <c r="R805" s="7"/>
      <c r="S805" s="7"/>
      <c r="T805" s="7"/>
      <c r="U805" s="7"/>
      <c r="V805" s="7"/>
      <c r="W805" s="7"/>
    </row>
    <row r="806" spans="1:23" x14ac:dyDescent="0.35">
      <c r="A806" s="251"/>
      <c r="B806" s="251"/>
      <c r="C806" s="252"/>
      <c r="D806" s="253"/>
      <c r="E806" s="253"/>
      <c r="F806" s="255"/>
      <c r="G806" s="257"/>
      <c r="H806" s="159" t="s">
        <v>674</v>
      </c>
      <c r="I806" s="158">
        <v>1490306.18</v>
      </c>
      <c r="J806" s="158">
        <f>I806/D783+0.01</f>
        <v>85.4</v>
      </c>
      <c r="K806" s="158">
        <f>1708823/D783</f>
        <v>97.91</v>
      </c>
      <c r="L806" s="7"/>
      <c r="M806" s="7"/>
      <c r="N806" s="7"/>
      <c r="O806" s="7"/>
      <c r="P806" s="7"/>
      <c r="Q806" s="7"/>
      <c r="R806" s="7"/>
      <c r="S806" s="7"/>
      <c r="T806" s="7"/>
      <c r="U806" s="7"/>
      <c r="V806" s="7"/>
      <c r="W806" s="7"/>
    </row>
    <row r="807" spans="1:23" x14ac:dyDescent="0.35">
      <c r="A807" s="251"/>
      <c r="B807" s="251"/>
      <c r="C807" s="252"/>
      <c r="D807" s="253"/>
      <c r="E807" s="253"/>
      <c r="F807" s="255"/>
      <c r="G807" s="258"/>
      <c r="H807" s="159" t="s">
        <v>76</v>
      </c>
      <c r="I807" s="158">
        <v>31892.55</v>
      </c>
      <c r="J807" s="158">
        <f>I807/D783</f>
        <v>1.83</v>
      </c>
      <c r="K807" s="158">
        <f>36569/D783</f>
        <v>2.1</v>
      </c>
      <c r="L807" s="7"/>
      <c r="M807" s="7"/>
      <c r="N807" s="7"/>
      <c r="O807" s="7"/>
      <c r="P807" s="7"/>
      <c r="Q807" s="7"/>
      <c r="R807" s="7"/>
      <c r="S807" s="7"/>
      <c r="T807" s="7"/>
      <c r="U807" s="7"/>
      <c r="V807" s="7"/>
      <c r="W807" s="7"/>
    </row>
    <row r="808" spans="1:23" ht="31" x14ac:dyDescent="0.35">
      <c r="A808" s="251"/>
      <c r="B808" s="251"/>
      <c r="C808" s="252"/>
      <c r="D808" s="253"/>
      <c r="E808" s="253"/>
      <c r="F808" s="255"/>
      <c r="G808" s="256" t="s">
        <v>685</v>
      </c>
      <c r="H808" s="159" t="s">
        <v>666</v>
      </c>
      <c r="I808" s="158">
        <v>0</v>
      </c>
      <c r="J808" s="158">
        <v>0</v>
      </c>
      <c r="K808" s="158">
        <f>24580/D783</f>
        <v>1.41</v>
      </c>
      <c r="L808" s="7"/>
      <c r="M808" s="7"/>
      <c r="N808" s="7"/>
      <c r="O808" s="7"/>
      <c r="P808" s="7"/>
      <c r="Q808" s="7"/>
      <c r="R808" s="7"/>
      <c r="S808" s="7"/>
      <c r="T808" s="7"/>
      <c r="U808" s="7"/>
      <c r="V808" s="7"/>
      <c r="W808" s="7"/>
    </row>
    <row r="809" spans="1:23" x14ac:dyDescent="0.35">
      <c r="A809" s="251"/>
      <c r="B809" s="251"/>
      <c r="C809" s="252"/>
      <c r="D809" s="253"/>
      <c r="E809" s="253"/>
      <c r="F809" s="255"/>
      <c r="G809" s="257"/>
      <c r="H809" s="159" t="s">
        <v>674</v>
      </c>
      <c r="I809" s="158">
        <v>1490306.18</v>
      </c>
      <c r="J809" s="158">
        <f>I809/D783</f>
        <v>85.39</v>
      </c>
      <c r="K809" s="158">
        <f>1708823/D783</f>
        <v>97.91</v>
      </c>
      <c r="L809" s="7"/>
      <c r="M809" s="7"/>
      <c r="N809" s="7"/>
      <c r="O809" s="7"/>
      <c r="P809" s="7"/>
      <c r="Q809" s="7"/>
      <c r="R809" s="7"/>
      <c r="S809" s="7"/>
      <c r="T809" s="7"/>
      <c r="U809" s="7"/>
      <c r="V809" s="7"/>
      <c r="W809" s="7"/>
    </row>
    <row r="810" spans="1:23" x14ac:dyDescent="0.35">
      <c r="A810" s="251"/>
      <c r="B810" s="251"/>
      <c r="C810" s="252"/>
      <c r="D810" s="253"/>
      <c r="E810" s="253"/>
      <c r="F810" s="255"/>
      <c r="G810" s="258"/>
      <c r="H810" s="159" t="s">
        <v>76</v>
      </c>
      <c r="I810" s="158">
        <v>31892.55</v>
      </c>
      <c r="J810" s="158">
        <f>I810/D783</f>
        <v>1.83</v>
      </c>
      <c r="K810" s="158">
        <f>36569/D783</f>
        <v>2.1</v>
      </c>
      <c r="L810" s="7"/>
      <c r="M810" s="7"/>
      <c r="N810" s="7"/>
      <c r="O810" s="7"/>
      <c r="P810" s="7"/>
      <c r="Q810" s="7"/>
      <c r="R810" s="7"/>
      <c r="S810" s="7"/>
      <c r="T810" s="7"/>
      <c r="U810" s="7"/>
      <c r="V810" s="7"/>
      <c r="W810" s="7"/>
    </row>
    <row r="811" spans="1:23" ht="15.75" customHeight="1" x14ac:dyDescent="0.35">
      <c r="A811" s="251">
        <f>A783+1</f>
        <v>106</v>
      </c>
      <c r="B811" s="251">
        <v>4371</v>
      </c>
      <c r="C811" s="252" t="s">
        <v>377</v>
      </c>
      <c r="D811" s="253">
        <v>9043.4</v>
      </c>
      <c r="E811" s="253" t="s">
        <v>71</v>
      </c>
      <c r="F811" s="255">
        <v>9</v>
      </c>
      <c r="G811" s="123"/>
      <c r="H811" s="159" t="s">
        <v>73</v>
      </c>
      <c r="I811" s="158">
        <f>SUM(I812:I826)</f>
        <v>7610421.6299999999</v>
      </c>
      <c r="J811" s="158">
        <f>SUM(J812:J826)</f>
        <v>841.54</v>
      </c>
      <c r="K811" s="158">
        <f>SUM(K812:K826)</f>
        <v>978.6</v>
      </c>
      <c r="L811" s="7"/>
      <c r="M811" s="7"/>
      <c r="N811" s="7"/>
      <c r="O811" s="7"/>
      <c r="P811" s="7"/>
      <c r="Q811" s="7"/>
      <c r="R811" s="7"/>
      <c r="S811" s="7"/>
      <c r="T811" s="7"/>
      <c r="U811" s="7"/>
      <c r="V811" s="7"/>
      <c r="W811" s="7"/>
    </row>
    <row r="812" spans="1:23" ht="31" x14ac:dyDescent="0.35">
      <c r="A812" s="251"/>
      <c r="B812" s="251"/>
      <c r="C812" s="252"/>
      <c r="D812" s="253"/>
      <c r="E812" s="253"/>
      <c r="F812" s="255"/>
      <c r="G812" s="256" t="s">
        <v>673</v>
      </c>
      <c r="H812" s="159" t="s">
        <v>666</v>
      </c>
      <c r="I812" s="158">
        <v>0</v>
      </c>
      <c r="J812" s="158">
        <v>0</v>
      </c>
      <c r="K812" s="158">
        <f>24580/D811-0.01</f>
        <v>2.71</v>
      </c>
      <c r="L812" s="7"/>
      <c r="M812" s="7"/>
      <c r="N812" s="7"/>
      <c r="O812" s="7"/>
      <c r="P812" s="7"/>
      <c r="Q812" s="7"/>
      <c r="R812" s="7"/>
      <c r="S812" s="7"/>
      <c r="T812" s="7"/>
      <c r="U812" s="7"/>
      <c r="V812" s="7"/>
      <c r="W812" s="7"/>
    </row>
    <row r="813" spans="1:23" x14ac:dyDescent="0.35">
      <c r="A813" s="251">
        <v>756</v>
      </c>
      <c r="B813" s="251"/>
      <c r="C813" s="252"/>
      <c r="D813" s="253"/>
      <c r="E813" s="253"/>
      <c r="F813" s="255"/>
      <c r="G813" s="257"/>
      <c r="H813" s="159" t="s">
        <v>674</v>
      </c>
      <c r="I813" s="158">
        <v>1490194.17</v>
      </c>
      <c r="J813" s="158">
        <f>I813/D811-0.01</f>
        <v>164.77</v>
      </c>
      <c r="K813" s="158">
        <f>1708823/D811+0.01</f>
        <v>188.97</v>
      </c>
      <c r="L813" s="7"/>
      <c r="M813" s="7"/>
      <c r="N813" s="7"/>
      <c r="O813" s="7"/>
      <c r="P813" s="7"/>
      <c r="Q813" s="7"/>
      <c r="R813" s="7"/>
      <c r="S813" s="7"/>
      <c r="T813" s="7"/>
      <c r="U813" s="7"/>
      <c r="V813" s="7"/>
      <c r="W813" s="7"/>
    </row>
    <row r="814" spans="1:23" x14ac:dyDescent="0.35">
      <c r="A814" s="251">
        <v>757</v>
      </c>
      <c r="B814" s="251"/>
      <c r="C814" s="252"/>
      <c r="D814" s="253"/>
      <c r="E814" s="253"/>
      <c r="F814" s="255"/>
      <c r="G814" s="258"/>
      <c r="H814" s="159" t="s">
        <v>76</v>
      </c>
      <c r="I814" s="158">
        <v>31890.16</v>
      </c>
      <c r="J814" s="158">
        <f>I814/D811</f>
        <v>3.53</v>
      </c>
      <c r="K814" s="158">
        <f>36569/D811</f>
        <v>4.04</v>
      </c>
      <c r="L814" s="7"/>
      <c r="M814" s="7"/>
      <c r="N814" s="7"/>
      <c r="O814" s="7"/>
      <c r="P814" s="7"/>
      <c r="Q814" s="7"/>
      <c r="R814" s="7"/>
      <c r="S814" s="7"/>
      <c r="T814" s="7"/>
      <c r="U814" s="7"/>
      <c r="V814" s="7"/>
      <c r="W814" s="7"/>
    </row>
    <row r="815" spans="1:23" ht="31" x14ac:dyDescent="0.35">
      <c r="A815" s="251"/>
      <c r="B815" s="251"/>
      <c r="C815" s="252"/>
      <c r="D815" s="253"/>
      <c r="E815" s="253"/>
      <c r="F815" s="255"/>
      <c r="G815" s="256" t="s">
        <v>679</v>
      </c>
      <c r="H815" s="159" t="s">
        <v>666</v>
      </c>
      <c r="I815" s="158">
        <v>0</v>
      </c>
      <c r="J815" s="158">
        <v>0</v>
      </c>
      <c r="K815" s="158">
        <f>24580/D811</f>
        <v>2.72</v>
      </c>
      <c r="L815" s="7"/>
      <c r="M815" s="7"/>
      <c r="N815" s="7"/>
      <c r="O815" s="7"/>
      <c r="P815" s="7"/>
      <c r="Q815" s="7"/>
      <c r="R815" s="7"/>
      <c r="S815" s="7"/>
      <c r="T815" s="7"/>
      <c r="U815" s="7"/>
      <c r="V815" s="7"/>
      <c r="W815" s="7"/>
    </row>
    <row r="816" spans="1:23" x14ac:dyDescent="0.35">
      <c r="A816" s="251"/>
      <c r="B816" s="251"/>
      <c r="C816" s="252"/>
      <c r="D816" s="253"/>
      <c r="E816" s="253"/>
      <c r="F816" s="255"/>
      <c r="G816" s="257"/>
      <c r="H816" s="159" t="s">
        <v>674</v>
      </c>
      <c r="I816" s="158">
        <v>1490194.17</v>
      </c>
      <c r="J816" s="158">
        <f>I816/D811</f>
        <v>164.78</v>
      </c>
      <c r="K816" s="158">
        <f>1708823/D811</f>
        <v>188.96</v>
      </c>
      <c r="L816" s="7"/>
      <c r="M816" s="7"/>
      <c r="N816" s="7"/>
      <c r="O816" s="7"/>
      <c r="P816" s="7"/>
      <c r="Q816" s="7"/>
      <c r="R816" s="7"/>
      <c r="S816" s="7"/>
      <c r="T816" s="7"/>
      <c r="U816" s="7"/>
      <c r="V816" s="7"/>
      <c r="W816" s="7"/>
    </row>
    <row r="817" spans="1:23" x14ac:dyDescent="0.35">
      <c r="A817" s="251"/>
      <c r="B817" s="251"/>
      <c r="C817" s="252"/>
      <c r="D817" s="253"/>
      <c r="E817" s="253"/>
      <c r="F817" s="255"/>
      <c r="G817" s="258"/>
      <c r="H817" s="159" t="s">
        <v>76</v>
      </c>
      <c r="I817" s="158">
        <v>31890.15</v>
      </c>
      <c r="J817" s="158">
        <f>I817/D811</f>
        <v>3.53</v>
      </c>
      <c r="K817" s="158">
        <f>36569/D811</f>
        <v>4.04</v>
      </c>
      <c r="L817" s="7"/>
      <c r="M817" s="7"/>
      <c r="N817" s="7"/>
      <c r="O817" s="7"/>
      <c r="P817" s="7"/>
      <c r="Q817" s="7"/>
      <c r="R817" s="7"/>
      <c r="S817" s="7"/>
      <c r="T817" s="7"/>
      <c r="U817" s="7"/>
      <c r="V817" s="7"/>
      <c r="W817" s="7"/>
    </row>
    <row r="818" spans="1:23" ht="31" x14ac:dyDescent="0.35">
      <c r="A818" s="251"/>
      <c r="B818" s="251"/>
      <c r="C818" s="252"/>
      <c r="D818" s="253"/>
      <c r="E818" s="253"/>
      <c r="F818" s="255"/>
      <c r="G818" s="256" t="s">
        <v>680</v>
      </c>
      <c r="H818" s="159" t="s">
        <v>666</v>
      </c>
      <c r="I818" s="158">
        <v>0</v>
      </c>
      <c r="J818" s="158">
        <v>0</v>
      </c>
      <c r="K818" s="158">
        <f>24580/D811</f>
        <v>2.72</v>
      </c>
      <c r="L818" s="7"/>
      <c r="M818" s="7"/>
      <c r="N818" s="7"/>
      <c r="O818" s="7"/>
      <c r="P818" s="7"/>
      <c r="Q818" s="7"/>
      <c r="R818" s="7"/>
      <c r="S818" s="7"/>
      <c r="T818" s="7"/>
      <c r="U818" s="7"/>
      <c r="V818" s="7"/>
      <c r="W818" s="7"/>
    </row>
    <row r="819" spans="1:23" x14ac:dyDescent="0.35">
      <c r="A819" s="251"/>
      <c r="B819" s="251"/>
      <c r="C819" s="252"/>
      <c r="D819" s="253"/>
      <c r="E819" s="253"/>
      <c r="F819" s="255"/>
      <c r="G819" s="257"/>
      <c r="H819" s="159" t="s">
        <v>674</v>
      </c>
      <c r="I819" s="158">
        <v>1490194.17</v>
      </c>
      <c r="J819" s="158">
        <f>I819/D811</f>
        <v>164.78</v>
      </c>
      <c r="K819" s="158">
        <f>1708823/D811</f>
        <v>188.96</v>
      </c>
      <c r="L819" s="7"/>
      <c r="M819" s="7"/>
      <c r="N819" s="7"/>
      <c r="O819" s="7"/>
      <c r="P819" s="7"/>
      <c r="Q819" s="7"/>
      <c r="R819" s="7"/>
      <c r="S819" s="7"/>
      <c r="T819" s="7"/>
      <c r="U819" s="7"/>
      <c r="V819" s="7"/>
      <c r="W819" s="7"/>
    </row>
    <row r="820" spans="1:23" x14ac:dyDescent="0.35">
      <c r="A820" s="251"/>
      <c r="B820" s="251"/>
      <c r="C820" s="252"/>
      <c r="D820" s="253"/>
      <c r="E820" s="253"/>
      <c r="F820" s="255"/>
      <c r="G820" s="258"/>
      <c r="H820" s="159" t="s">
        <v>76</v>
      </c>
      <c r="I820" s="158">
        <v>31890.16</v>
      </c>
      <c r="J820" s="158">
        <f>I820/D811</f>
        <v>3.53</v>
      </c>
      <c r="K820" s="158">
        <f>36569/D811</f>
        <v>4.04</v>
      </c>
      <c r="L820" s="7"/>
      <c r="M820" s="7"/>
      <c r="N820" s="7"/>
      <c r="O820" s="7"/>
      <c r="P820" s="7"/>
      <c r="Q820" s="7"/>
      <c r="R820" s="7"/>
      <c r="S820" s="7"/>
      <c r="T820" s="7"/>
      <c r="U820" s="7"/>
      <c r="V820" s="7"/>
      <c r="W820" s="7"/>
    </row>
    <row r="821" spans="1:23" ht="31" x14ac:dyDescent="0.35">
      <c r="A821" s="251"/>
      <c r="B821" s="251"/>
      <c r="C821" s="252"/>
      <c r="D821" s="253"/>
      <c r="E821" s="253"/>
      <c r="F821" s="255"/>
      <c r="G821" s="256" t="s">
        <v>681</v>
      </c>
      <c r="H821" s="159" t="s">
        <v>666</v>
      </c>
      <c r="I821" s="158">
        <v>0</v>
      </c>
      <c r="J821" s="158">
        <v>0</v>
      </c>
      <c r="K821" s="158">
        <f>24580/D811</f>
        <v>2.72</v>
      </c>
      <c r="L821" s="7"/>
      <c r="M821" s="7"/>
      <c r="N821" s="7"/>
      <c r="O821" s="7"/>
      <c r="P821" s="7"/>
      <c r="Q821" s="7"/>
      <c r="R821" s="7"/>
      <c r="S821" s="7"/>
      <c r="T821" s="7"/>
      <c r="U821" s="7"/>
      <c r="V821" s="7"/>
      <c r="W821" s="7"/>
    </row>
    <row r="822" spans="1:23" x14ac:dyDescent="0.35">
      <c r="A822" s="251"/>
      <c r="B822" s="251"/>
      <c r="C822" s="252"/>
      <c r="D822" s="253"/>
      <c r="E822" s="253"/>
      <c r="F822" s="255"/>
      <c r="G822" s="257"/>
      <c r="H822" s="159" t="s">
        <v>674</v>
      </c>
      <c r="I822" s="158">
        <v>1490194.17</v>
      </c>
      <c r="J822" s="158">
        <f>I822/D811</f>
        <v>164.78</v>
      </c>
      <c r="K822" s="158">
        <f>1708823/D811</f>
        <v>188.96</v>
      </c>
      <c r="L822" s="7"/>
      <c r="M822" s="7"/>
      <c r="N822" s="7"/>
      <c r="O822" s="7"/>
      <c r="P822" s="7"/>
      <c r="Q822" s="7"/>
      <c r="R822" s="7"/>
      <c r="S822" s="7"/>
      <c r="T822" s="7"/>
      <c r="U822" s="7"/>
      <c r="V822" s="7"/>
      <c r="W822" s="7"/>
    </row>
    <row r="823" spans="1:23" x14ac:dyDescent="0.35">
      <c r="A823" s="251"/>
      <c r="B823" s="251"/>
      <c r="C823" s="252"/>
      <c r="D823" s="253"/>
      <c r="E823" s="253"/>
      <c r="F823" s="255"/>
      <c r="G823" s="258"/>
      <c r="H823" s="159" t="s">
        <v>76</v>
      </c>
      <c r="I823" s="158">
        <v>31890.15</v>
      </c>
      <c r="J823" s="158">
        <f>I823/D811</f>
        <v>3.53</v>
      </c>
      <c r="K823" s="158">
        <f>36569/D811</f>
        <v>4.04</v>
      </c>
      <c r="L823" s="7"/>
      <c r="M823" s="7"/>
      <c r="N823" s="7"/>
      <c r="O823" s="7"/>
      <c r="P823" s="7"/>
      <c r="Q823" s="7"/>
      <c r="R823" s="7"/>
      <c r="S823" s="7"/>
      <c r="T823" s="7"/>
      <c r="U823" s="7"/>
      <c r="V823" s="7"/>
      <c r="W823" s="7"/>
    </row>
    <row r="824" spans="1:23" ht="31" x14ac:dyDescent="0.35">
      <c r="A824" s="251"/>
      <c r="B824" s="251"/>
      <c r="C824" s="252"/>
      <c r="D824" s="253"/>
      <c r="E824" s="253"/>
      <c r="F824" s="255"/>
      <c r="G824" s="256" t="s">
        <v>678</v>
      </c>
      <c r="H824" s="159" t="s">
        <v>666</v>
      </c>
      <c r="I824" s="158">
        <v>0</v>
      </c>
      <c r="J824" s="158">
        <v>0</v>
      </c>
      <c r="K824" s="158">
        <f>24580/D811</f>
        <v>2.72</v>
      </c>
      <c r="L824" s="7"/>
      <c r="M824" s="7"/>
      <c r="N824" s="7"/>
      <c r="O824" s="7"/>
      <c r="P824" s="7"/>
      <c r="Q824" s="7"/>
      <c r="R824" s="7"/>
      <c r="S824" s="7"/>
      <c r="T824" s="7"/>
      <c r="U824" s="7"/>
      <c r="V824" s="7"/>
      <c r="W824" s="7"/>
    </row>
    <row r="825" spans="1:23" x14ac:dyDescent="0.35">
      <c r="A825" s="251"/>
      <c r="B825" s="251"/>
      <c r="C825" s="252"/>
      <c r="D825" s="253"/>
      <c r="E825" s="253"/>
      <c r="F825" s="255"/>
      <c r="G825" s="257"/>
      <c r="H825" s="159" t="s">
        <v>674</v>
      </c>
      <c r="I825" s="158">
        <v>1490194.17</v>
      </c>
      <c r="J825" s="158">
        <f>I825/D811</f>
        <v>164.78</v>
      </c>
      <c r="K825" s="158">
        <f>1708823/D811</f>
        <v>188.96</v>
      </c>
      <c r="L825" s="7"/>
      <c r="M825" s="7"/>
      <c r="N825" s="7"/>
      <c r="O825" s="7"/>
      <c r="P825" s="7"/>
      <c r="Q825" s="7"/>
      <c r="R825" s="7"/>
      <c r="S825" s="7"/>
      <c r="T825" s="7"/>
      <c r="U825" s="7"/>
      <c r="V825" s="7"/>
      <c r="W825" s="7"/>
    </row>
    <row r="826" spans="1:23" x14ac:dyDescent="0.35">
      <c r="A826" s="251"/>
      <c r="B826" s="251"/>
      <c r="C826" s="252"/>
      <c r="D826" s="253"/>
      <c r="E826" s="253"/>
      <c r="F826" s="255"/>
      <c r="G826" s="258"/>
      <c r="H826" s="159" t="s">
        <v>76</v>
      </c>
      <c r="I826" s="158">
        <v>31890.16</v>
      </c>
      <c r="J826" s="158">
        <f>I826/D811</f>
        <v>3.53</v>
      </c>
      <c r="K826" s="158">
        <f>36569/D811</f>
        <v>4.04</v>
      </c>
      <c r="L826" s="7"/>
      <c r="M826" s="7"/>
      <c r="N826" s="7"/>
      <c r="O826" s="7"/>
      <c r="P826" s="7"/>
      <c r="Q826" s="7"/>
      <c r="R826" s="7"/>
      <c r="S826" s="7"/>
      <c r="T826" s="7"/>
      <c r="U826" s="7"/>
      <c r="V826" s="7"/>
      <c r="W826" s="7"/>
    </row>
    <row r="827" spans="1:23" ht="15.75" customHeight="1" x14ac:dyDescent="0.35">
      <c r="A827" s="251">
        <f>A811+1</f>
        <v>107</v>
      </c>
      <c r="B827" s="251">
        <v>4329</v>
      </c>
      <c r="C827" s="252" t="s">
        <v>378</v>
      </c>
      <c r="D827" s="253">
        <v>6684.43</v>
      </c>
      <c r="E827" s="253" t="s">
        <v>71</v>
      </c>
      <c r="F827" s="255">
        <v>10</v>
      </c>
      <c r="G827" s="123"/>
      <c r="H827" s="159" t="s">
        <v>73</v>
      </c>
      <c r="I827" s="158">
        <f>SUM(I828:I836)</f>
        <v>5094901</v>
      </c>
      <c r="J827" s="158">
        <f>SUM(J828:J836)</f>
        <v>762.2</v>
      </c>
      <c r="K827" s="158">
        <f>SUM(K828:K836)</f>
        <v>794.37</v>
      </c>
      <c r="L827" s="7"/>
      <c r="M827" s="7"/>
      <c r="N827" s="7"/>
      <c r="O827" s="7"/>
      <c r="P827" s="7"/>
      <c r="Q827" s="7"/>
      <c r="R827" s="7"/>
      <c r="S827" s="7"/>
      <c r="T827" s="7"/>
      <c r="U827" s="7"/>
      <c r="V827" s="7"/>
      <c r="W827" s="7"/>
    </row>
    <row r="828" spans="1:23" ht="31" x14ac:dyDescent="0.35">
      <c r="A828" s="251"/>
      <c r="B828" s="251"/>
      <c r="C828" s="252"/>
      <c r="D828" s="253"/>
      <c r="E828" s="253"/>
      <c r="F828" s="255"/>
      <c r="G828" s="256" t="s">
        <v>673</v>
      </c>
      <c r="H828" s="159" t="s">
        <v>666</v>
      </c>
      <c r="I828" s="158">
        <v>0</v>
      </c>
      <c r="J828" s="158">
        <v>0</v>
      </c>
      <c r="K828" s="158">
        <f>24580/D827</f>
        <v>3.68</v>
      </c>
      <c r="L828" s="7"/>
      <c r="M828" s="7"/>
      <c r="N828" s="7"/>
      <c r="O828" s="7"/>
      <c r="P828" s="7"/>
      <c r="Q828" s="7"/>
      <c r="R828" s="7"/>
      <c r="S828" s="7"/>
      <c r="T828" s="7"/>
      <c r="U828" s="7"/>
      <c r="V828" s="7"/>
      <c r="W828" s="7"/>
    </row>
    <row r="829" spans="1:23" x14ac:dyDescent="0.35">
      <c r="A829" s="251">
        <v>756</v>
      </c>
      <c r="B829" s="251"/>
      <c r="C829" s="252"/>
      <c r="D829" s="253"/>
      <c r="E829" s="253"/>
      <c r="F829" s="255"/>
      <c r="G829" s="257"/>
      <c r="H829" s="159" t="s">
        <v>674</v>
      </c>
      <c r="I829" s="158">
        <v>1680016.17</v>
      </c>
      <c r="J829" s="158">
        <f>I829/D827-0.01</f>
        <v>251.32</v>
      </c>
      <c r="K829" s="158">
        <f>1708823/D827</f>
        <v>255.64</v>
      </c>
      <c r="L829" s="7"/>
      <c r="M829" s="7"/>
      <c r="N829" s="7"/>
      <c r="O829" s="7"/>
      <c r="P829" s="7"/>
      <c r="Q829" s="7"/>
      <c r="R829" s="7"/>
      <c r="S829" s="7"/>
      <c r="T829" s="7"/>
      <c r="U829" s="7"/>
      <c r="V829" s="7"/>
      <c r="W829" s="7"/>
    </row>
    <row r="830" spans="1:23" x14ac:dyDescent="0.35">
      <c r="A830" s="251">
        <v>757</v>
      </c>
      <c r="B830" s="251"/>
      <c r="C830" s="252"/>
      <c r="D830" s="253"/>
      <c r="E830" s="253"/>
      <c r="F830" s="255"/>
      <c r="G830" s="258"/>
      <c r="H830" s="159" t="s">
        <v>76</v>
      </c>
      <c r="I830" s="158">
        <v>18284.169999999998</v>
      </c>
      <c r="J830" s="158">
        <f>I830/D827</f>
        <v>2.74</v>
      </c>
      <c r="K830" s="158">
        <f>36569/D827</f>
        <v>5.47</v>
      </c>
      <c r="L830" s="7"/>
      <c r="M830" s="7"/>
      <c r="N830" s="7"/>
      <c r="O830" s="7"/>
      <c r="P830" s="7"/>
      <c r="Q830" s="7"/>
      <c r="R830" s="7"/>
      <c r="S830" s="7"/>
      <c r="T830" s="7"/>
      <c r="U830" s="7"/>
      <c r="V830" s="7"/>
      <c r="W830" s="7"/>
    </row>
    <row r="831" spans="1:23" ht="31" x14ac:dyDescent="0.35">
      <c r="A831" s="251"/>
      <c r="B831" s="251"/>
      <c r="C831" s="252"/>
      <c r="D831" s="253"/>
      <c r="E831" s="253"/>
      <c r="F831" s="255"/>
      <c r="G831" s="256" t="s">
        <v>679</v>
      </c>
      <c r="H831" s="159" t="s">
        <v>666</v>
      </c>
      <c r="I831" s="158">
        <v>0</v>
      </c>
      <c r="J831" s="158">
        <v>0</v>
      </c>
      <c r="K831" s="158">
        <f>24580/D827</f>
        <v>3.68</v>
      </c>
      <c r="L831" s="7"/>
      <c r="M831" s="7"/>
      <c r="N831" s="7"/>
      <c r="O831" s="7"/>
      <c r="P831" s="7"/>
      <c r="Q831" s="7"/>
      <c r="R831" s="7"/>
      <c r="S831" s="7"/>
      <c r="T831" s="7"/>
      <c r="U831" s="7"/>
      <c r="V831" s="7"/>
      <c r="W831" s="7"/>
    </row>
    <row r="832" spans="1:23" x14ac:dyDescent="0.35">
      <c r="A832" s="251"/>
      <c r="B832" s="251"/>
      <c r="C832" s="252"/>
      <c r="D832" s="253"/>
      <c r="E832" s="253"/>
      <c r="F832" s="255"/>
      <c r="G832" s="257"/>
      <c r="H832" s="159" t="s">
        <v>674</v>
      </c>
      <c r="I832" s="158">
        <v>1680016.17</v>
      </c>
      <c r="J832" s="158">
        <f>I832/D827</f>
        <v>251.33</v>
      </c>
      <c r="K832" s="158">
        <f>1708823/D827</f>
        <v>255.64</v>
      </c>
      <c r="L832" s="7"/>
      <c r="M832" s="7"/>
      <c r="N832" s="7"/>
      <c r="O832" s="7"/>
      <c r="P832" s="7"/>
      <c r="Q832" s="7"/>
      <c r="R832" s="7"/>
      <c r="S832" s="7"/>
      <c r="T832" s="7"/>
      <c r="U832" s="7"/>
      <c r="V832" s="7"/>
      <c r="W832" s="7"/>
    </row>
    <row r="833" spans="1:23" x14ac:dyDescent="0.35">
      <c r="A833" s="251"/>
      <c r="B833" s="251"/>
      <c r="C833" s="252"/>
      <c r="D833" s="253"/>
      <c r="E833" s="253"/>
      <c r="F833" s="255"/>
      <c r="G833" s="258"/>
      <c r="H833" s="159" t="s">
        <v>76</v>
      </c>
      <c r="I833" s="158">
        <v>18284.169999999998</v>
      </c>
      <c r="J833" s="158">
        <f>I833/D827</f>
        <v>2.74</v>
      </c>
      <c r="K833" s="158">
        <f>36569/D827</f>
        <v>5.47</v>
      </c>
      <c r="L833" s="7"/>
      <c r="M833" s="7"/>
      <c r="N833" s="7"/>
      <c r="O833" s="7"/>
      <c r="P833" s="7"/>
      <c r="Q833" s="7"/>
      <c r="R833" s="7"/>
      <c r="S833" s="7"/>
      <c r="T833" s="7"/>
      <c r="U833" s="7"/>
      <c r="V833" s="7"/>
      <c r="W833" s="7"/>
    </row>
    <row r="834" spans="1:23" ht="31" x14ac:dyDescent="0.35">
      <c r="A834" s="251"/>
      <c r="B834" s="251"/>
      <c r="C834" s="252"/>
      <c r="D834" s="253"/>
      <c r="E834" s="253"/>
      <c r="F834" s="255"/>
      <c r="G834" s="256" t="s">
        <v>680</v>
      </c>
      <c r="H834" s="159" t="s">
        <v>666</v>
      </c>
      <c r="I834" s="158">
        <v>0</v>
      </c>
      <c r="J834" s="158">
        <v>0</v>
      </c>
      <c r="K834" s="158">
        <f>24580/D827</f>
        <v>3.68</v>
      </c>
      <c r="L834" s="7"/>
      <c r="M834" s="7"/>
      <c r="N834" s="7"/>
      <c r="O834" s="7"/>
      <c r="P834" s="7"/>
      <c r="Q834" s="7"/>
      <c r="R834" s="7"/>
      <c r="S834" s="7"/>
      <c r="T834" s="7"/>
      <c r="U834" s="7"/>
      <c r="V834" s="7"/>
      <c r="W834" s="7"/>
    </row>
    <row r="835" spans="1:23" x14ac:dyDescent="0.35">
      <c r="A835" s="251"/>
      <c r="B835" s="251"/>
      <c r="C835" s="252"/>
      <c r="D835" s="253"/>
      <c r="E835" s="253"/>
      <c r="F835" s="255"/>
      <c r="G835" s="257"/>
      <c r="H835" s="159" t="s">
        <v>674</v>
      </c>
      <c r="I835" s="158">
        <v>1680016.16</v>
      </c>
      <c r="J835" s="158">
        <f>I835/D827</f>
        <v>251.33</v>
      </c>
      <c r="K835" s="158">
        <f>1708823/D827</f>
        <v>255.64</v>
      </c>
      <c r="L835" s="7"/>
      <c r="M835" s="7"/>
      <c r="N835" s="7"/>
      <c r="O835" s="7"/>
      <c r="P835" s="7"/>
      <c r="Q835" s="7"/>
      <c r="R835" s="7"/>
      <c r="S835" s="7"/>
      <c r="T835" s="7"/>
      <c r="U835" s="7"/>
      <c r="V835" s="7"/>
      <c r="W835" s="7"/>
    </row>
    <row r="836" spans="1:23" x14ac:dyDescent="0.35">
      <c r="A836" s="251"/>
      <c r="B836" s="251"/>
      <c r="C836" s="252"/>
      <c r="D836" s="253"/>
      <c r="E836" s="253"/>
      <c r="F836" s="255"/>
      <c r="G836" s="258"/>
      <c r="H836" s="159" t="s">
        <v>76</v>
      </c>
      <c r="I836" s="158">
        <v>18284.16</v>
      </c>
      <c r="J836" s="158">
        <f>I836/D827</f>
        <v>2.74</v>
      </c>
      <c r="K836" s="158">
        <f>36569/D827</f>
        <v>5.47</v>
      </c>
      <c r="L836" s="7"/>
      <c r="M836" s="7"/>
      <c r="N836" s="7"/>
      <c r="O836" s="7"/>
      <c r="P836" s="7"/>
      <c r="Q836" s="7"/>
      <c r="R836" s="7"/>
      <c r="S836" s="7"/>
      <c r="T836" s="7"/>
      <c r="U836" s="7"/>
      <c r="V836" s="7"/>
      <c r="W836" s="7"/>
    </row>
    <row r="837" spans="1:23" ht="15.75" customHeight="1" x14ac:dyDescent="0.35">
      <c r="A837" s="251">
        <f>A827+1</f>
        <v>108</v>
      </c>
      <c r="B837" s="251">
        <v>3367</v>
      </c>
      <c r="C837" s="252" t="s">
        <v>379</v>
      </c>
      <c r="D837" s="253">
        <v>2875.15</v>
      </c>
      <c r="E837" s="253" t="s">
        <v>71</v>
      </c>
      <c r="F837" s="255">
        <v>5</v>
      </c>
      <c r="G837" s="251" t="s">
        <v>72</v>
      </c>
      <c r="H837" s="159" t="s">
        <v>73</v>
      </c>
      <c r="I837" s="158">
        <f>I838+I839</f>
        <v>5335146.21</v>
      </c>
      <c r="J837" s="158">
        <f>J838+J839</f>
        <v>1855.61</v>
      </c>
      <c r="K837" s="158">
        <f>K838+K839</f>
        <v>2831</v>
      </c>
      <c r="L837" s="7"/>
      <c r="M837" s="7"/>
      <c r="N837" s="7"/>
      <c r="O837" s="7"/>
      <c r="P837" s="7"/>
      <c r="Q837" s="7"/>
      <c r="R837" s="7"/>
      <c r="S837" s="7"/>
      <c r="T837" s="7"/>
      <c r="U837" s="7"/>
      <c r="V837" s="7"/>
      <c r="W837" s="7"/>
    </row>
    <row r="838" spans="1:23" x14ac:dyDescent="0.35">
      <c r="A838" s="251">
        <v>77</v>
      </c>
      <c r="B838" s="251"/>
      <c r="C838" s="252"/>
      <c r="D838" s="253"/>
      <c r="E838" s="253"/>
      <c r="F838" s="255"/>
      <c r="G838" s="251"/>
      <c r="H838" s="159" t="s">
        <v>74</v>
      </c>
      <c r="I838" s="158">
        <v>5264629</v>
      </c>
      <c r="J838" s="158">
        <f>I838/D837</f>
        <v>1831.08</v>
      </c>
      <c r="K838" s="158">
        <v>2772</v>
      </c>
      <c r="L838" s="7"/>
      <c r="M838" s="7"/>
      <c r="N838" s="7"/>
      <c r="O838" s="7"/>
      <c r="P838" s="7"/>
      <c r="Q838" s="7"/>
      <c r="R838" s="7"/>
      <c r="S838" s="7"/>
      <c r="T838" s="7"/>
      <c r="U838" s="7"/>
      <c r="V838" s="7"/>
      <c r="W838" s="7"/>
    </row>
    <row r="839" spans="1:23" x14ac:dyDescent="0.35">
      <c r="A839" s="251">
        <v>78</v>
      </c>
      <c r="B839" s="251"/>
      <c r="C839" s="252"/>
      <c r="D839" s="253"/>
      <c r="E839" s="253"/>
      <c r="F839" s="255"/>
      <c r="G839" s="251"/>
      <c r="H839" s="159" t="s">
        <v>76</v>
      </c>
      <c r="I839" s="158">
        <v>70517.210000000006</v>
      </c>
      <c r="J839" s="158">
        <f>I839/D837</f>
        <v>24.53</v>
      </c>
      <c r="K839" s="158">
        <v>59</v>
      </c>
      <c r="L839" s="7"/>
      <c r="M839" s="7"/>
      <c r="N839" s="7"/>
      <c r="O839" s="7"/>
      <c r="P839" s="7"/>
      <c r="Q839" s="7"/>
      <c r="R839" s="7"/>
      <c r="S839" s="7"/>
      <c r="T839" s="7"/>
      <c r="U839" s="7"/>
      <c r="V839" s="7"/>
      <c r="W839" s="7"/>
    </row>
    <row r="840" spans="1:23" ht="15.75" customHeight="1" x14ac:dyDescent="0.35">
      <c r="A840" s="251">
        <f>A837+1</f>
        <v>109</v>
      </c>
      <c r="B840" s="251">
        <v>8192</v>
      </c>
      <c r="C840" s="252" t="s">
        <v>380</v>
      </c>
      <c r="D840" s="253">
        <v>3552.8</v>
      </c>
      <c r="E840" s="253" t="s">
        <v>71</v>
      </c>
      <c r="F840" s="255">
        <v>5</v>
      </c>
      <c r="G840" s="251" t="s">
        <v>72</v>
      </c>
      <c r="H840" s="159" t="s">
        <v>73</v>
      </c>
      <c r="I840" s="158">
        <f>I841+I842</f>
        <v>7833565.3399999999</v>
      </c>
      <c r="J840" s="158">
        <f>J841+J842</f>
        <v>2204.9</v>
      </c>
      <c r="K840" s="158">
        <f>K841+K842</f>
        <v>2831</v>
      </c>
      <c r="L840" s="7"/>
      <c r="M840" s="7"/>
      <c r="N840" s="7"/>
      <c r="O840" s="7"/>
      <c r="P840" s="7"/>
      <c r="Q840" s="7"/>
      <c r="R840" s="7"/>
      <c r="S840" s="7"/>
      <c r="T840" s="7"/>
      <c r="U840" s="7"/>
      <c r="V840" s="7"/>
      <c r="W840" s="7"/>
    </row>
    <row r="841" spans="1:23" x14ac:dyDescent="0.35">
      <c r="A841" s="251">
        <v>77</v>
      </c>
      <c r="B841" s="251"/>
      <c r="C841" s="252"/>
      <c r="D841" s="253"/>
      <c r="E841" s="253"/>
      <c r="F841" s="255"/>
      <c r="G841" s="251"/>
      <c r="H841" s="159" t="s">
        <v>74</v>
      </c>
      <c r="I841" s="158">
        <f>7681329.46+70046.88</f>
        <v>7751376.3399999999</v>
      </c>
      <c r="J841" s="158">
        <f>I841/D840</f>
        <v>2181.77</v>
      </c>
      <c r="K841" s="158">
        <v>2772</v>
      </c>
      <c r="L841" s="7"/>
      <c r="M841" s="7"/>
      <c r="N841" s="7"/>
      <c r="O841" s="7"/>
      <c r="P841" s="7"/>
      <c r="Q841" s="7"/>
      <c r="R841" s="7"/>
      <c r="S841" s="7"/>
      <c r="T841" s="7"/>
      <c r="U841" s="7"/>
      <c r="V841" s="7"/>
      <c r="W841" s="7"/>
    </row>
    <row r="842" spans="1:23" x14ac:dyDescent="0.35">
      <c r="A842" s="251">
        <v>78</v>
      </c>
      <c r="B842" s="251"/>
      <c r="C842" s="252"/>
      <c r="D842" s="253"/>
      <c r="E842" s="253"/>
      <c r="F842" s="255"/>
      <c r="G842" s="251"/>
      <c r="H842" s="159" t="s">
        <v>76</v>
      </c>
      <c r="I842" s="158">
        <v>82189</v>
      </c>
      <c r="J842" s="158">
        <f>I842/D840</f>
        <v>23.13</v>
      </c>
      <c r="K842" s="158">
        <v>59</v>
      </c>
      <c r="L842" s="7"/>
      <c r="M842" s="7"/>
      <c r="N842" s="7"/>
      <c r="O842" s="7"/>
      <c r="P842" s="7"/>
      <c r="Q842" s="7"/>
      <c r="R842" s="7"/>
      <c r="S842" s="7"/>
      <c r="T842" s="7"/>
      <c r="U842" s="7"/>
      <c r="V842" s="7"/>
      <c r="W842" s="7"/>
    </row>
    <row r="843" spans="1:23" ht="15.75" customHeight="1" x14ac:dyDescent="0.35">
      <c r="A843" s="251">
        <f>A840+1</f>
        <v>110</v>
      </c>
      <c r="B843" s="251">
        <v>3297</v>
      </c>
      <c r="C843" s="252" t="s">
        <v>381</v>
      </c>
      <c r="D843" s="253">
        <v>3538.6</v>
      </c>
      <c r="E843" s="253" t="s">
        <v>71</v>
      </c>
      <c r="F843" s="255">
        <v>5</v>
      </c>
      <c r="G843" s="251" t="s">
        <v>72</v>
      </c>
      <c r="H843" s="159" t="s">
        <v>73</v>
      </c>
      <c r="I843" s="158">
        <f>I844+I845</f>
        <v>7152676.7699999996</v>
      </c>
      <c r="J843" s="158">
        <f>J844+J845</f>
        <v>2021.33</v>
      </c>
      <c r="K843" s="158">
        <f>K844+K845</f>
        <v>2831</v>
      </c>
      <c r="L843" s="7"/>
      <c r="M843" s="7"/>
      <c r="N843" s="7"/>
      <c r="O843" s="7"/>
      <c r="P843" s="7"/>
      <c r="Q843" s="7"/>
      <c r="R843" s="7"/>
      <c r="S843" s="7"/>
      <c r="T843" s="7"/>
      <c r="U843" s="7"/>
      <c r="V843" s="7"/>
      <c r="W843" s="7"/>
    </row>
    <row r="844" spans="1:23" x14ac:dyDescent="0.35">
      <c r="A844" s="251">
        <v>77</v>
      </c>
      <c r="B844" s="251"/>
      <c r="C844" s="252"/>
      <c r="D844" s="253"/>
      <c r="E844" s="253"/>
      <c r="F844" s="255"/>
      <c r="G844" s="251"/>
      <c r="H844" s="159" t="s">
        <v>74</v>
      </c>
      <c r="I844" s="158">
        <v>7070487.7699999996</v>
      </c>
      <c r="J844" s="158">
        <f>I844/D843</f>
        <v>1998.1</v>
      </c>
      <c r="K844" s="158">
        <v>2772</v>
      </c>
      <c r="L844" s="7"/>
      <c r="M844" s="7"/>
      <c r="N844" s="7"/>
      <c r="O844" s="7"/>
      <c r="P844" s="7"/>
      <c r="Q844" s="7"/>
      <c r="R844" s="7"/>
      <c r="S844" s="7"/>
      <c r="T844" s="7"/>
      <c r="U844" s="7"/>
      <c r="V844" s="7"/>
      <c r="W844" s="7"/>
    </row>
    <row r="845" spans="1:23" x14ac:dyDescent="0.35">
      <c r="A845" s="251">
        <v>78</v>
      </c>
      <c r="B845" s="251"/>
      <c r="C845" s="252"/>
      <c r="D845" s="253"/>
      <c r="E845" s="253"/>
      <c r="F845" s="255"/>
      <c r="G845" s="251"/>
      <c r="H845" s="159" t="s">
        <v>76</v>
      </c>
      <c r="I845" s="158">
        <v>82189</v>
      </c>
      <c r="J845" s="158">
        <f>I845/D843</f>
        <v>23.23</v>
      </c>
      <c r="K845" s="158">
        <v>59</v>
      </c>
      <c r="L845" s="7"/>
      <c r="M845" s="7"/>
      <c r="N845" s="7"/>
      <c r="O845" s="7"/>
      <c r="P845" s="7"/>
      <c r="Q845" s="7"/>
      <c r="R845" s="7"/>
      <c r="S845" s="7"/>
      <c r="T845" s="7"/>
      <c r="U845" s="7"/>
      <c r="V845" s="7"/>
      <c r="W845" s="7"/>
    </row>
    <row r="846" spans="1:23" x14ac:dyDescent="0.35">
      <c r="A846" s="251">
        <f>A843+1</f>
        <v>111</v>
      </c>
      <c r="B846" s="251">
        <v>4341</v>
      </c>
      <c r="C846" s="252" t="s">
        <v>382</v>
      </c>
      <c r="D846" s="253">
        <v>3554.2</v>
      </c>
      <c r="E846" s="253" t="s">
        <v>71</v>
      </c>
      <c r="F846" s="255">
        <v>5</v>
      </c>
      <c r="G846" s="251" t="s">
        <v>72</v>
      </c>
      <c r="H846" s="159" t="s">
        <v>73</v>
      </c>
      <c r="I846" s="158">
        <f>I847+I848</f>
        <v>8160654.8899999997</v>
      </c>
      <c r="J846" s="158">
        <f>J847+J848</f>
        <v>2296.06</v>
      </c>
      <c r="K846" s="158">
        <f>K847+K848</f>
        <v>3449</v>
      </c>
      <c r="L846" s="7"/>
      <c r="M846" s="7"/>
      <c r="N846" s="7"/>
      <c r="O846" s="7"/>
      <c r="P846" s="7"/>
      <c r="Q846" s="7"/>
      <c r="R846" s="7"/>
      <c r="S846" s="7"/>
      <c r="T846" s="7"/>
      <c r="U846" s="7"/>
      <c r="V846" s="7"/>
      <c r="W846" s="7"/>
    </row>
    <row r="847" spans="1:23" ht="31" x14ac:dyDescent="0.35">
      <c r="A847" s="251"/>
      <c r="B847" s="251"/>
      <c r="C847" s="252"/>
      <c r="D847" s="253"/>
      <c r="E847" s="253"/>
      <c r="F847" s="255"/>
      <c r="G847" s="251"/>
      <c r="H847" s="159" t="s">
        <v>86</v>
      </c>
      <c r="I847" s="158">
        <v>8071647.4900000002</v>
      </c>
      <c r="J847" s="158">
        <f>I847/D846</f>
        <v>2271.02</v>
      </c>
      <c r="K847" s="158">
        <v>3377</v>
      </c>
      <c r="L847" s="7"/>
      <c r="M847" s="7"/>
      <c r="N847" s="7"/>
      <c r="O847" s="7"/>
      <c r="P847" s="7"/>
      <c r="Q847" s="7"/>
      <c r="R847" s="7"/>
      <c r="S847" s="7"/>
      <c r="T847" s="7"/>
      <c r="U847" s="7"/>
      <c r="V847" s="7"/>
      <c r="W847" s="7"/>
    </row>
    <row r="848" spans="1:23" x14ac:dyDescent="0.35">
      <c r="A848" s="251"/>
      <c r="B848" s="251"/>
      <c r="C848" s="252"/>
      <c r="D848" s="253"/>
      <c r="E848" s="253"/>
      <c r="F848" s="255"/>
      <c r="G848" s="251"/>
      <c r="H848" s="159" t="s">
        <v>76</v>
      </c>
      <c r="I848" s="158">
        <v>89007.4</v>
      </c>
      <c r="J848" s="158">
        <f>I848/D846</f>
        <v>25.04</v>
      </c>
      <c r="K848" s="158">
        <v>72</v>
      </c>
      <c r="L848" s="7"/>
      <c r="M848" s="7"/>
      <c r="N848" s="7"/>
      <c r="O848" s="7"/>
      <c r="P848" s="7"/>
      <c r="Q848" s="7"/>
      <c r="R848" s="7"/>
      <c r="S848" s="7"/>
      <c r="T848" s="7"/>
      <c r="U848" s="7"/>
      <c r="V848" s="7"/>
      <c r="W848" s="7"/>
    </row>
    <row r="849" spans="1:23" ht="15.75" customHeight="1" x14ac:dyDescent="0.35">
      <c r="A849" s="251">
        <f>A846+1</f>
        <v>112</v>
      </c>
      <c r="B849" s="251">
        <v>3134</v>
      </c>
      <c r="C849" s="252" t="s">
        <v>383</v>
      </c>
      <c r="D849" s="253">
        <v>1040.0999999999999</v>
      </c>
      <c r="E849" s="253" t="s">
        <v>75</v>
      </c>
      <c r="F849" s="255">
        <v>3</v>
      </c>
      <c r="G849" s="251" t="s">
        <v>72</v>
      </c>
      <c r="H849" s="159" t="s">
        <v>73</v>
      </c>
      <c r="I849" s="158">
        <f>I850+I851</f>
        <v>3190320.79</v>
      </c>
      <c r="J849" s="158">
        <f>J850+J851</f>
        <v>3067.32</v>
      </c>
      <c r="K849" s="158">
        <f>K850+K851</f>
        <v>4728</v>
      </c>
      <c r="L849" s="7"/>
      <c r="M849" s="7"/>
      <c r="N849" s="7"/>
      <c r="O849" s="7"/>
      <c r="P849" s="7"/>
      <c r="Q849" s="7"/>
      <c r="R849" s="7"/>
      <c r="S849" s="7"/>
      <c r="T849" s="7"/>
      <c r="U849" s="7"/>
      <c r="V849" s="7"/>
      <c r="W849" s="7"/>
    </row>
    <row r="850" spans="1:23" x14ac:dyDescent="0.35">
      <c r="A850" s="251">
        <v>77</v>
      </c>
      <c r="B850" s="251"/>
      <c r="C850" s="252"/>
      <c r="D850" s="253"/>
      <c r="E850" s="253"/>
      <c r="F850" s="255"/>
      <c r="G850" s="251"/>
      <c r="H850" s="159" t="s">
        <v>74</v>
      </c>
      <c r="I850" s="158">
        <v>3137985.66</v>
      </c>
      <c r="J850" s="158">
        <f>I850/D849</f>
        <v>3017</v>
      </c>
      <c r="K850" s="158">
        <v>4629</v>
      </c>
      <c r="L850" s="7"/>
      <c r="M850" s="7"/>
      <c r="N850" s="7"/>
      <c r="O850" s="7"/>
      <c r="P850" s="7"/>
      <c r="Q850" s="7"/>
      <c r="R850" s="7"/>
      <c r="S850" s="7"/>
      <c r="T850" s="7"/>
      <c r="U850" s="7"/>
      <c r="V850" s="7"/>
      <c r="W850" s="7"/>
    </row>
    <row r="851" spans="1:23" x14ac:dyDescent="0.35">
      <c r="A851" s="251">
        <v>78</v>
      </c>
      <c r="B851" s="251"/>
      <c r="C851" s="252"/>
      <c r="D851" s="253"/>
      <c r="E851" s="253"/>
      <c r="F851" s="255"/>
      <c r="G851" s="251"/>
      <c r="H851" s="159" t="s">
        <v>76</v>
      </c>
      <c r="I851" s="158">
        <v>52335.13</v>
      </c>
      <c r="J851" s="158">
        <f>I851/D849</f>
        <v>50.32</v>
      </c>
      <c r="K851" s="158">
        <v>99</v>
      </c>
      <c r="L851" s="7"/>
      <c r="M851" s="7"/>
      <c r="N851" s="7"/>
      <c r="O851" s="7"/>
      <c r="P851" s="7"/>
      <c r="Q851" s="7"/>
      <c r="R851" s="7"/>
      <c r="S851" s="7"/>
      <c r="T851" s="7"/>
      <c r="U851" s="7"/>
      <c r="V851" s="7"/>
      <c r="W851" s="7"/>
    </row>
    <row r="852" spans="1:23" x14ac:dyDescent="0.35">
      <c r="A852" s="251">
        <f>A849+1</f>
        <v>113</v>
      </c>
      <c r="B852" s="251">
        <v>3178</v>
      </c>
      <c r="C852" s="252" t="s">
        <v>384</v>
      </c>
      <c r="D852" s="253">
        <v>7031.9</v>
      </c>
      <c r="E852" s="253" t="s">
        <v>71</v>
      </c>
      <c r="F852" s="255">
        <v>5</v>
      </c>
      <c r="G852" s="251" t="s">
        <v>72</v>
      </c>
      <c r="H852" s="159" t="s">
        <v>73</v>
      </c>
      <c r="I852" s="158">
        <f>I853+I854</f>
        <v>14383585.99</v>
      </c>
      <c r="J852" s="158">
        <f>J853+J854</f>
        <v>2045.48</v>
      </c>
      <c r="K852" s="158">
        <f>K853+K854</f>
        <v>2831</v>
      </c>
      <c r="L852" s="7"/>
      <c r="M852" s="7"/>
      <c r="N852" s="7"/>
      <c r="O852" s="7"/>
      <c r="P852" s="7"/>
      <c r="Q852" s="7"/>
      <c r="R852" s="7"/>
      <c r="S852" s="7"/>
      <c r="T852" s="7"/>
      <c r="U852" s="7"/>
      <c r="V852" s="7"/>
      <c r="W852" s="7"/>
    </row>
    <row r="853" spans="1:23" x14ac:dyDescent="0.35">
      <c r="A853" s="251">
        <v>75</v>
      </c>
      <c r="B853" s="251"/>
      <c r="C853" s="252"/>
      <c r="D853" s="253"/>
      <c r="E853" s="253"/>
      <c r="F853" s="255"/>
      <c r="G853" s="251"/>
      <c r="H853" s="159" t="s">
        <v>74</v>
      </c>
      <c r="I853" s="158">
        <v>14144681.85</v>
      </c>
      <c r="J853" s="158">
        <f>I853/D852+0.01</f>
        <v>2011.51</v>
      </c>
      <c r="K853" s="158">
        <v>2772</v>
      </c>
      <c r="L853" s="7"/>
      <c r="M853" s="7"/>
      <c r="N853" s="7"/>
      <c r="O853" s="7"/>
      <c r="P853" s="7"/>
      <c r="Q853" s="7"/>
      <c r="R853" s="7"/>
      <c r="S853" s="7"/>
      <c r="T853" s="7"/>
      <c r="U853" s="7"/>
      <c r="V853" s="7"/>
      <c r="W853" s="7"/>
    </row>
    <row r="854" spans="1:23" x14ac:dyDescent="0.35">
      <c r="A854" s="251">
        <v>76</v>
      </c>
      <c r="B854" s="251"/>
      <c r="C854" s="252"/>
      <c r="D854" s="253"/>
      <c r="E854" s="253"/>
      <c r="F854" s="255"/>
      <c r="G854" s="251"/>
      <c r="H854" s="159" t="s">
        <v>76</v>
      </c>
      <c r="I854" s="158">
        <v>238904.14</v>
      </c>
      <c r="J854" s="158">
        <f>I854/D852</f>
        <v>33.97</v>
      </c>
      <c r="K854" s="158">
        <v>59</v>
      </c>
      <c r="L854" s="7"/>
      <c r="M854" s="7"/>
      <c r="N854" s="7"/>
      <c r="O854" s="7"/>
      <c r="P854" s="7"/>
      <c r="Q854" s="7"/>
      <c r="R854" s="7"/>
      <c r="S854" s="7"/>
      <c r="T854" s="7"/>
      <c r="U854" s="7"/>
      <c r="V854" s="7"/>
      <c r="W854" s="7"/>
    </row>
    <row r="855" spans="1:23" x14ac:dyDescent="0.35">
      <c r="A855" s="251">
        <f>A852+1</f>
        <v>114</v>
      </c>
      <c r="B855" s="251">
        <v>3179</v>
      </c>
      <c r="C855" s="252" t="s">
        <v>385</v>
      </c>
      <c r="D855" s="253">
        <v>2834.4</v>
      </c>
      <c r="E855" s="253" t="s">
        <v>71</v>
      </c>
      <c r="F855" s="255">
        <v>5</v>
      </c>
      <c r="G855" s="251" t="s">
        <v>72</v>
      </c>
      <c r="H855" s="159" t="s">
        <v>73</v>
      </c>
      <c r="I855" s="158">
        <f>I856+I857</f>
        <v>5798671.0700000003</v>
      </c>
      <c r="J855" s="158">
        <f>J856+J857</f>
        <v>2045.82</v>
      </c>
      <c r="K855" s="158">
        <f>K856+K857</f>
        <v>2831</v>
      </c>
      <c r="L855" s="7"/>
      <c r="M855" s="7"/>
      <c r="N855" s="7"/>
      <c r="O855" s="7"/>
      <c r="P855" s="7"/>
      <c r="Q855" s="7"/>
      <c r="R855" s="7"/>
      <c r="S855" s="7"/>
      <c r="T855" s="7"/>
      <c r="U855" s="7"/>
      <c r="V855" s="7"/>
      <c r="W855" s="7"/>
    </row>
    <row r="856" spans="1:23" x14ac:dyDescent="0.35">
      <c r="A856" s="251">
        <v>77</v>
      </c>
      <c r="B856" s="251"/>
      <c r="C856" s="252"/>
      <c r="D856" s="253"/>
      <c r="E856" s="253"/>
      <c r="F856" s="255"/>
      <c r="G856" s="251"/>
      <c r="H856" s="159" t="s">
        <v>74</v>
      </c>
      <c r="I856" s="158">
        <v>5702896.25</v>
      </c>
      <c r="J856" s="158">
        <f>I856/D855</f>
        <v>2012.03</v>
      </c>
      <c r="K856" s="158">
        <v>2772</v>
      </c>
      <c r="L856" s="7"/>
      <c r="M856" s="7"/>
      <c r="N856" s="7"/>
      <c r="O856" s="7"/>
      <c r="P856" s="7"/>
      <c r="Q856" s="7"/>
      <c r="R856" s="7"/>
      <c r="S856" s="7"/>
      <c r="T856" s="7"/>
      <c r="U856" s="7"/>
      <c r="V856" s="7"/>
      <c r="W856" s="7"/>
    </row>
    <row r="857" spans="1:23" x14ac:dyDescent="0.35">
      <c r="A857" s="251">
        <v>78</v>
      </c>
      <c r="B857" s="251"/>
      <c r="C857" s="252"/>
      <c r="D857" s="253"/>
      <c r="E857" s="253"/>
      <c r="F857" s="255"/>
      <c r="G857" s="251"/>
      <c r="H857" s="159" t="s">
        <v>76</v>
      </c>
      <c r="I857" s="158">
        <v>95774.82</v>
      </c>
      <c r="J857" s="158">
        <f>I857/D855</f>
        <v>33.79</v>
      </c>
      <c r="K857" s="158">
        <v>59</v>
      </c>
      <c r="L857" s="7"/>
      <c r="M857" s="7"/>
      <c r="N857" s="7"/>
      <c r="O857" s="7"/>
      <c r="P857" s="7"/>
      <c r="Q857" s="7"/>
      <c r="R857" s="7"/>
      <c r="S857" s="7"/>
      <c r="T857" s="7"/>
      <c r="U857" s="7"/>
      <c r="V857" s="7"/>
      <c r="W857" s="7"/>
    </row>
    <row r="858" spans="1:23" x14ac:dyDescent="0.35">
      <c r="A858" s="251">
        <f>A855+1</f>
        <v>115</v>
      </c>
      <c r="B858" s="251">
        <v>3182</v>
      </c>
      <c r="C858" s="252" t="s">
        <v>386</v>
      </c>
      <c r="D858" s="253">
        <v>3552.6</v>
      </c>
      <c r="E858" s="253" t="s">
        <v>71</v>
      </c>
      <c r="F858" s="255">
        <v>5</v>
      </c>
      <c r="G858" s="251" t="s">
        <v>72</v>
      </c>
      <c r="H858" s="159" t="s">
        <v>73</v>
      </c>
      <c r="I858" s="158">
        <f>I859+I860</f>
        <v>8031131.5599999996</v>
      </c>
      <c r="J858" s="158">
        <f>J859+J860</f>
        <v>2260.63</v>
      </c>
      <c r="K858" s="158">
        <f>K859+K860</f>
        <v>2831</v>
      </c>
      <c r="L858" s="7"/>
      <c r="M858" s="7"/>
      <c r="N858" s="7"/>
      <c r="O858" s="7"/>
      <c r="P858" s="7"/>
      <c r="Q858" s="7"/>
      <c r="R858" s="7"/>
      <c r="S858" s="7"/>
      <c r="T858" s="7"/>
      <c r="U858" s="7"/>
      <c r="V858" s="7"/>
      <c r="W858" s="7"/>
    </row>
    <row r="859" spans="1:23" x14ac:dyDescent="0.35">
      <c r="A859" s="251">
        <v>77</v>
      </c>
      <c r="B859" s="251"/>
      <c r="C859" s="252"/>
      <c r="D859" s="253"/>
      <c r="E859" s="253"/>
      <c r="F859" s="255"/>
      <c r="G859" s="251"/>
      <c r="H859" s="159" t="s">
        <v>74</v>
      </c>
      <c r="I859" s="158">
        <v>7910415.5599999996</v>
      </c>
      <c r="J859" s="158">
        <f>I859/D858-0.01</f>
        <v>2226.65</v>
      </c>
      <c r="K859" s="158">
        <v>2772</v>
      </c>
      <c r="L859" s="7"/>
      <c r="M859" s="7"/>
      <c r="N859" s="7"/>
      <c r="O859" s="7"/>
      <c r="P859" s="7"/>
      <c r="Q859" s="7"/>
      <c r="R859" s="7"/>
      <c r="S859" s="7"/>
      <c r="T859" s="7"/>
      <c r="U859" s="7"/>
      <c r="V859" s="7"/>
      <c r="W859" s="7"/>
    </row>
    <row r="860" spans="1:23" x14ac:dyDescent="0.35">
      <c r="A860" s="251">
        <v>78</v>
      </c>
      <c r="B860" s="251"/>
      <c r="C860" s="252"/>
      <c r="D860" s="253"/>
      <c r="E860" s="253"/>
      <c r="F860" s="255"/>
      <c r="G860" s="251"/>
      <c r="H860" s="159" t="s">
        <v>76</v>
      </c>
      <c r="I860" s="158">
        <v>120716</v>
      </c>
      <c r="J860" s="158">
        <f>I860/D858</f>
        <v>33.979999999999997</v>
      </c>
      <c r="K860" s="158">
        <v>59</v>
      </c>
      <c r="L860" s="7"/>
      <c r="M860" s="7"/>
      <c r="N860" s="7"/>
      <c r="O860" s="7"/>
      <c r="P860" s="7"/>
      <c r="Q860" s="7"/>
      <c r="R860" s="7"/>
      <c r="S860" s="7"/>
      <c r="T860" s="7"/>
      <c r="U860" s="7"/>
      <c r="V860" s="7"/>
      <c r="W860" s="7"/>
    </row>
    <row r="861" spans="1:23" x14ac:dyDescent="0.35">
      <c r="A861" s="251">
        <f>A858+1</f>
        <v>116</v>
      </c>
      <c r="B861" s="251">
        <v>3185</v>
      </c>
      <c r="C861" s="252" t="s">
        <v>387</v>
      </c>
      <c r="D861" s="253">
        <v>7158.6</v>
      </c>
      <c r="E861" s="253" t="s">
        <v>71</v>
      </c>
      <c r="F861" s="255">
        <v>5</v>
      </c>
      <c r="G861" s="251" t="s">
        <v>72</v>
      </c>
      <c r="H861" s="159" t="s">
        <v>73</v>
      </c>
      <c r="I861" s="158">
        <f>I862+I863</f>
        <v>18369514</v>
      </c>
      <c r="J861" s="158">
        <f>J862+J863</f>
        <v>2566.08</v>
      </c>
      <c r="K861" s="158">
        <f>K862+K863</f>
        <v>2831</v>
      </c>
      <c r="L861" s="7"/>
      <c r="M861" s="7"/>
      <c r="N861" s="7"/>
      <c r="O861" s="7"/>
      <c r="P861" s="7"/>
      <c r="Q861" s="7"/>
      <c r="R861" s="7"/>
      <c r="S861" s="7"/>
      <c r="T861" s="7"/>
      <c r="U861" s="7"/>
      <c r="V861" s="7"/>
      <c r="W861" s="7"/>
    </row>
    <row r="862" spans="1:23" x14ac:dyDescent="0.35">
      <c r="A862" s="251">
        <v>75</v>
      </c>
      <c r="B862" s="251"/>
      <c r="C862" s="252"/>
      <c r="D862" s="253"/>
      <c r="E862" s="253"/>
      <c r="F862" s="255"/>
      <c r="G862" s="251"/>
      <c r="H862" s="159" t="s">
        <v>74</v>
      </c>
      <c r="I862" s="158">
        <v>18099785.18</v>
      </c>
      <c r="J862" s="158">
        <f>I862/D861</f>
        <v>2528.4</v>
      </c>
      <c r="K862" s="158">
        <v>2772</v>
      </c>
      <c r="L862" s="7"/>
      <c r="M862" s="7"/>
      <c r="N862" s="7"/>
      <c r="O862" s="7"/>
      <c r="P862" s="7"/>
      <c r="Q862" s="7"/>
      <c r="R862" s="7"/>
      <c r="S862" s="7"/>
      <c r="T862" s="7"/>
      <c r="U862" s="7"/>
      <c r="V862" s="7"/>
      <c r="W862" s="7"/>
    </row>
    <row r="863" spans="1:23" x14ac:dyDescent="0.35">
      <c r="A863" s="251">
        <v>76</v>
      </c>
      <c r="B863" s="251"/>
      <c r="C863" s="252"/>
      <c r="D863" s="253"/>
      <c r="E863" s="253"/>
      <c r="F863" s="255"/>
      <c r="G863" s="251"/>
      <c r="H863" s="159" t="s">
        <v>76</v>
      </c>
      <c r="I863" s="158">
        <v>269728.82</v>
      </c>
      <c r="J863" s="158">
        <f>I863/D861</f>
        <v>37.68</v>
      </c>
      <c r="K863" s="158">
        <v>59</v>
      </c>
      <c r="L863" s="7"/>
      <c r="M863" s="7"/>
      <c r="N863" s="7"/>
      <c r="O863" s="7"/>
      <c r="P863" s="7"/>
      <c r="Q863" s="7"/>
      <c r="R863" s="7"/>
      <c r="S863" s="7"/>
      <c r="T863" s="7"/>
      <c r="U863" s="7"/>
      <c r="V863" s="7"/>
      <c r="W863" s="7"/>
    </row>
    <row r="864" spans="1:23" x14ac:dyDescent="0.35">
      <c r="A864" s="251">
        <f>A861+1</f>
        <v>117</v>
      </c>
      <c r="B864" s="251">
        <v>3138</v>
      </c>
      <c r="C864" s="252" t="s">
        <v>388</v>
      </c>
      <c r="D864" s="253">
        <v>3244</v>
      </c>
      <c r="E864" s="253" t="s">
        <v>71</v>
      </c>
      <c r="F864" s="255">
        <v>5</v>
      </c>
      <c r="G864" s="251" t="s">
        <v>72</v>
      </c>
      <c r="H864" s="159" t="s">
        <v>73</v>
      </c>
      <c r="I864" s="158">
        <f>I865+I866</f>
        <v>3206403.31</v>
      </c>
      <c r="J864" s="158">
        <f>J865+J866</f>
        <v>988.41</v>
      </c>
      <c r="K864" s="158">
        <f>K865+K866</f>
        <v>2936</v>
      </c>
      <c r="L864" s="7"/>
      <c r="M864" s="7"/>
      <c r="N864" s="7"/>
      <c r="O864" s="7"/>
      <c r="P864" s="7"/>
      <c r="Q864" s="7"/>
      <c r="R864" s="7"/>
      <c r="S864" s="7"/>
      <c r="T864" s="7"/>
      <c r="U864" s="7"/>
      <c r="V864" s="7"/>
      <c r="W864" s="7"/>
    </row>
    <row r="865" spans="1:23" ht="46.5" x14ac:dyDescent="0.35">
      <c r="A865" s="251">
        <v>75</v>
      </c>
      <c r="B865" s="251"/>
      <c r="C865" s="252"/>
      <c r="D865" s="253"/>
      <c r="E865" s="253"/>
      <c r="F865" s="255"/>
      <c r="G865" s="251"/>
      <c r="H865" s="159" t="s">
        <v>705</v>
      </c>
      <c r="I865" s="158">
        <v>508692.91</v>
      </c>
      <c r="J865" s="158">
        <f>I865/D864</f>
        <v>156.81</v>
      </c>
      <c r="K865" s="158">
        <f>151+13</f>
        <v>164</v>
      </c>
      <c r="L865" s="7"/>
      <c r="M865" s="7"/>
      <c r="N865" s="7"/>
      <c r="O865" s="7"/>
      <c r="P865" s="7"/>
      <c r="Q865" s="7"/>
      <c r="R865" s="7"/>
      <c r="S865" s="7"/>
      <c r="T865" s="7"/>
      <c r="U865" s="7"/>
      <c r="V865" s="7"/>
      <c r="W865" s="7"/>
    </row>
    <row r="866" spans="1:23" x14ac:dyDescent="0.35">
      <c r="A866" s="251">
        <v>77</v>
      </c>
      <c r="B866" s="251"/>
      <c r="C866" s="252"/>
      <c r="D866" s="253"/>
      <c r="E866" s="253"/>
      <c r="F866" s="255"/>
      <c r="G866" s="251"/>
      <c r="H866" s="159" t="s">
        <v>74</v>
      </c>
      <c r="I866" s="158">
        <f>K866*D864*0.3</f>
        <v>2697710.4</v>
      </c>
      <c r="J866" s="158">
        <f>I866/D864</f>
        <v>831.6</v>
      </c>
      <c r="K866" s="158">
        <v>2772</v>
      </c>
      <c r="L866" s="7"/>
      <c r="M866" s="7"/>
      <c r="N866" s="7"/>
      <c r="O866" s="7"/>
      <c r="P866" s="7"/>
      <c r="Q866" s="7"/>
      <c r="R866" s="7"/>
      <c r="S866" s="7"/>
      <c r="T866" s="7"/>
      <c r="U866" s="7"/>
      <c r="V866" s="7"/>
      <c r="W866" s="7"/>
    </row>
    <row r="867" spans="1:23" x14ac:dyDescent="0.35">
      <c r="A867" s="256">
        <f>A864+1</f>
        <v>118</v>
      </c>
      <c r="B867" s="256">
        <v>3139</v>
      </c>
      <c r="C867" s="259" t="s">
        <v>389</v>
      </c>
      <c r="D867" s="262">
        <v>3270</v>
      </c>
      <c r="E867" s="262" t="s">
        <v>71</v>
      </c>
      <c r="F867" s="265">
        <v>5</v>
      </c>
      <c r="G867" s="256" t="s">
        <v>72</v>
      </c>
      <c r="H867" s="159" t="s">
        <v>73</v>
      </c>
      <c r="I867" s="158">
        <f>I868+I869</f>
        <v>3255612</v>
      </c>
      <c r="J867" s="158">
        <f>J868+J869</f>
        <v>995.6</v>
      </c>
      <c r="K867" s="158">
        <f>K868+K869</f>
        <v>2936</v>
      </c>
      <c r="L867" s="7"/>
      <c r="M867" s="7"/>
      <c r="N867" s="7"/>
      <c r="O867" s="7"/>
      <c r="P867" s="7"/>
      <c r="Q867" s="7"/>
      <c r="R867" s="7"/>
      <c r="S867" s="7"/>
      <c r="T867" s="7"/>
      <c r="U867" s="7"/>
      <c r="V867" s="7"/>
      <c r="W867" s="7"/>
    </row>
    <row r="868" spans="1:23" ht="46.5" x14ac:dyDescent="0.35">
      <c r="A868" s="257"/>
      <c r="B868" s="257"/>
      <c r="C868" s="260"/>
      <c r="D868" s="263"/>
      <c r="E868" s="263"/>
      <c r="F868" s="266"/>
      <c r="G868" s="257"/>
      <c r="H868" s="159" t="s">
        <v>705</v>
      </c>
      <c r="I868" s="158">
        <f>493770+D867*13</f>
        <v>536280</v>
      </c>
      <c r="J868" s="158">
        <f>I868/D867</f>
        <v>164</v>
      </c>
      <c r="K868" s="158">
        <f>151+13</f>
        <v>164</v>
      </c>
      <c r="L868" s="7"/>
      <c r="M868" s="7"/>
      <c r="N868" s="7"/>
      <c r="O868" s="7"/>
      <c r="P868" s="7"/>
      <c r="Q868" s="7"/>
      <c r="R868" s="7"/>
      <c r="S868" s="7"/>
      <c r="T868" s="7"/>
      <c r="U868" s="7"/>
      <c r="V868" s="7"/>
      <c r="W868" s="7"/>
    </row>
    <row r="869" spans="1:23" x14ac:dyDescent="0.35">
      <c r="A869" s="258"/>
      <c r="B869" s="258"/>
      <c r="C869" s="261"/>
      <c r="D869" s="264"/>
      <c r="E869" s="264"/>
      <c r="F869" s="267"/>
      <c r="G869" s="258"/>
      <c r="H869" s="159" t="s">
        <v>74</v>
      </c>
      <c r="I869" s="158">
        <f>K869*D867*0.3</f>
        <v>2719332</v>
      </c>
      <c r="J869" s="158">
        <f>I869/D867</f>
        <v>831.6</v>
      </c>
      <c r="K869" s="158">
        <v>2772</v>
      </c>
      <c r="L869" s="7"/>
      <c r="M869" s="7"/>
      <c r="N869" s="7"/>
      <c r="O869" s="7"/>
      <c r="P869" s="7"/>
      <c r="Q869" s="7"/>
      <c r="R869" s="7"/>
      <c r="S869" s="7"/>
      <c r="T869" s="7"/>
      <c r="U869" s="7"/>
      <c r="V869" s="7"/>
      <c r="W869" s="7"/>
    </row>
    <row r="870" spans="1:23" x14ac:dyDescent="0.35">
      <c r="A870" s="256">
        <f>A867+1</f>
        <v>119</v>
      </c>
      <c r="B870" s="256">
        <v>3140</v>
      </c>
      <c r="C870" s="259" t="s">
        <v>390</v>
      </c>
      <c r="D870" s="262">
        <v>3278</v>
      </c>
      <c r="E870" s="262" t="s">
        <v>71</v>
      </c>
      <c r="F870" s="265">
        <v>5</v>
      </c>
      <c r="G870" s="256" t="s">
        <v>72</v>
      </c>
      <c r="H870" s="159" t="s">
        <v>73</v>
      </c>
      <c r="I870" s="158">
        <f>I871+I872</f>
        <v>3260428.43</v>
      </c>
      <c r="J870" s="158">
        <f>J871+J872</f>
        <v>994.64</v>
      </c>
      <c r="K870" s="158">
        <f>K871+K872</f>
        <v>2936</v>
      </c>
      <c r="L870" s="7"/>
      <c r="M870" s="7"/>
      <c r="N870" s="7"/>
      <c r="O870" s="7"/>
      <c r="P870" s="7"/>
      <c r="Q870" s="7"/>
      <c r="R870" s="7"/>
      <c r="S870" s="7"/>
      <c r="T870" s="7"/>
      <c r="U870" s="7"/>
      <c r="V870" s="7"/>
      <c r="W870" s="7"/>
    </row>
    <row r="871" spans="1:23" ht="46.5" x14ac:dyDescent="0.35">
      <c r="A871" s="257"/>
      <c r="B871" s="257"/>
      <c r="C871" s="260"/>
      <c r="D871" s="263"/>
      <c r="E871" s="263"/>
      <c r="F871" s="266"/>
      <c r="G871" s="257"/>
      <c r="H871" s="159" t="s">
        <v>705</v>
      </c>
      <c r="I871" s="158">
        <f>491829.63+D870*13</f>
        <v>534443.63</v>
      </c>
      <c r="J871" s="158">
        <f>I871/D870</f>
        <v>163.04</v>
      </c>
      <c r="K871" s="158">
        <f>151+13</f>
        <v>164</v>
      </c>
      <c r="L871" s="7"/>
      <c r="M871" s="7"/>
      <c r="N871" s="7"/>
      <c r="O871" s="7"/>
      <c r="P871" s="7"/>
      <c r="Q871" s="7"/>
      <c r="R871" s="7"/>
      <c r="S871" s="7"/>
      <c r="T871" s="7"/>
      <c r="U871" s="7"/>
      <c r="V871" s="7"/>
      <c r="W871" s="7"/>
    </row>
    <row r="872" spans="1:23" x14ac:dyDescent="0.35">
      <c r="A872" s="258"/>
      <c r="B872" s="258"/>
      <c r="C872" s="261"/>
      <c r="D872" s="264"/>
      <c r="E872" s="264"/>
      <c r="F872" s="267"/>
      <c r="G872" s="258"/>
      <c r="H872" s="159" t="s">
        <v>74</v>
      </c>
      <c r="I872" s="158">
        <f>K872*D870*0.3</f>
        <v>2725984.8</v>
      </c>
      <c r="J872" s="158">
        <f>I872/D870</f>
        <v>831.6</v>
      </c>
      <c r="K872" s="158">
        <v>2772</v>
      </c>
      <c r="L872" s="7"/>
      <c r="M872" s="7"/>
      <c r="N872" s="7"/>
      <c r="O872" s="7"/>
      <c r="P872" s="7"/>
      <c r="Q872" s="7"/>
      <c r="R872" s="7"/>
      <c r="S872" s="7"/>
      <c r="T872" s="7"/>
      <c r="U872" s="7"/>
      <c r="V872" s="7"/>
      <c r="W872" s="7"/>
    </row>
    <row r="873" spans="1:23" x14ac:dyDescent="0.35">
      <c r="A873" s="251">
        <f>A870+1</f>
        <v>120</v>
      </c>
      <c r="B873" s="251">
        <v>3192</v>
      </c>
      <c r="C873" s="252" t="s">
        <v>391</v>
      </c>
      <c r="D873" s="253">
        <v>5806.9</v>
      </c>
      <c r="E873" s="253" t="s">
        <v>71</v>
      </c>
      <c r="F873" s="255">
        <v>5</v>
      </c>
      <c r="G873" s="251" t="s">
        <v>72</v>
      </c>
      <c r="H873" s="159" t="s">
        <v>73</v>
      </c>
      <c r="I873" s="158">
        <f>I874+I875</f>
        <v>5732656.8600000003</v>
      </c>
      <c r="J873" s="158">
        <f>J874+J875</f>
        <v>987.21</v>
      </c>
      <c r="K873" s="158">
        <f>K874+K875</f>
        <v>2936</v>
      </c>
      <c r="L873" s="7"/>
      <c r="M873" s="7"/>
      <c r="N873" s="7"/>
      <c r="O873" s="7"/>
      <c r="P873" s="7"/>
      <c r="Q873" s="7"/>
      <c r="R873" s="7"/>
      <c r="S873" s="7"/>
      <c r="T873" s="7"/>
      <c r="U873" s="7"/>
      <c r="V873" s="7"/>
      <c r="W873" s="7"/>
    </row>
    <row r="874" spans="1:23" ht="46.5" x14ac:dyDescent="0.35">
      <c r="A874" s="251">
        <v>75</v>
      </c>
      <c r="B874" s="251"/>
      <c r="C874" s="252"/>
      <c r="D874" s="253"/>
      <c r="E874" s="253"/>
      <c r="F874" s="255"/>
      <c r="G874" s="251"/>
      <c r="H874" s="159" t="s">
        <v>705</v>
      </c>
      <c r="I874" s="158">
        <f>828149.12+D873*13</f>
        <v>903638.82</v>
      </c>
      <c r="J874" s="158">
        <f>I874/D873</f>
        <v>155.61000000000001</v>
      </c>
      <c r="K874" s="158">
        <f>151+13</f>
        <v>164</v>
      </c>
      <c r="L874" s="7"/>
      <c r="M874" s="7"/>
      <c r="N874" s="7"/>
      <c r="O874" s="7"/>
      <c r="P874" s="7"/>
      <c r="Q874" s="7"/>
      <c r="R874" s="7"/>
      <c r="S874" s="7"/>
      <c r="T874" s="7"/>
      <c r="U874" s="7"/>
      <c r="V874" s="7"/>
      <c r="W874" s="7"/>
    </row>
    <row r="875" spans="1:23" x14ac:dyDescent="0.35">
      <c r="A875" s="251">
        <v>77</v>
      </c>
      <c r="B875" s="251"/>
      <c r="C875" s="252"/>
      <c r="D875" s="253"/>
      <c r="E875" s="253"/>
      <c r="F875" s="255"/>
      <c r="G875" s="251"/>
      <c r="H875" s="159" t="s">
        <v>74</v>
      </c>
      <c r="I875" s="158">
        <f>K875*D873*0.3</f>
        <v>4829018.04</v>
      </c>
      <c r="J875" s="158">
        <f>I875/D873</f>
        <v>831.6</v>
      </c>
      <c r="K875" s="158">
        <v>2772</v>
      </c>
      <c r="L875" s="7"/>
      <c r="M875" s="7"/>
      <c r="N875" s="7"/>
      <c r="O875" s="7"/>
      <c r="P875" s="7"/>
      <c r="Q875" s="7"/>
      <c r="R875" s="7"/>
      <c r="S875" s="7"/>
      <c r="T875" s="7"/>
      <c r="U875" s="7"/>
      <c r="V875" s="7"/>
      <c r="W875" s="7"/>
    </row>
    <row r="876" spans="1:23" x14ac:dyDescent="0.35">
      <c r="A876" s="251">
        <f>A873+1</f>
        <v>121</v>
      </c>
      <c r="B876" s="251">
        <v>4350</v>
      </c>
      <c r="C876" s="252" t="s">
        <v>392</v>
      </c>
      <c r="D876" s="253">
        <v>3201.6</v>
      </c>
      <c r="E876" s="253" t="s">
        <v>75</v>
      </c>
      <c r="F876" s="255">
        <v>5</v>
      </c>
      <c r="G876" s="251" t="s">
        <v>72</v>
      </c>
      <c r="H876" s="159" t="s">
        <v>73</v>
      </c>
      <c r="I876" s="158">
        <f>I877+I878</f>
        <v>6185776.1200000001</v>
      </c>
      <c r="J876" s="158">
        <f>J877+J878</f>
        <v>1932.09</v>
      </c>
      <c r="K876" s="158">
        <f>K877+K878</f>
        <v>2831</v>
      </c>
      <c r="L876" s="7"/>
      <c r="M876" s="7"/>
      <c r="N876" s="7"/>
      <c r="O876" s="7"/>
      <c r="P876" s="7"/>
      <c r="Q876" s="7"/>
      <c r="R876" s="7"/>
      <c r="S876" s="7"/>
      <c r="T876" s="7"/>
      <c r="U876" s="7"/>
      <c r="V876" s="7"/>
      <c r="W876" s="7"/>
    </row>
    <row r="877" spans="1:23" x14ac:dyDescent="0.35">
      <c r="A877" s="251">
        <v>77</v>
      </c>
      <c r="B877" s="251"/>
      <c r="C877" s="252"/>
      <c r="D877" s="253"/>
      <c r="E877" s="253"/>
      <c r="F877" s="255"/>
      <c r="G877" s="251"/>
      <c r="H877" s="159" t="s">
        <v>74</v>
      </c>
      <c r="I877" s="158">
        <v>6097515</v>
      </c>
      <c r="J877" s="158">
        <f>I877/D876</f>
        <v>1904.52</v>
      </c>
      <c r="K877" s="158">
        <v>2772</v>
      </c>
      <c r="L877" s="7"/>
      <c r="M877" s="7"/>
      <c r="N877" s="7"/>
      <c r="O877" s="7"/>
      <c r="P877" s="7"/>
      <c r="Q877" s="7"/>
      <c r="R877" s="7"/>
      <c r="S877" s="7"/>
      <c r="T877" s="7"/>
      <c r="U877" s="7"/>
      <c r="V877" s="7"/>
      <c r="W877" s="7"/>
    </row>
    <row r="878" spans="1:23" x14ac:dyDescent="0.35">
      <c r="A878" s="251">
        <v>78</v>
      </c>
      <c r="B878" s="251"/>
      <c r="C878" s="252"/>
      <c r="D878" s="253"/>
      <c r="E878" s="253"/>
      <c r="F878" s="255"/>
      <c r="G878" s="251"/>
      <c r="H878" s="159" t="s">
        <v>76</v>
      </c>
      <c r="I878" s="158">
        <v>88261.119999999995</v>
      </c>
      <c r="J878" s="158">
        <f>I878/D876</f>
        <v>27.57</v>
      </c>
      <c r="K878" s="158">
        <v>59</v>
      </c>
      <c r="L878" s="7"/>
      <c r="M878" s="7"/>
      <c r="N878" s="7"/>
      <c r="O878" s="7"/>
      <c r="P878" s="7"/>
      <c r="Q878" s="7"/>
      <c r="R878" s="7"/>
      <c r="S878" s="7"/>
      <c r="T878" s="7"/>
      <c r="U878" s="7"/>
      <c r="V878" s="7"/>
      <c r="W878" s="7"/>
    </row>
    <row r="879" spans="1:23" ht="15.75" customHeight="1" x14ac:dyDescent="0.35">
      <c r="A879" s="256">
        <f>A876+1</f>
        <v>122</v>
      </c>
      <c r="B879" s="256">
        <v>3389</v>
      </c>
      <c r="C879" s="259" t="s">
        <v>393</v>
      </c>
      <c r="D879" s="262">
        <v>1631.17</v>
      </c>
      <c r="E879" s="262" t="s">
        <v>80</v>
      </c>
      <c r="F879" s="265">
        <v>3</v>
      </c>
      <c r="G879" s="251" t="s">
        <v>72</v>
      </c>
      <c r="H879" s="159" t="s">
        <v>73</v>
      </c>
      <c r="I879" s="158">
        <f>I880+I881</f>
        <v>3682203.18</v>
      </c>
      <c r="J879" s="158">
        <f>J880+J881</f>
        <v>2257.4</v>
      </c>
      <c r="K879" s="158">
        <f>K880+K881</f>
        <v>4728</v>
      </c>
      <c r="L879" s="7"/>
      <c r="M879" s="7"/>
      <c r="N879" s="7"/>
      <c r="O879" s="7"/>
      <c r="P879" s="7"/>
      <c r="Q879" s="7"/>
      <c r="R879" s="7"/>
      <c r="S879" s="7"/>
      <c r="T879" s="7"/>
      <c r="U879" s="7"/>
      <c r="V879" s="7"/>
      <c r="W879" s="7"/>
    </row>
    <row r="880" spans="1:23" x14ac:dyDescent="0.35">
      <c r="A880" s="257"/>
      <c r="B880" s="257"/>
      <c r="C880" s="260"/>
      <c r="D880" s="263"/>
      <c r="E880" s="263"/>
      <c r="F880" s="266"/>
      <c r="G880" s="251"/>
      <c r="H880" s="159" t="s">
        <v>74</v>
      </c>
      <c r="I880" s="158">
        <v>3605055</v>
      </c>
      <c r="J880" s="158">
        <f>I880/D879</f>
        <v>2210.1</v>
      </c>
      <c r="K880" s="158">
        <v>4629</v>
      </c>
      <c r="L880" s="7"/>
      <c r="M880" s="7"/>
      <c r="N880" s="7"/>
      <c r="O880" s="7"/>
      <c r="P880" s="7"/>
      <c r="Q880" s="7"/>
      <c r="R880" s="7"/>
      <c r="S880" s="7"/>
      <c r="T880" s="7"/>
      <c r="U880" s="7"/>
      <c r="V880" s="7"/>
      <c r="W880" s="7"/>
    </row>
    <row r="881" spans="1:23" x14ac:dyDescent="0.35">
      <c r="A881" s="257"/>
      <c r="B881" s="257"/>
      <c r="C881" s="260"/>
      <c r="D881" s="263"/>
      <c r="E881" s="263"/>
      <c r="F881" s="266"/>
      <c r="G881" s="251"/>
      <c r="H881" s="159" t="s">
        <v>76</v>
      </c>
      <c r="I881" s="158">
        <v>77148.179999999993</v>
      </c>
      <c r="J881" s="158">
        <f>I881/D879</f>
        <v>47.3</v>
      </c>
      <c r="K881" s="158">
        <v>99</v>
      </c>
      <c r="L881" s="7"/>
      <c r="M881" s="7"/>
      <c r="N881" s="7"/>
      <c r="O881" s="7"/>
      <c r="P881" s="7"/>
      <c r="Q881" s="7"/>
      <c r="R881" s="7"/>
      <c r="S881" s="7"/>
      <c r="T881" s="7"/>
      <c r="U881" s="7"/>
      <c r="V881" s="7"/>
      <c r="W881" s="7"/>
    </row>
    <row r="882" spans="1:23" ht="15.75" customHeight="1" x14ac:dyDescent="0.35">
      <c r="A882" s="251">
        <f>A879+1</f>
        <v>123</v>
      </c>
      <c r="B882" s="251">
        <v>3147</v>
      </c>
      <c r="C882" s="252" t="s">
        <v>397</v>
      </c>
      <c r="D882" s="253">
        <v>7160</v>
      </c>
      <c r="E882" s="253" t="s">
        <v>71</v>
      </c>
      <c r="F882" s="255">
        <v>9</v>
      </c>
      <c r="G882" s="123"/>
      <c r="H882" s="159" t="s">
        <v>73</v>
      </c>
      <c r="I882" s="158">
        <f>SUM(I883:I894)</f>
        <v>6776380.8300000001</v>
      </c>
      <c r="J882" s="158">
        <f>SUM(J883:J894)</f>
        <v>946.42</v>
      </c>
      <c r="K882" s="158">
        <f>SUM(K883:K894)</f>
        <v>988.81</v>
      </c>
      <c r="L882" s="7"/>
      <c r="M882" s="7"/>
      <c r="N882" s="7"/>
      <c r="O882" s="7"/>
      <c r="P882" s="7"/>
      <c r="Q882" s="7"/>
      <c r="R882" s="7"/>
      <c r="S882" s="7"/>
      <c r="T882" s="7"/>
      <c r="U882" s="7"/>
      <c r="V882" s="7"/>
      <c r="W882" s="7"/>
    </row>
    <row r="883" spans="1:23" ht="31" x14ac:dyDescent="0.35">
      <c r="A883" s="251"/>
      <c r="B883" s="251"/>
      <c r="C883" s="252"/>
      <c r="D883" s="253"/>
      <c r="E883" s="253"/>
      <c r="F883" s="255"/>
      <c r="G883" s="256" t="s">
        <v>673</v>
      </c>
      <c r="H883" s="159" t="s">
        <v>666</v>
      </c>
      <c r="I883" s="158">
        <v>0</v>
      </c>
      <c r="J883" s="158">
        <v>0</v>
      </c>
      <c r="K883" s="158">
        <f>24580/D882-0.01</f>
        <v>3.42</v>
      </c>
      <c r="L883" s="7"/>
      <c r="M883" s="7"/>
      <c r="N883" s="7"/>
      <c r="O883" s="7"/>
      <c r="P883" s="7"/>
      <c r="Q883" s="7"/>
      <c r="R883" s="7"/>
      <c r="S883" s="7"/>
      <c r="T883" s="7"/>
      <c r="U883" s="7"/>
      <c r="V883" s="7"/>
      <c r="W883" s="7"/>
    </row>
    <row r="884" spans="1:23" x14ac:dyDescent="0.35">
      <c r="A884" s="251">
        <v>756</v>
      </c>
      <c r="B884" s="251"/>
      <c r="C884" s="252"/>
      <c r="D884" s="253"/>
      <c r="E884" s="253"/>
      <c r="F884" s="255"/>
      <c r="G884" s="257"/>
      <c r="H884" s="159" t="s">
        <v>674</v>
      </c>
      <c r="I884" s="158">
        <v>1698030.39</v>
      </c>
      <c r="J884" s="158">
        <f>I884/D882</f>
        <v>237.16</v>
      </c>
      <c r="K884" s="158">
        <f>1708823/D882+0.01</f>
        <v>238.67</v>
      </c>
      <c r="L884" s="7"/>
      <c r="M884" s="7"/>
      <c r="N884" s="7"/>
      <c r="O884" s="7"/>
      <c r="P884" s="7"/>
      <c r="Q884" s="7"/>
      <c r="R884" s="7"/>
      <c r="S884" s="7"/>
      <c r="T884" s="7"/>
      <c r="U884" s="7"/>
      <c r="V884" s="7"/>
      <c r="W884" s="7"/>
    </row>
    <row r="885" spans="1:23" x14ac:dyDescent="0.35">
      <c r="A885" s="251">
        <v>757</v>
      </c>
      <c r="B885" s="251"/>
      <c r="C885" s="252"/>
      <c r="D885" s="253"/>
      <c r="E885" s="253"/>
      <c r="F885" s="255"/>
      <c r="G885" s="258"/>
      <c r="H885" s="159" t="s">
        <v>76</v>
      </c>
      <c r="I885" s="158">
        <v>21941.4</v>
      </c>
      <c r="J885" s="158">
        <f>I885/D882</f>
        <v>3.06</v>
      </c>
      <c r="K885" s="158">
        <f>36569/D882</f>
        <v>5.1100000000000003</v>
      </c>
      <c r="L885" s="7"/>
      <c r="M885" s="7"/>
      <c r="N885" s="7"/>
      <c r="O885" s="7"/>
      <c r="P885" s="7"/>
      <c r="Q885" s="7"/>
      <c r="R885" s="7"/>
      <c r="S885" s="7"/>
      <c r="T885" s="7"/>
      <c r="U885" s="7"/>
      <c r="V885" s="7"/>
      <c r="W885" s="7"/>
    </row>
    <row r="886" spans="1:23" ht="31" x14ac:dyDescent="0.35">
      <c r="A886" s="251"/>
      <c r="B886" s="251"/>
      <c r="C886" s="252"/>
      <c r="D886" s="253"/>
      <c r="E886" s="253"/>
      <c r="F886" s="255"/>
      <c r="G886" s="256" t="s">
        <v>679</v>
      </c>
      <c r="H886" s="159" t="s">
        <v>666</v>
      </c>
      <c r="I886" s="158">
        <v>0</v>
      </c>
      <c r="J886" s="158">
        <v>0</v>
      </c>
      <c r="K886" s="158">
        <f>24580/D882-0.01</f>
        <v>3.42</v>
      </c>
      <c r="L886" s="7"/>
      <c r="M886" s="7"/>
      <c r="N886" s="7"/>
      <c r="O886" s="7"/>
      <c r="P886" s="7"/>
      <c r="Q886" s="7"/>
      <c r="R886" s="7"/>
      <c r="S886" s="7"/>
      <c r="T886" s="7"/>
      <c r="U886" s="7"/>
      <c r="V886" s="7"/>
      <c r="W886" s="7"/>
    </row>
    <row r="887" spans="1:23" x14ac:dyDescent="0.35">
      <c r="A887" s="251"/>
      <c r="B887" s="251"/>
      <c r="C887" s="252"/>
      <c r="D887" s="253"/>
      <c r="E887" s="253"/>
      <c r="F887" s="255"/>
      <c r="G887" s="257"/>
      <c r="H887" s="159" t="s">
        <v>674</v>
      </c>
      <c r="I887" s="158">
        <v>1663528.28</v>
      </c>
      <c r="J887" s="158">
        <f>I887/D882</f>
        <v>232.34</v>
      </c>
      <c r="K887" s="158">
        <f>1708823/D882+0.01</f>
        <v>238.67</v>
      </c>
      <c r="L887" s="7"/>
      <c r="M887" s="7"/>
      <c r="N887" s="7"/>
      <c r="O887" s="7"/>
      <c r="P887" s="7"/>
      <c r="Q887" s="7"/>
      <c r="R887" s="7"/>
      <c r="S887" s="7"/>
      <c r="T887" s="7"/>
      <c r="U887" s="7"/>
      <c r="V887" s="7"/>
      <c r="W887" s="7"/>
    </row>
    <row r="888" spans="1:23" x14ac:dyDescent="0.35">
      <c r="A888" s="251"/>
      <c r="B888" s="251"/>
      <c r="C888" s="252"/>
      <c r="D888" s="253"/>
      <c r="E888" s="253"/>
      <c r="F888" s="255"/>
      <c r="G888" s="258"/>
      <c r="H888" s="159" t="s">
        <v>76</v>
      </c>
      <c r="I888" s="158">
        <v>21941.4</v>
      </c>
      <c r="J888" s="158">
        <f>I888/D882</f>
        <v>3.06</v>
      </c>
      <c r="K888" s="158">
        <f>36569/D882</f>
        <v>5.1100000000000003</v>
      </c>
      <c r="L888" s="7"/>
      <c r="M888" s="7"/>
      <c r="N888" s="7"/>
      <c r="O888" s="7"/>
      <c r="P888" s="7"/>
      <c r="Q888" s="7"/>
      <c r="R888" s="7"/>
      <c r="S888" s="7"/>
      <c r="T888" s="7"/>
      <c r="U888" s="7"/>
      <c r="V888" s="7"/>
      <c r="W888" s="7"/>
    </row>
    <row r="889" spans="1:23" ht="31" x14ac:dyDescent="0.35">
      <c r="A889" s="251"/>
      <c r="B889" s="251"/>
      <c r="C889" s="252"/>
      <c r="D889" s="253"/>
      <c r="E889" s="253"/>
      <c r="F889" s="255"/>
      <c r="G889" s="256" t="s">
        <v>680</v>
      </c>
      <c r="H889" s="159" t="s">
        <v>666</v>
      </c>
      <c r="I889" s="158">
        <v>0</v>
      </c>
      <c r="J889" s="158">
        <v>0</v>
      </c>
      <c r="K889" s="158">
        <f>24580/D882</f>
        <v>3.43</v>
      </c>
      <c r="L889" s="7"/>
      <c r="M889" s="7"/>
      <c r="N889" s="7"/>
      <c r="O889" s="7"/>
      <c r="P889" s="7"/>
      <c r="Q889" s="7"/>
      <c r="R889" s="7"/>
      <c r="S889" s="7"/>
      <c r="T889" s="7"/>
      <c r="U889" s="7"/>
      <c r="V889" s="7"/>
      <c r="W889" s="7"/>
    </row>
    <row r="890" spans="1:23" x14ac:dyDescent="0.35">
      <c r="A890" s="251"/>
      <c r="B890" s="251"/>
      <c r="C890" s="252"/>
      <c r="D890" s="253"/>
      <c r="E890" s="253"/>
      <c r="F890" s="255"/>
      <c r="G890" s="257"/>
      <c r="H890" s="159" t="s">
        <v>674</v>
      </c>
      <c r="I890" s="158">
        <v>1663528.28</v>
      </c>
      <c r="J890" s="158">
        <f>I890/D882</f>
        <v>232.34</v>
      </c>
      <c r="K890" s="158">
        <f>1708823/D882+0.01</f>
        <v>238.67</v>
      </c>
      <c r="L890" s="7"/>
      <c r="M890" s="7"/>
      <c r="N890" s="7"/>
      <c r="O890" s="7"/>
      <c r="P890" s="7"/>
      <c r="Q890" s="7"/>
      <c r="R890" s="7"/>
      <c r="S890" s="7"/>
      <c r="T890" s="7"/>
      <c r="U890" s="7"/>
      <c r="V890" s="7"/>
      <c r="W890" s="7"/>
    </row>
    <row r="891" spans="1:23" x14ac:dyDescent="0.35">
      <c r="A891" s="251"/>
      <c r="B891" s="251"/>
      <c r="C891" s="252"/>
      <c r="D891" s="253"/>
      <c r="E891" s="253"/>
      <c r="F891" s="255"/>
      <c r="G891" s="258"/>
      <c r="H891" s="159" t="s">
        <v>76</v>
      </c>
      <c r="I891" s="158">
        <v>21941.4</v>
      </c>
      <c r="J891" s="158">
        <f>I891/D882</f>
        <v>3.06</v>
      </c>
      <c r="K891" s="158">
        <f>36569/D882</f>
        <v>5.1100000000000003</v>
      </c>
      <c r="L891" s="7"/>
      <c r="M891" s="7"/>
      <c r="N891" s="7"/>
      <c r="O891" s="7"/>
      <c r="P891" s="7"/>
      <c r="Q891" s="7"/>
      <c r="R891" s="7"/>
      <c r="S891" s="7"/>
      <c r="T891" s="7"/>
      <c r="U891" s="7"/>
      <c r="V891" s="7"/>
      <c r="W891" s="7"/>
    </row>
    <row r="892" spans="1:23" ht="31" x14ac:dyDescent="0.35">
      <c r="A892" s="251"/>
      <c r="B892" s="251"/>
      <c r="C892" s="252"/>
      <c r="D892" s="253"/>
      <c r="E892" s="253"/>
      <c r="F892" s="255"/>
      <c r="G892" s="256" t="s">
        <v>681</v>
      </c>
      <c r="H892" s="159" t="s">
        <v>666</v>
      </c>
      <c r="I892" s="158">
        <v>0</v>
      </c>
      <c r="J892" s="158">
        <v>0</v>
      </c>
      <c r="K892" s="158">
        <f>24580/D882</f>
        <v>3.43</v>
      </c>
      <c r="L892" s="7"/>
      <c r="M892" s="7"/>
      <c r="N892" s="7"/>
      <c r="O892" s="7"/>
      <c r="P892" s="7"/>
      <c r="Q892" s="7"/>
      <c r="R892" s="7"/>
      <c r="S892" s="7"/>
      <c r="T892" s="7"/>
      <c r="U892" s="7"/>
      <c r="V892" s="7"/>
      <c r="W892" s="7"/>
    </row>
    <row r="893" spans="1:23" x14ac:dyDescent="0.35">
      <c r="A893" s="251"/>
      <c r="B893" s="251"/>
      <c r="C893" s="252"/>
      <c r="D893" s="253"/>
      <c r="E893" s="253"/>
      <c r="F893" s="255"/>
      <c r="G893" s="257"/>
      <c r="H893" s="159" t="s">
        <v>674</v>
      </c>
      <c r="I893" s="158">
        <v>1663528.28</v>
      </c>
      <c r="J893" s="158">
        <f>I893/D882</f>
        <v>232.34</v>
      </c>
      <c r="K893" s="158">
        <f>1708823/D882</f>
        <v>238.66</v>
      </c>
      <c r="L893" s="7"/>
      <c r="M893" s="7"/>
      <c r="N893" s="7"/>
      <c r="O893" s="7"/>
      <c r="P893" s="7"/>
      <c r="Q893" s="7"/>
      <c r="R893" s="7"/>
      <c r="S893" s="7"/>
      <c r="T893" s="7"/>
      <c r="U893" s="7"/>
      <c r="V893" s="7"/>
      <c r="W893" s="7"/>
    </row>
    <row r="894" spans="1:23" x14ac:dyDescent="0.35">
      <c r="A894" s="251"/>
      <c r="B894" s="251"/>
      <c r="C894" s="252"/>
      <c r="D894" s="253"/>
      <c r="E894" s="253"/>
      <c r="F894" s="255"/>
      <c r="G894" s="258"/>
      <c r="H894" s="159" t="s">
        <v>76</v>
      </c>
      <c r="I894" s="158">
        <v>21941.4</v>
      </c>
      <c r="J894" s="158">
        <f>I894/D882</f>
        <v>3.06</v>
      </c>
      <c r="K894" s="158">
        <f>36569/D882</f>
        <v>5.1100000000000003</v>
      </c>
      <c r="L894" s="7"/>
      <c r="M894" s="7"/>
      <c r="N894" s="7"/>
      <c r="O894" s="7"/>
      <c r="P894" s="7"/>
      <c r="Q894" s="7"/>
      <c r="R894" s="7"/>
      <c r="S894" s="7"/>
      <c r="T894" s="7"/>
      <c r="U894" s="7"/>
      <c r="V894" s="7"/>
      <c r="W894" s="7"/>
    </row>
    <row r="895" spans="1:23" ht="15.75" customHeight="1" x14ac:dyDescent="0.35">
      <c r="A895" s="251">
        <f>A882+1</f>
        <v>124</v>
      </c>
      <c r="B895" s="251">
        <v>2258</v>
      </c>
      <c r="C895" s="259" t="s">
        <v>399</v>
      </c>
      <c r="D895" s="253">
        <v>4516</v>
      </c>
      <c r="E895" s="253" t="s">
        <v>75</v>
      </c>
      <c r="F895" s="255">
        <v>5</v>
      </c>
      <c r="G895" s="251" t="s">
        <v>72</v>
      </c>
      <c r="H895" s="159" t="s">
        <v>73</v>
      </c>
      <c r="I895" s="158">
        <f>I896+I897</f>
        <v>3265963.02</v>
      </c>
      <c r="J895" s="158">
        <f>J896+J897</f>
        <v>723.2</v>
      </c>
      <c r="K895" s="158">
        <f>K896+K897</f>
        <v>2936</v>
      </c>
      <c r="L895" s="7"/>
      <c r="M895" s="7"/>
      <c r="N895" s="7"/>
      <c r="O895" s="7"/>
      <c r="P895" s="7"/>
      <c r="Q895" s="7"/>
      <c r="R895" s="7"/>
      <c r="S895" s="7"/>
      <c r="T895" s="7"/>
      <c r="U895" s="7"/>
      <c r="V895" s="7"/>
      <c r="W895" s="7"/>
    </row>
    <row r="896" spans="1:23" ht="46.5" x14ac:dyDescent="0.35">
      <c r="A896" s="251">
        <v>75</v>
      </c>
      <c r="B896" s="251"/>
      <c r="C896" s="260"/>
      <c r="D896" s="253"/>
      <c r="E896" s="253"/>
      <c r="F896" s="255"/>
      <c r="G896" s="251"/>
      <c r="H896" s="159" t="s">
        <v>705</v>
      </c>
      <c r="I896" s="158">
        <v>213044.71</v>
      </c>
      <c r="J896" s="158">
        <f>I896/D895</f>
        <v>47.18</v>
      </c>
      <c r="K896" s="158">
        <f>151+13</f>
        <v>164</v>
      </c>
      <c r="L896" s="7"/>
      <c r="M896" s="7"/>
      <c r="N896" s="7"/>
      <c r="O896" s="7"/>
      <c r="P896" s="7"/>
      <c r="Q896" s="7"/>
      <c r="R896" s="7"/>
      <c r="S896" s="7"/>
      <c r="T896" s="7"/>
      <c r="U896" s="7"/>
      <c r="V896" s="7"/>
      <c r="W896" s="7"/>
    </row>
    <row r="897" spans="1:23" x14ac:dyDescent="0.35">
      <c r="A897" s="251">
        <v>77</v>
      </c>
      <c r="B897" s="251"/>
      <c r="C897" s="261"/>
      <c r="D897" s="253"/>
      <c r="E897" s="253"/>
      <c r="F897" s="255"/>
      <c r="G897" s="251"/>
      <c r="H897" s="159" t="s">
        <v>74</v>
      </c>
      <c r="I897" s="158">
        <f>10176394.36*0.3</f>
        <v>3052918.31</v>
      </c>
      <c r="J897" s="158">
        <f>I897/D895</f>
        <v>676.02</v>
      </c>
      <c r="K897" s="158">
        <v>2772</v>
      </c>
      <c r="L897" s="7"/>
      <c r="M897" s="7"/>
      <c r="N897" s="7"/>
      <c r="O897" s="7"/>
      <c r="P897" s="7"/>
      <c r="Q897" s="7"/>
      <c r="R897" s="7"/>
      <c r="S897" s="7"/>
      <c r="T897" s="7"/>
      <c r="U897" s="7"/>
      <c r="V897" s="7"/>
      <c r="W897" s="7"/>
    </row>
    <row r="898" spans="1:23" x14ac:dyDescent="0.35">
      <c r="A898" s="251">
        <f>A895+1</f>
        <v>125</v>
      </c>
      <c r="B898" s="251">
        <v>2333</v>
      </c>
      <c r="C898" s="252" t="s">
        <v>400</v>
      </c>
      <c r="D898" s="253">
        <v>4882.3999999999996</v>
      </c>
      <c r="E898" s="253" t="s">
        <v>75</v>
      </c>
      <c r="F898" s="255">
        <v>9</v>
      </c>
      <c r="G898" s="149"/>
      <c r="H898" s="159" t="s">
        <v>73</v>
      </c>
      <c r="I898" s="158">
        <f>SUM(I899:I901)</f>
        <v>1671941.4</v>
      </c>
      <c r="J898" s="158">
        <f>SUM(J899:J901)</f>
        <v>342.44</v>
      </c>
      <c r="K898" s="158">
        <f>SUM(K899:K901)</f>
        <v>362.52</v>
      </c>
      <c r="L898" s="7"/>
      <c r="M898" s="7"/>
      <c r="N898" s="7"/>
      <c r="O898" s="7"/>
      <c r="P898" s="7"/>
      <c r="Q898" s="7"/>
      <c r="R898" s="7"/>
      <c r="S898" s="7"/>
      <c r="T898" s="7"/>
      <c r="U898" s="7"/>
      <c r="V898" s="7"/>
      <c r="W898" s="7"/>
    </row>
    <row r="899" spans="1:23" ht="31" x14ac:dyDescent="0.35">
      <c r="A899" s="251"/>
      <c r="B899" s="251"/>
      <c r="C899" s="252"/>
      <c r="D899" s="253"/>
      <c r="E899" s="253"/>
      <c r="F899" s="255"/>
      <c r="G899" s="256" t="s">
        <v>673</v>
      </c>
      <c r="H899" s="159" t="s">
        <v>666</v>
      </c>
      <c r="I899" s="158">
        <v>0</v>
      </c>
      <c r="J899" s="158">
        <v>0</v>
      </c>
      <c r="K899" s="158">
        <f>24580/D898</f>
        <v>5.03</v>
      </c>
      <c r="L899" s="7"/>
      <c r="M899" s="7"/>
      <c r="N899" s="7"/>
      <c r="O899" s="7"/>
      <c r="P899" s="7"/>
      <c r="Q899" s="7"/>
      <c r="R899" s="7"/>
      <c r="S899" s="7"/>
      <c r="T899" s="7"/>
      <c r="U899" s="7"/>
      <c r="V899" s="7"/>
      <c r="W899" s="7"/>
    </row>
    <row r="900" spans="1:23" x14ac:dyDescent="0.35">
      <c r="A900" s="251">
        <v>756</v>
      </c>
      <c r="B900" s="251"/>
      <c r="C900" s="252"/>
      <c r="D900" s="253"/>
      <c r="E900" s="253"/>
      <c r="F900" s="255"/>
      <c r="G900" s="257"/>
      <c r="H900" s="159" t="s">
        <v>674</v>
      </c>
      <c r="I900" s="158">
        <v>1650000</v>
      </c>
      <c r="J900" s="158">
        <f>I900/D898</f>
        <v>337.95</v>
      </c>
      <c r="K900" s="158">
        <f>1708823/D898</f>
        <v>350</v>
      </c>
      <c r="L900" s="7"/>
      <c r="M900" s="7"/>
      <c r="N900" s="7"/>
      <c r="O900" s="7"/>
      <c r="P900" s="7"/>
      <c r="Q900" s="7"/>
      <c r="R900" s="7"/>
      <c r="S900" s="7"/>
      <c r="T900" s="7"/>
      <c r="U900" s="7"/>
      <c r="V900" s="7"/>
      <c r="W900" s="7"/>
    </row>
    <row r="901" spans="1:23" x14ac:dyDescent="0.35">
      <c r="A901" s="251">
        <v>757</v>
      </c>
      <c r="B901" s="251"/>
      <c r="C901" s="252"/>
      <c r="D901" s="253"/>
      <c r="E901" s="253"/>
      <c r="F901" s="255"/>
      <c r="G901" s="258"/>
      <c r="H901" s="159" t="s">
        <v>76</v>
      </c>
      <c r="I901" s="158">
        <v>21941.4</v>
      </c>
      <c r="J901" s="158">
        <f>I901/D898</f>
        <v>4.49</v>
      </c>
      <c r="K901" s="158">
        <f>36569/D898</f>
        <v>7.49</v>
      </c>
      <c r="L901" s="7"/>
      <c r="M901" s="7"/>
      <c r="N901" s="7"/>
      <c r="O901" s="7"/>
      <c r="P901" s="7"/>
      <c r="Q901" s="7"/>
      <c r="R901" s="7"/>
      <c r="S901" s="7"/>
      <c r="T901" s="7"/>
      <c r="U901" s="7"/>
      <c r="V901" s="7"/>
      <c r="W901" s="7"/>
    </row>
    <row r="902" spans="1:23" ht="15.75" customHeight="1" x14ac:dyDescent="0.35">
      <c r="A902" s="251">
        <f>A898+1</f>
        <v>126</v>
      </c>
      <c r="B902" s="251">
        <v>2343</v>
      </c>
      <c r="C902" s="252" t="s">
        <v>401</v>
      </c>
      <c r="D902" s="253">
        <v>8262.9</v>
      </c>
      <c r="E902" s="253" t="s">
        <v>75</v>
      </c>
      <c r="F902" s="255">
        <v>9</v>
      </c>
      <c r="G902" s="123"/>
      <c r="H902" s="159" t="s">
        <v>73</v>
      </c>
      <c r="I902" s="158">
        <f>SUM(I903:I908)</f>
        <v>3420199.9</v>
      </c>
      <c r="J902" s="158">
        <f>SUM(J903:J908)</f>
        <v>413.92</v>
      </c>
      <c r="K902" s="158">
        <f>SUM(K903:K908)</f>
        <v>428.41</v>
      </c>
      <c r="L902" s="7"/>
      <c r="M902" s="7"/>
      <c r="N902" s="7"/>
      <c r="O902" s="7"/>
      <c r="P902" s="7"/>
      <c r="Q902" s="7"/>
      <c r="R902" s="7"/>
      <c r="S902" s="7"/>
      <c r="T902" s="7"/>
      <c r="U902" s="7"/>
      <c r="V902" s="7"/>
      <c r="W902" s="7"/>
    </row>
    <row r="903" spans="1:23" ht="31" x14ac:dyDescent="0.35">
      <c r="A903" s="251"/>
      <c r="B903" s="251"/>
      <c r="C903" s="252"/>
      <c r="D903" s="253"/>
      <c r="E903" s="253"/>
      <c r="F903" s="255"/>
      <c r="G903" s="256" t="s">
        <v>680</v>
      </c>
      <c r="H903" s="159" t="s">
        <v>666</v>
      </c>
      <c r="I903" s="158">
        <v>0</v>
      </c>
      <c r="J903" s="158">
        <v>0</v>
      </c>
      <c r="K903" s="158">
        <f>24580/D902</f>
        <v>2.97</v>
      </c>
      <c r="L903" s="7"/>
      <c r="M903" s="7"/>
      <c r="N903" s="7"/>
      <c r="O903" s="7"/>
      <c r="P903" s="7"/>
      <c r="Q903" s="7"/>
      <c r="R903" s="7"/>
      <c r="S903" s="7"/>
      <c r="T903" s="7"/>
      <c r="U903" s="7"/>
      <c r="V903" s="7"/>
      <c r="W903" s="7"/>
    </row>
    <row r="904" spans="1:23" x14ac:dyDescent="0.35">
      <c r="A904" s="251"/>
      <c r="B904" s="251"/>
      <c r="C904" s="252"/>
      <c r="D904" s="253"/>
      <c r="E904" s="253"/>
      <c r="F904" s="255"/>
      <c r="G904" s="257"/>
      <c r="H904" s="159" t="s">
        <v>674</v>
      </c>
      <c r="I904" s="158">
        <v>1688158.55</v>
      </c>
      <c r="J904" s="158">
        <f>I904/D902-0.01</f>
        <v>204.3</v>
      </c>
      <c r="K904" s="158">
        <f>1708823/D902</f>
        <v>206.81</v>
      </c>
      <c r="L904" s="7"/>
      <c r="M904" s="7"/>
      <c r="N904" s="7"/>
      <c r="O904" s="7"/>
      <c r="P904" s="7"/>
      <c r="Q904" s="7"/>
      <c r="R904" s="7"/>
      <c r="S904" s="7"/>
      <c r="T904" s="7"/>
      <c r="U904" s="7"/>
      <c r="V904" s="7"/>
      <c r="W904" s="7"/>
    </row>
    <row r="905" spans="1:23" x14ac:dyDescent="0.35">
      <c r="A905" s="251"/>
      <c r="B905" s="251"/>
      <c r="C905" s="252"/>
      <c r="D905" s="253"/>
      <c r="E905" s="253"/>
      <c r="F905" s="255"/>
      <c r="G905" s="258"/>
      <c r="H905" s="159" t="s">
        <v>76</v>
      </c>
      <c r="I905" s="158">
        <v>21941.4</v>
      </c>
      <c r="J905" s="158">
        <f>I905/D902</f>
        <v>2.66</v>
      </c>
      <c r="K905" s="158">
        <f>36569/D902</f>
        <v>4.43</v>
      </c>
      <c r="L905" s="7"/>
      <c r="M905" s="7"/>
      <c r="N905" s="7"/>
      <c r="O905" s="7"/>
      <c r="P905" s="7"/>
      <c r="Q905" s="7"/>
      <c r="R905" s="7"/>
      <c r="S905" s="7"/>
      <c r="T905" s="7"/>
      <c r="U905" s="7"/>
      <c r="V905" s="7"/>
      <c r="W905" s="7"/>
    </row>
    <row r="906" spans="1:23" ht="31" x14ac:dyDescent="0.35">
      <c r="A906" s="251"/>
      <c r="B906" s="251"/>
      <c r="C906" s="252"/>
      <c r="D906" s="253"/>
      <c r="E906" s="253"/>
      <c r="F906" s="255"/>
      <c r="G906" s="256" t="s">
        <v>681</v>
      </c>
      <c r="H906" s="159" t="s">
        <v>666</v>
      </c>
      <c r="I906" s="158">
        <v>0</v>
      </c>
      <c r="J906" s="158">
        <v>0</v>
      </c>
      <c r="K906" s="158">
        <f>24580/D902</f>
        <v>2.97</v>
      </c>
      <c r="L906" s="7"/>
      <c r="M906" s="7"/>
      <c r="N906" s="7"/>
      <c r="O906" s="7"/>
      <c r="P906" s="7"/>
      <c r="Q906" s="7"/>
      <c r="R906" s="7"/>
      <c r="S906" s="7"/>
      <c r="T906" s="7"/>
      <c r="U906" s="7"/>
      <c r="V906" s="7"/>
      <c r="W906" s="7"/>
    </row>
    <row r="907" spans="1:23" x14ac:dyDescent="0.35">
      <c r="A907" s="251"/>
      <c r="B907" s="251"/>
      <c r="C907" s="252"/>
      <c r="D907" s="253"/>
      <c r="E907" s="253"/>
      <c r="F907" s="255"/>
      <c r="G907" s="257"/>
      <c r="H907" s="159" t="s">
        <v>674</v>
      </c>
      <c r="I907" s="158">
        <v>1688158.55</v>
      </c>
      <c r="J907" s="158">
        <f>I907/D902-0.01</f>
        <v>204.3</v>
      </c>
      <c r="K907" s="158">
        <f>1708823/D902-0.01</f>
        <v>206.8</v>
      </c>
      <c r="L907" s="7"/>
      <c r="M907" s="7"/>
      <c r="N907" s="7"/>
      <c r="O907" s="7"/>
      <c r="P907" s="7"/>
      <c r="Q907" s="7"/>
      <c r="R907" s="7"/>
      <c r="S907" s="7"/>
      <c r="T907" s="7"/>
      <c r="U907" s="7"/>
      <c r="V907" s="7"/>
      <c r="W907" s="7"/>
    </row>
    <row r="908" spans="1:23" x14ac:dyDescent="0.35">
      <c r="A908" s="251"/>
      <c r="B908" s="251"/>
      <c r="C908" s="252"/>
      <c r="D908" s="253"/>
      <c r="E908" s="253"/>
      <c r="F908" s="255"/>
      <c r="G908" s="258"/>
      <c r="H908" s="159" t="s">
        <v>76</v>
      </c>
      <c r="I908" s="158">
        <v>21941.4</v>
      </c>
      <c r="J908" s="158">
        <f>I908/D902</f>
        <v>2.66</v>
      </c>
      <c r="K908" s="158">
        <f>36569/D902</f>
        <v>4.43</v>
      </c>
      <c r="L908" s="7"/>
      <c r="M908" s="7"/>
      <c r="N908" s="7"/>
      <c r="O908" s="7"/>
      <c r="P908" s="7"/>
      <c r="Q908" s="7"/>
      <c r="R908" s="7"/>
      <c r="S908" s="7"/>
      <c r="T908" s="7"/>
      <c r="U908" s="7"/>
      <c r="V908" s="7"/>
      <c r="W908" s="7"/>
    </row>
    <row r="909" spans="1:23" x14ac:dyDescent="0.35">
      <c r="A909" s="251">
        <f>A902+1</f>
        <v>127</v>
      </c>
      <c r="B909" s="251">
        <v>2345</v>
      </c>
      <c r="C909" s="252" t="s">
        <v>402</v>
      </c>
      <c r="D909" s="253">
        <v>2866.7</v>
      </c>
      <c r="E909" s="253" t="s">
        <v>71</v>
      </c>
      <c r="F909" s="255">
        <v>5</v>
      </c>
      <c r="G909" s="251" t="s">
        <v>72</v>
      </c>
      <c r="H909" s="159" t="s">
        <v>73</v>
      </c>
      <c r="I909" s="158">
        <f>I910+I911</f>
        <v>2887711.15</v>
      </c>
      <c r="J909" s="158">
        <f>J910+J911</f>
        <v>1007.33</v>
      </c>
      <c r="K909" s="158">
        <f>K910+K911</f>
        <v>3523</v>
      </c>
      <c r="L909" s="7"/>
      <c r="M909" s="7"/>
      <c r="N909" s="7"/>
      <c r="O909" s="7"/>
      <c r="P909" s="7"/>
      <c r="Q909" s="7"/>
      <c r="R909" s="7"/>
      <c r="S909" s="7"/>
      <c r="T909" s="7"/>
      <c r="U909" s="7"/>
      <c r="V909" s="7"/>
      <c r="W909" s="7"/>
    </row>
    <row r="910" spans="1:23" ht="46.5" x14ac:dyDescent="0.35">
      <c r="A910" s="251">
        <v>75</v>
      </c>
      <c r="B910" s="251"/>
      <c r="C910" s="252"/>
      <c r="D910" s="253"/>
      <c r="E910" s="253"/>
      <c r="F910" s="255"/>
      <c r="G910" s="251"/>
      <c r="H910" s="159" t="s">
        <v>796</v>
      </c>
      <c r="I910" s="158">
        <v>374036.35</v>
      </c>
      <c r="J910" s="158">
        <f>I910/D909</f>
        <v>130.47999999999999</v>
      </c>
      <c r="K910" s="158">
        <f>135+11</f>
        <v>146</v>
      </c>
      <c r="L910" s="7"/>
      <c r="M910" s="7"/>
      <c r="N910" s="7"/>
      <c r="O910" s="7"/>
      <c r="P910" s="7"/>
      <c r="Q910" s="7"/>
      <c r="R910" s="7"/>
      <c r="S910" s="7"/>
      <c r="T910" s="7"/>
      <c r="U910" s="7"/>
      <c r="V910" s="7"/>
      <c r="W910" s="7"/>
    </row>
    <row r="911" spans="1:23" ht="30.75" customHeight="1" x14ac:dyDescent="0.35">
      <c r="A911" s="251">
        <v>77</v>
      </c>
      <c r="B911" s="251"/>
      <c r="C911" s="252"/>
      <c r="D911" s="253"/>
      <c r="E911" s="253"/>
      <c r="F911" s="255"/>
      <c r="G911" s="251"/>
      <c r="H911" s="159" t="s">
        <v>86</v>
      </c>
      <c r="I911" s="158">
        <f>8378915.99*0.3</f>
        <v>2513674.7999999998</v>
      </c>
      <c r="J911" s="158">
        <f>I911/D909</f>
        <v>876.85</v>
      </c>
      <c r="K911" s="158">
        <v>3377</v>
      </c>
      <c r="L911" s="7"/>
      <c r="M911" s="7"/>
      <c r="N911" s="7"/>
      <c r="O911" s="7"/>
      <c r="P911" s="7"/>
      <c r="Q911" s="7"/>
      <c r="R911" s="7"/>
      <c r="S911" s="7"/>
      <c r="T911" s="7"/>
      <c r="U911" s="7"/>
      <c r="V911" s="7"/>
      <c r="W911" s="7"/>
    </row>
    <row r="912" spans="1:23" x14ac:dyDescent="0.35">
      <c r="A912" s="251">
        <f>A909+1</f>
        <v>128</v>
      </c>
      <c r="B912" s="251">
        <v>2213</v>
      </c>
      <c r="C912" s="252" t="s">
        <v>403</v>
      </c>
      <c r="D912" s="253">
        <v>3314</v>
      </c>
      <c r="E912" s="253" t="s">
        <v>71</v>
      </c>
      <c r="F912" s="255">
        <v>5</v>
      </c>
      <c r="G912" s="251" t="s">
        <v>72</v>
      </c>
      <c r="H912" s="159" t="s">
        <v>73</v>
      </c>
      <c r="I912" s="158">
        <f>I913+I914</f>
        <v>3681292.09</v>
      </c>
      <c r="J912" s="158">
        <f>J913+J914</f>
        <v>1110.83</v>
      </c>
      <c r="K912" s="158">
        <f>K913+K914</f>
        <v>3523</v>
      </c>
      <c r="L912" s="7"/>
      <c r="M912" s="7"/>
      <c r="N912" s="7"/>
      <c r="O912" s="7"/>
      <c r="P912" s="7"/>
      <c r="Q912" s="7"/>
      <c r="R912" s="7"/>
      <c r="S912" s="7"/>
      <c r="T912" s="7"/>
      <c r="U912" s="7"/>
      <c r="V912" s="7"/>
      <c r="W912" s="7"/>
    </row>
    <row r="913" spans="1:23" ht="46.5" x14ac:dyDescent="0.35">
      <c r="A913" s="251">
        <v>75</v>
      </c>
      <c r="B913" s="251"/>
      <c r="C913" s="252"/>
      <c r="D913" s="253"/>
      <c r="E913" s="253"/>
      <c r="F913" s="255"/>
      <c r="G913" s="251"/>
      <c r="H913" s="159" t="s">
        <v>796</v>
      </c>
      <c r="I913" s="158">
        <v>433505.75</v>
      </c>
      <c r="J913" s="158">
        <f>I913/D912</f>
        <v>130.81</v>
      </c>
      <c r="K913" s="158">
        <f>135+11</f>
        <v>146</v>
      </c>
      <c r="L913" s="7"/>
      <c r="M913" s="7"/>
      <c r="N913" s="7"/>
      <c r="O913" s="7"/>
      <c r="P913" s="7"/>
      <c r="Q913" s="7"/>
      <c r="R913" s="7"/>
      <c r="S913" s="7"/>
      <c r="T913" s="7"/>
      <c r="U913" s="7"/>
      <c r="V913" s="7"/>
      <c r="W913" s="7"/>
    </row>
    <row r="914" spans="1:23" ht="31" x14ac:dyDescent="0.35">
      <c r="A914" s="251">
        <v>77</v>
      </c>
      <c r="B914" s="251"/>
      <c r="C914" s="252"/>
      <c r="D914" s="253"/>
      <c r="E914" s="253"/>
      <c r="F914" s="255"/>
      <c r="G914" s="251"/>
      <c r="H914" s="159" t="s">
        <v>86</v>
      </c>
      <c r="I914" s="158">
        <f>10825954.46*0.3</f>
        <v>3247786.34</v>
      </c>
      <c r="J914" s="158">
        <f>I914/D912</f>
        <v>980.02</v>
      </c>
      <c r="K914" s="158">
        <v>3377</v>
      </c>
      <c r="L914" s="7"/>
      <c r="M914" s="7"/>
      <c r="N914" s="7"/>
      <c r="O914" s="7"/>
      <c r="P914" s="7"/>
      <c r="Q914" s="7"/>
      <c r="R914" s="7"/>
      <c r="S914" s="7"/>
      <c r="T914" s="7"/>
      <c r="U914" s="7"/>
      <c r="V914" s="7"/>
      <c r="W914" s="7"/>
    </row>
    <row r="915" spans="1:23" ht="15.75" customHeight="1" x14ac:dyDescent="0.35">
      <c r="A915" s="251">
        <f>A912+1</f>
        <v>129</v>
      </c>
      <c r="B915" s="251">
        <v>2215</v>
      </c>
      <c r="C915" s="252" t="s">
        <v>404</v>
      </c>
      <c r="D915" s="253">
        <v>3550.3</v>
      </c>
      <c r="E915" s="253" t="s">
        <v>71</v>
      </c>
      <c r="F915" s="255">
        <v>5</v>
      </c>
      <c r="G915" s="251" t="s">
        <v>72</v>
      </c>
      <c r="H915" s="159" t="s">
        <v>73</v>
      </c>
      <c r="I915" s="158">
        <f>I916+I917</f>
        <v>3415959.86</v>
      </c>
      <c r="J915" s="158">
        <f>J916+J917</f>
        <v>962.16</v>
      </c>
      <c r="K915" s="158">
        <f>K916+K917</f>
        <v>2936</v>
      </c>
      <c r="L915" s="7"/>
      <c r="M915" s="7"/>
      <c r="N915" s="7"/>
      <c r="O915" s="7"/>
      <c r="P915" s="7"/>
      <c r="Q915" s="7"/>
      <c r="R915" s="7"/>
      <c r="S915" s="7"/>
      <c r="T915" s="7"/>
      <c r="U915" s="7"/>
      <c r="V915" s="7"/>
      <c r="W915" s="7"/>
    </row>
    <row r="916" spans="1:23" ht="47.25" customHeight="1" x14ac:dyDescent="0.35">
      <c r="A916" s="251">
        <v>75</v>
      </c>
      <c r="B916" s="251"/>
      <c r="C916" s="252"/>
      <c r="D916" s="253"/>
      <c r="E916" s="253"/>
      <c r="F916" s="255"/>
      <c r="G916" s="251"/>
      <c r="H916" s="159" t="s">
        <v>705</v>
      </c>
      <c r="I916" s="158">
        <f>475695.29+D915*13</f>
        <v>521849.19</v>
      </c>
      <c r="J916" s="158">
        <f>I916/D915</f>
        <v>146.99</v>
      </c>
      <c r="K916" s="158">
        <f>151+13</f>
        <v>164</v>
      </c>
      <c r="L916" s="7"/>
      <c r="M916" s="7"/>
      <c r="N916" s="7"/>
      <c r="O916" s="7"/>
      <c r="P916" s="7"/>
      <c r="Q916" s="7"/>
      <c r="R916" s="7"/>
      <c r="S916" s="7"/>
      <c r="T916" s="7"/>
      <c r="U916" s="7"/>
      <c r="V916" s="7"/>
      <c r="W916" s="7"/>
    </row>
    <row r="917" spans="1:23" x14ac:dyDescent="0.35">
      <c r="A917" s="251">
        <v>77</v>
      </c>
      <c r="B917" s="251"/>
      <c r="C917" s="252"/>
      <c r="D917" s="253"/>
      <c r="E917" s="253"/>
      <c r="F917" s="255"/>
      <c r="G917" s="251"/>
      <c r="H917" s="159" t="s">
        <v>74</v>
      </c>
      <c r="I917" s="158">
        <f>9187652.92*1.05*0.3</f>
        <v>2894110.67</v>
      </c>
      <c r="J917" s="158">
        <f>I917/D915</f>
        <v>815.17</v>
      </c>
      <c r="K917" s="158">
        <v>2772</v>
      </c>
      <c r="L917" s="7"/>
      <c r="M917" s="7"/>
      <c r="N917" s="7"/>
      <c r="O917" s="7"/>
      <c r="P917" s="7"/>
      <c r="Q917" s="7"/>
      <c r="R917" s="7"/>
      <c r="S917" s="7"/>
      <c r="T917" s="7"/>
      <c r="U917" s="7"/>
      <c r="V917" s="7"/>
      <c r="W917" s="7"/>
    </row>
    <row r="918" spans="1:23" ht="15.75" customHeight="1" x14ac:dyDescent="0.35">
      <c r="A918" s="251">
        <f>A915+1</f>
        <v>130</v>
      </c>
      <c r="B918" s="251">
        <v>2217</v>
      </c>
      <c r="C918" s="252" t="s">
        <v>405</v>
      </c>
      <c r="D918" s="253">
        <v>3563</v>
      </c>
      <c r="E918" s="253" t="s">
        <v>71</v>
      </c>
      <c r="F918" s="255">
        <v>5</v>
      </c>
      <c r="G918" s="251" t="s">
        <v>72</v>
      </c>
      <c r="H918" s="159" t="s">
        <v>73</v>
      </c>
      <c r="I918" s="158">
        <f>I919+I920</f>
        <v>3418118.17</v>
      </c>
      <c r="J918" s="158">
        <f>J919+J920</f>
        <v>959.34</v>
      </c>
      <c r="K918" s="158">
        <f>K919+K920</f>
        <v>2936</v>
      </c>
      <c r="L918" s="7"/>
      <c r="M918" s="7"/>
      <c r="N918" s="7"/>
      <c r="O918" s="7"/>
      <c r="P918" s="7"/>
      <c r="Q918" s="7"/>
      <c r="R918" s="7"/>
      <c r="S918" s="7"/>
      <c r="T918" s="7"/>
      <c r="U918" s="7"/>
      <c r="V918" s="7"/>
      <c r="W918" s="7"/>
    </row>
    <row r="919" spans="1:23" ht="46.5" customHeight="1" x14ac:dyDescent="0.35">
      <c r="A919" s="251">
        <v>75</v>
      </c>
      <c r="B919" s="251"/>
      <c r="C919" s="252"/>
      <c r="D919" s="253"/>
      <c r="E919" s="253"/>
      <c r="F919" s="255"/>
      <c r="G919" s="251"/>
      <c r="H919" s="159" t="s">
        <v>705</v>
      </c>
      <c r="I919" s="158">
        <f>477688.5+D918*13</f>
        <v>524007.5</v>
      </c>
      <c r="J919" s="158">
        <f>I919/D918</f>
        <v>147.07</v>
      </c>
      <c r="K919" s="158">
        <f>151+13</f>
        <v>164</v>
      </c>
      <c r="L919" s="7"/>
      <c r="M919" s="7"/>
      <c r="N919" s="7"/>
      <c r="O919" s="7"/>
      <c r="P919" s="7"/>
      <c r="Q919" s="7"/>
      <c r="R919" s="7"/>
      <c r="S919" s="7"/>
      <c r="T919" s="7"/>
      <c r="U919" s="7"/>
      <c r="V919" s="7"/>
      <c r="W919" s="7"/>
    </row>
    <row r="920" spans="1:23" x14ac:dyDescent="0.35">
      <c r="A920" s="251">
        <v>77</v>
      </c>
      <c r="B920" s="251"/>
      <c r="C920" s="252"/>
      <c r="D920" s="253"/>
      <c r="E920" s="253"/>
      <c r="F920" s="255"/>
      <c r="G920" s="251"/>
      <c r="H920" s="159" t="s">
        <v>74</v>
      </c>
      <c r="I920" s="158">
        <f>9187652.92*1.05*0.3</f>
        <v>2894110.67</v>
      </c>
      <c r="J920" s="158">
        <f>I920/D918</f>
        <v>812.27</v>
      </c>
      <c r="K920" s="158">
        <v>2772</v>
      </c>
      <c r="L920" s="7"/>
      <c r="M920" s="7"/>
      <c r="N920" s="7"/>
      <c r="O920" s="7"/>
      <c r="P920" s="7"/>
      <c r="Q920" s="7"/>
      <c r="R920" s="7"/>
      <c r="S920" s="7"/>
      <c r="T920" s="7"/>
      <c r="U920" s="7"/>
      <c r="V920" s="7"/>
      <c r="W920" s="7"/>
    </row>
    <row r="921" spans="1:23" x14ac:dyDescent="0.35">
      <c r="A921" s="251">
        <f>A918+1</f>
        <v>131</v>
      </c>
      <c r="B921" s="251">
        <v>2479</v>
      </c>
      <c r="C921" s="252" t="s">
        <v>699</v>
      </c>
      <c r="D921" s="253">
        <v>2528.3000000000002</v>
      </c>
      <c r="E921" s="253" t="s">
        <v>75</v>
      </c>
      <c r="F921" s="255">
        <v>5</v>
      </c>
      <c r="G921" s="149"/>
      <c r="H921" s="159" t="s">
        <v>73</v>
      </c>
      <c r="I921" s="158">
        <f>I922+I923+I924+I925</f>
        <v>1026256.84</v>
      </c>
      <c r="J921" s="158">
        <f>J922+J923+J924+J925</f>
        <v>405.91</v>
      </c>
      <c r="K921" s="158">
        <f>K922+K923+K924+K925</f>
        <v>891</v>
      </c>
      <c r="L921" s="7"/>
      <c r="M921" s="7"/>
      <c r="N921" s="7"/>
      <c r="O921" s="7"/>
      <c r="P921" s="7"/>
      <c r="Q921" s="7"/>
      <c r="R921" s="7"/>
      <c r="S921" s="7"/>
      <c r="T921" s="7"/>
      <c r="U921" s="7"/>
      <c r="V921" s="7"/>
      <c r="W921" s="7"/>
    </row>
    <row r="922" spans="1:23" ht="15.75" customHeight="1" x14ac:dyDescent="0.35">
      <c r="A922" s="251"/>
      <c r="B922" s="251"/>
      <c r="C922" s="252"/>
      <c r="D922" s="253"/>
      <c r="E922" s="253"/>
      <c r="F922" s="255"/>
      <c r="G922" s="256" t="s">
        <v>79</v>
      </c>
      <c r="H922" s="159" t="s">
        <v>74</v>
      </c>
      <c r="I922" s="158">
        <v>678697.08</v>
      </c>
      <c r="J922" s="158">
        <f>I922/D921</f>
        <v>268.44</v>
      </c>
      <c r="K922" s="158">
        <v>409</v>
      </c>
      <c r="L922" s="7"/>
      <c r="M922" s="7"/>
      <c r="N922" s="7"/>
      <c r="O922" s="7"/>
      <c r="P922" s="7"/>
      <c r="Q922" s="7"/>
      <c r="R922" s="7"/>
      <c r="S922" s="7"/>
      <c r="T922" s="7"/>
      <c r="U922" s="7"/>
      <c r="V922" s="7"/>
      <c r="W922" s="7"/>
    </row>
    <row r="923" spans="1:23" x14ac:dyDescent="0.35">
      <c r="A923" s="251"/>
      <c r="B923" s="251"/>
      <c r="C923" s="252"/>
      <c r="D923" s="253"/>
      <c r="E923" s="253"/>
      <c r="F923" s="255"/>
      <c r="G923" s="258"/>
      <c r="H923" s="159" t="s">
        <v>76</v>
      </c>
      <c r="I923" s="158">
        <v>14451.5</v>
      </c>
      <c r="J923" s="158">
        <f>I923/D921</f>
        <v>5.72</v>
      </c>
      <c r="K923" s="158">
        <v>9</v>
      </c>
      <c r="L923" s="7"/>
      <c r="M923" s="7"/>
      <c r="N923" s="7"/>
      <c r="O923" s="7"/>
      <c r="P923" s="7"/>
      <c r="Q923" s="7"/>
      <c r="R923" s="7"/>
      <c r="S923" s="7"/>
      <c r="T923" s="7"/>
      <c r="U923" s="7"/>
      <c r="V923" s="7"/>
      <c r="W923" s="7"/>
    </row>
    <row r="924" spans="1:23" ht="15.75" customHeight="1" x14ac:dyDescent="0.35">
      <c r="A924" s="251"/>
      <c r="B924" s="251"/>
      <c r="C924" s="252"/>
      <c r="D924" s="253"/>
      <c r="E924" s="253"/>
      <c r="F924" s="255"/>
      <c r="G924" s="256" t="s">
        <v>78</v>
      </c>
      <c r="H924" s="159" t="s">
        <v>74</v>
      </c>
      <c r="I924" s="158">
        <v>326163.26</v>
      </c>
      <c r="J924" s="158">
        <f>I924/D921</f>
        <v>129</v>
      </c>
      <c r="K924" s="158">
        <v>463</v>
      </c>
      <c r="L924" s="7"/>
      <c r="M924" s="7"/>
      <c r="N924" s="7"/>
      <c r="O924" s="7"/>
      <c r="P924" s="7"/>
      <c r="Q924" s="7"/>
      <c r="R924" s="7"/>
      <c r="S924" s="7"/>
      <c r="T924" s="7"/>
      <c r="U924" s="7"/>
      <c r="V924" s="7"/>
      <c r="W924" s="7"/>
    </row>
    <row r="925" spans="1:23" x14ac:dyDescent="0.35">
      <c r="A925" s="251"/>
      <c r="B925" s="251"/>
      <c r="C925" s="252"/>
      <c r="D925" s="253"/>
      <c r="E925" s="253"/>
      <c r="F925" s="255"/>
      <c r="G925" s="258"/>
      <c r="H925" s="159" t="s">
        <v>76</v>
      </c>
      <c r="I925" s="158">
        <v>6945</v>
      </c>
      <c r="J925" s="158">
        <f>I925/D921</f>
        <v>2.75</v>
      </c>
      <c r="K925" s="158">
        <v>10</v>
      </c>
      <c r="L925" s="7"/>
      <c r="M925" s="7"/>
      <c r="N925" s="7"/>
      <c r="O925" s="7"/>
      <c r="P925" s="7"/>
      <c r="Q925" s="7"/>
      <c r="R925" s="7"/>
      <c r="S925" s="7"/>
      <c r="T925" s="7"/>
      <c r="U925" s="7"/>
      <c r="V925" s="7"/>
      <c r="W925" s="7"/>
    </row>
    <row r="926" spans="1:23" x14ac:dyDescent="0.35">
      <c r="A926" s="251">
        <f>A921+1</f>
        <v>132</v>
      </c>
      <c r="B926" s="251">
        <v>2222</v>
      </c>
      <c r="C926" s="252" t="s">
        <v>408</v>
      </c>
      <c r="D926" s="253">
        <v>5780.42</v>
      </c>
      <c r="E926" s="253" t="s">
        <v>71</v>
      </c>
      <c r="F926" s="255">
        <v>5</v>
      </c>
      <c r="G926" s="251" t="s">
        <v>72</v>
      </c>
      <c r="H926" s="159" t="s">
        <v>73</v>
      </c>
      <c r="I926" s="158">
        <f>I927+I928</f>
        <v>6625388.1399999997</v>
      </c>
      <c r="J926" s="158">
        <f>J927+J928</f>
        <v>1146.18</v>
      </c>
      <c r="K926" s="158">
        <f>K927+K928</f>
        <v>3523</v>
      </c>
      <c r="L926" s="7"/>
      <c r="M926" s="7"/>
      <c r="N926" s="7"/>
      <c r="O926" s="7"/>
      <c r="P926" s="7"/>
      <c r="Q926" s="7"/>
      <c r="R926" s="7"/>
      <c r="S926" s="7"/>
      <c r="T926" s="7"/>
      <c r="U926" s="7"/>
      <c r="V926" s="7"/>
      <c r="W926" s="7"/>
    </row>
    <row r="927" spans="1:23" ht="46.5" x14ac:dyDescent="0.35">
      <c r="A927" s="251">
        <v>75</v>
      </c>
      <c r="B927" s="251"/>
      <c r="C927" s="252"/>
      <c r="D927" s="253"/>
      <c r="E927" s="253"/>
      <c r="F927" s="255"/>
      <c r="G927" s="251"/>
      <c r="H927" s="159" t="s">
        <v>796</v>
      </c>
      <c r="I927" s="158">
        <f>705660.02+D926*11</f>
        <v>769244.64</v>
      </c>
      <c r="J927" s="158">
        <f>I927/D926</f>
        <v>133.08000000000001</v>
      </c>
      <c r="K927" s="158">
        <f>135+11</f>
        <v>146</v>
      </c>
      <c r="L927" s="7"/>
      <c r="M927" s="7"/>
      <c r="N927" s="7"/>
      <c r="O927" s="7"/>
      <c r="P927" s="7"/>
      <c r="Q927" s="7"/>
      <c r="R927" s="7"/>
      <c r="S927" s="7"/>
      <c r="T927" s="7"/>
      <c r="U927" s="7"/>
      <c r="V927" s="7"/>
      <c r="W927" s="7"/>
    </row>
    <row r="928" spans="1:23" ht="31" x14ac:dyDescent="0.35">
      <c r="A928" s="251">
        <v>77</v>
      </c>
      <c r="B928" s="251"/>
      <c r="C928" s="252"/>
      <c r="D928" s="253"/>
      <c r="E928" s="253"/>
      <c r="F928" s="255"/>
      <c r="G928" s="251"/>
      <c r="H928" s="159" t="s">
        <v>86</v>
      </c>
      <c r="I928" s="158">
        <f>K928*D926*0.3</f>
        <v>5856143.5</v>
      </c>
      <c r="J928" s="158">
        <f>I928/D926</f>
        <v>1013.1</v>
      </c>
      <c r="K928" s="158">
        <v>3377</v>
      </c>
      <c r="L928" s="7"/>
      <c r="M928" s="7"/>
      <c r="N928" s="7"/>
      <c r="O928" s="7"/>
      <c r="P928" s="7"/>
      <c r="Q928" s="7"/>
      <c r="R928" s="7"/>
      <c r="S928" s="7"/>
      <c r="T928" s="7"/>
      <c r="U928" s="7"/>
      <c r="V928" s="7"/>
      <c r="W928" s="7"/>
    </row>
    <row r="929" spans="1:23" x14ac:dyDescent="0.35">
      <c r="A929" s="251">
        <f>A926+1</f>
        <v>133</v>
      </c>
      <c r="B929" s="251">
        <v>2223</v>
      </c>
      <c r="C929" s="252" t="s">
        <v>409</v>
      </c>
      <c r="D929" s="253">
        <v>4630</v>
      </c>
      <c r="E929" s="253" t="s">
        <v>75</v>
      </c>
      <c r="F929" s="255">
        <v>5</v>
      </c>
      <c r="G929" s="251" t="s">
        <v>72</v>
      </c>
      <c r="H929" s="159" t="s">
        <v>73</v>
      </c>
      <c r="I929" s="158">
        <f>I930+I931</f>
        <v>4169451.01</v>
      </c>
      <c r="J929" s="158">
        <f>J930+J931</f>
        <v>900.53</v>
      </c>
      <c r="K929" s="158">
        <f>K930+K931</f>
        <v>2936</v>
      </c>
      <c r="L929" s="7"/>
      <c r="M929" s="7"/>
      <c r="N929" s="7"/>
      <c r="O929" s="7"/>
      <c r="P929" s="7"/>
      <c r="Q929" s="7"/>
      <c r="R929" s="7"/>
      <c r="S929" s="7"/>
      <c r="T929" s="7"/>
      <c r="U929" s="7"/>
      <c r="V929" s="7"/>
      <c r="W929" s="7"/>
    </row>
    <row r="930" spans="1:23" ht="46.5" x14ac:dyDescent="0.35">
      <c r="A930" s="251">
        <v>75</v>
      </c>
      <c r="B930" s="251"/>
      <c r="C930" s="252"/>
      <c r="D930" s="253"/>
      <c r="E930" s="253"/>
      <c r="F930" s="255"/>
      <c r="G930" s="251"/>
      <c r="H930" s="159" t="s">
        <v>705</v>
      </c>
      <c r="I930" s="158">
        <f>258953.01+D929*13</f>
        <v>319143.01</v>
      </c>
      <c r="J930" s="158">
        <f>I930/D929</f>
        <v>68.930000000000007</v>
      </c>
      <c r="K930" s="158">
        <f>151+13</f>
        <v>164</v>
      </c>
      <c r="L930" s="7"/>
      <c r="M930" s="7"/>
      <c r="N930" s="7"/>
      <c r="O930" s="7"/>
      <c r="P930" s="7"/>
      <c r="Q930" s="7"/>
      <c r="R930" s="7"/>
      <c r="S930" s="7"/>
      <c r="T930" s="7"/>
      <c r="U930" s="7"/>
      <c r="V930" s="7"/>
      <c r="W930" s="7"/>
    </row>
    <row r="931" spans="1:23" x14ac:dyDescent="0.35">
      <c r="A931" s="251">
        <v>77</v>
      </c>
      <c r="B931" s="251"/>
      <c r="C931" s="252"/>
      <c r="D931" s="253"/>
      <c r="E931" s="253"/>
      <c r="F931" s="255"/>
      <c r="G931" s="251"/>
      <c r="H931" s="159" t="s">
        <v>74</v>
      </c>
      <c r="I931" s="158">
        <f>K931*D929*0.3</f>
        <v>3850308</v>
      </c>
      <c r="J931" s="158">
        <f>I931/D929</f>
        <v>831.6</v>
      </c>
      <c r="K931" s="158">
        <v>2772</v>
      </c>
      <c r="L931" s="7"/>
      <c r="M931" s="7"/>
      <c r="N931" s="7"/>
      <c r="O931" s="7"/>
      <c r="P931" s="7"/>
      <c r="Q931" s="7"/>
      <c r="R931" s="7"/>
      <c r="S931" s="7"/>
      <c r="T931" s="7"/>
      <c r="U931" s="7"/>
      <c r="V931" s="7"/>
      <c r="W931" s="7"/>
    </row>
    <row r="932" spans="1:23" ht="15.75" customHeight="1" x14ac:dyDescent="0.35">
      <c r="A932" s="251">
        <f>A929+1</f>
        <v>134</v>
      </c>
      <c r="B932" s="251">
        <v>2103</v>
      </c>
      <c r="C932" s="252" t="s">
        <v>410</v>
      </c>
      <c r="D932" s="253">
        <v>3273.5</v>
      </c>
      <c r="E932" s="253" t="s">
        <v>75</v>
      </c>
      <c r="F932" s="255">
        <v>5</v>
      </c>
      <c r="G932" s="251" t="s">
        <v>72</v>
      </c>
      <c r="H932" s="159" t="s">
        <v>73</v>
      </c>
      <c r="I932" s="158">
        <f>I933+I934</f>
        <v>3159344.49</v>
      </c>
      <c r="J932" s="158">
        <f>J933+J934</f>
        <v>965.13</v>
      </c>
      <c r="K932" s="158">
        <f>K933+K934</f>
        <v>3523</v>
      </c>
      <c r="L932" s="7"/>
      <c r="M932" s="7"/>
      <c r="N932" s="7"/>
      <c r="O932" s="7"/>
      <c r="P932" s="7"/>
      <c r="Q932" s="7"/>
      <c r="R932" s="7"/>
      <c r="S932" s="7"/>
      <c r="T932" s="7"/>
      <c r="U932" s="7"/>
      <c r="V932" s="7"/>
      <c r="W932" s="7"/>
    </row>
    <row r="933" spans="1:23" ht="46.5" x14ac:dyDescent="0.35">
      <c r="A933" s="251">
        <v>75</v>
      </c>
      <c r="B933" s="251"/>
      <c r="C933" s="252"/>
      <c r="D933" s="253"/>
      <c r="E933" s="253"/>
      <c r="F933" s="255"/>
      <c r="G933" s="251"/>
      <c r="H933" s="159" t="s">
        <v>796</v>
      </c>
      <c r="I933" s="158">
        <f>297067.5+D932*11</f>
        <v>333076</v>
      </c>
      <c r="J933" s="158">
        <f>I933/D932</f>
        <v>101.75</v>
      </c>
      <c r="K933" s="158">
        <f>135+11</f>
        <v>146</v>
      </c>
      <c r="L933" s="7"/>
      <c r="M933" s="7"/>
      <c r="N933" s="7"/>
      <c r="O933" s="7"/>
      <c r="P933" s="7"/>
      <c r="Q933" s="7"/>
      <c r="R933" s="7"/>
      <c r="S933" s="7"/>
      <c r="T933" s="7"/>
      <c r="U933" s="7"/>
      <c r="V933" s="7"/>
      <c r="W933" s="7"/>
    </row>
    <row r="934" spans="1:23" ht="31" x14ac:dyDescent="0.35">
      <c r="A934" s="251">
        <v>77</v>
      </c>
      <c r="B934" s="251"/>
      <c r="C934" s="252"/>
      <c r="D934" s="253"/>
      <c r="E934" s="253"/>
      <c r="F934" s="255"/>
      <c r="G934" s="251"/>
      <c r="H934" s="159" t="s">
        <v>86</v>
      </c>
      <c r="I934" s="158">
        <f>9420894.95*0.3</f>
        <v>2826268.49</v>
      </c>
      <c r="J934" s="158">
        <f>I934/D932</f>
        <v>863.38</v>
      </c>
      <c r="K934" s="158">
        <v>3377</v>
      </c>
      <c r="L934" s="7"/>
      <c r="M934" s="7"/>
      <c r="N934" s="7"/>
      <c r="O934" s="7"/>
      <c r="P934" s="7"/>
      <c r="Q934" s="7"/>
      <c r="R934" s="7"/>
      <c r="S934" s="7"/>
      <c r="T934" s="7"/>
      <c r="U934" s="7"/>
      <c r="V934" s="7"/>
      <c r="W934" s="7"/>
    </row>
    <row r="935" spans="1:23" ht="15.75" customHeight="1" x14ac:dyDescent="0.35">
      <c r="A935" s="251">
        <f>A932+1</f>
        <v>135</v>
      </c>
      <c r="B935" s="251">
        <v>2367</v>
      </c>
      <c r="C935" s="252" t="s">
        <v>411</v>
      </c>
      <c r="D935" s="253">
        <v>1819.1</v>
      </c>
      <c r="E935" s="253" t="s">
        <v>75</v>
      </c>
      <c r="F935" s="255">
        <v>5</v>
      </c>
      <c r="G935" s="251" t="s">
        <v>84</v>
      </c>
      <c r="H935" s="159" t="s">
        <v>73</v>
      </c>
      <c r="I935" s="158">
        <f>I936+I937</f>
        <v>468192.44</v>
      </c>
      <c r="J935" s="158">
        <f>J936+J937</f>
        <v>257.38</v>
      </c>
      <c r="K935" s="158">
        <f>K936+K937</f>
        <v>277</v>
      </c>
      <c r="L935" s="7"/>
      <c r="M935" s="7"/>
      <c r="N935" s="7"/>
      <c r="O935" s="7"/>
      <c r="P935" s="7"/>
      <c r="Q935" s="7"/>
      <c r="R935" s="7"/>
      <c r="S935" s="7"/>
      <c r="T935" s="7"/>
      <c r="U935" s="7"/>
      <c r="V935" s="7"/>
      <c r="W935" s="7"/>
    </row>
    <row r="936" spans="1:23" x14ac:dyDescent="0.35">
      <c r="A936" s="251"/>
      <c r="B936" s="251"/>
      <c r="C936" s="252"/>
      <c r="D936" s="253"/>
      <c r="E936" s="253"/>
      <c r="F936" s="255"/>
      <c r="G936" s="251"/>
      <c r="H936" s="159" t="s">
        <v>74</v>
      </c>
      <c r="I936" s="158">
        <v>466373.34</v>
      </c>
      <c r="J936" s="158">
        <f>I936/D935</f>
        <v>256.38</v>
      </c>
      <c r="K936" s="158">
        <v>271</v>
      </c>
      <c r="L936" s="7"/>
      <c r="M936" s="7"/>
      <c r="N936" s="7"/>
      <c r="O936" s="7"/>
      <c r="P936" s="7"/>
      <c r="Q936" s="7"/>
      <c r="R936" s="7"/>
      <c r="S936" s="7"/>
      <c r="T936" s="7"/>
      <c r="U936" s="7"/>
      <c r="V936" s="7"/>
      <c r="W936" s="7"/>
    </row>
    <row r="937" spans="1:23" x14ac:dyDescent="0.35">
      <c r="A937" s="251"/>
      <c r="B937" s="251"/>
      <c r="C937" s="252"/>
      <c r="D937" s="253"/>
      <c r="E937" s="253"/>
      <c r="F937" s="255"/>
      <c r="G937" s="251"/>
      <c r="H937" s="159" t="s">
        <v>76</v>
      </c>
      <c r="I937" s="158">
        <v>1819.1</v>
      </c>
      <c r="J937" s="158">
        <f>I937/D935</f>
        <v>1</v>
      </c>
      <c r="K937" s="158">
        <v>6</v>
      </c>
      <c r="L937" s="7"/>
      <c r="M937" s="7"/>
      <c r="N937" s="7"/>
      <c r="O937" s="7"/>
      <c r="P937" s="7"/>
      <c r="Q937" s="7"/>
      <c r="R937" s="7"/>
      <c r="S937" s="7"/>
      <c r="T937" s="7"/>
      <c r="U937" s="7"/>
      <c r="V937" s="7"/>
      <c r="W937" s="7"/>
    </row>
    <row r="938" spans="1:23" ht="15.75" customHeight="1" x14ac:dyDescent="0.35">
      <c r="A938" s="256">
        <f>A935+1</f>
        <v>136</v>
      </c>
      <c r="B938" s="256">
        <v>2368</v>
      </c>
      <c r="C938" s="259" t="s">
        <v>412</v>
      </c>
      <c r="D938" s="253">
        <v>4326</v>
      </c>
      <c r="E938" s="262" t="s">
        <v>75</v>
      </c>
      <c r="F938" s="265">
        <v>5</v>
      </c>
      <c r="G938" s="256" t="s">
        <v>72</v>
      </c>
      <c r="H938" s="159" t="s">
        <v>73</v>
      </c>
      <c r="I938" s="158">
        <f>I939+I940</f>
        <v>4603652.2300000004</v>
      </c>
      <c r="J938" s="158">
        <f>J939+J940</f>
        <v>1064.18</v>
      </c>
      <c r="K938" s="158">
        <f>K939+K940</f>
        <v>3523</v>
      </c>
      <c r="L938" s="7"/>
      <c r="M938" s="7"/>
      <c r="N938" s="7"/>
      <c r="O938" s="7"/>
      <c r="P938" s="7"/>
      <c r="Q938" s="7"/>
      <c r="R938" s="7"/>
      <c r="S938" s="7"/>
      <c r="T938" s="7"/>
      <c r="U938" s="7"/>
      <c r="V938" s="7"/>
      <c r="W938" s="7"/>
    </row>
    <row r="939" spans="1:23" ht="46.5" x14ac:dyDescent="0.35">
      <c r="A939" s="257">
        <v>75</v>
      </c>
      <c r="B939" s="257"/>
      <c r="C939" s="260"/>
      <c r="D939" s="253"/>
      <c r="E939" s="263"/>
      <c r="F939" s="266"/>
      <c r="G939" s="257"/>
      <c r="H939" s="159" t="s">
        <v>796</v>
      </c>
      <c r="I939" s="158">
        <f>400041.88+D938*11</f>
        <v>447627.88</v>
      </c>
      <c r="J939" s="158">
        <f>I939/D938</f>
        <v>103.47</v>
      </c>
      <c r="K939" s="158">
        <f>135+11</f>
        <v>146</v>
      </c>
      <c r="L939" s="7"/>
      <c r="M939" s="7"/>
      <c r="N939" s="7"/>
      <c r="O939" s="7"/>
      <c r="P939" s="7"/>
      <c r="Q939" s="7"/>
      <c r="R939" s="7"/>
      <c r="S939" s="7"/>
      <c r="T939" s="7"/>
      <c r="U939" s="7"/>
      <c r="V939" s="7"/>
      <c r="W939" s="7"/>
    </row>
    <row r="940" spans="1:23" ht="31" x14ac:dyDescent="0.35">
      <c r="A940" s="258"/>
      <c r="B940" s="258"/>
      <c r="C940" s="261"/>
      <c r="D940" s="253"/>
      <c r="E940" s="264"/>
      <c r="F940" s="267"/>
      <c r="G940" s="258"/>
      <c r="H940" s="159" t="s">
        <v>86</v>
      </c>
      <c r="I940" s="158">
        <f>13853414.49*0.3</f>
        <v>4156024.35</v>
      </c>
      <c r="J940" s="158">
        <f>I940/D938</f>
        <v>960.71</v>
      </c>
      <c r="K940" s="158">
        <v>3377</v>
      </c>
      <c r="L940" s="7"/>
      <c r="M940" s="7"/>
      <c r="N940" s="7"/>
      <c r="O940" s="7"/>
      <c r="P940" s="7"/>
      <c r="Q940" s="7"/>
      <c r="R940" s="7"/>
      <c r="S940" s="7"/>
      <c r="T940" s="7"/>
      <c r="U940" s="7"/>
      <c r="V940" s="7"/>
      <c r="W940" s="7"/>
    </row>
    <row r="941" spans="1:23" ht="15.75" customHeight="1" x14ac:dyDescent="0.35">
      <c r="A941" s="251">
        <f>A938+1</f>
        <v>137</v>
      </c>
      <c r="B941" s="251">
        <v>2486</v>
      </c>
      <c r="C941" s="252" t="s">
        <v>413</v>
      </c>
      <c r="D941" s="253">
        <v>1314</v>
      </c>
      <c r="E941" s="253" t="s">
        <v>75</v>
      </c>
      <c r="F941" s="255">
        <v>4</v>
      </c>
      <c r="G941" s="251" t="s">
        <v>87</v>
      </c>
      <c r="H941" s="159" t="s">
        <v>73</v>
      </c>
      <c r="I941" s="158">
        <f>I942+I943</f>
        <v>457100.01</v>
      </c>
      <c r="J941" s="158">
        <f>J942+J943</f>
        <v>347.87</v>
      </c>
      <c r="K941" s="158">
        <f>K942+K943</f>
        <v>596</v>
      </c>
      <c r="L941" s="7"/>
      <c r="M941" s="7"/>
      <c r="N941" s="7"/>
      <c r="O941" s="7"/>
      <c r="P941" s="7"/>
      <c r="Q941" s="7"/>
      <c r="R941" s="7"/>
      <c r="S941" s="7"/>
      <c r="T941" s="7"/>
      <c r="U941" s="7"/>
      <c r="V941" s="7"/>
      <c r="W941" s="7"/>
    </row>
    <row r="942" spans="1:23" x14ac:dyDescent="0.35">
      <c r="A942" s="251">
        <v>75</v>
      </c>
      <c r="B942" s="251"/>
      <c r="C942" s="252"/>
      <c r="D942" s="253"/>
      <c r="E942" s="253"/>
      <c r="F942" s="255"/>
      <c r="G942" s="251"/>
      <c r="H942" s="159" t="s">
        <v>74</v>
      </c>
      <c r="I942" s="158">
        <v>449216.01</v>
      </c>
      <c r="J942" s="158">
        <f>I942/D941</f>
        <v>341.87</v>
      </c>
      <c r="K942" s="158">
        <v>584</v>
      </c>
      <c r="L942" s="7"/>
      <c r="M942" s="7"/>
      <c r="N942" s="7"/>
      <c r="O942" s="7"/>
      <c r="P942" s="7"/>
      <c r="Q942" s="7"/>
      <c r="R942" s="7"/>
      <c r="S942" s="7"/>
      <c r="T942" s="7"/>
      <c r="U942" s="7"/>
      <c r="V942" s="7"/>
      <c r="W942" s="7"/>
    </row>
    <row r="943" spans="1:23" x14ac:dyDescent="0.35">
      <c r="A943" s="251">
        <v>76</v>
      </c>
      <c r="B943" s="251"/>
      <c r="C943" s="252"/>
      <c r="D943" s="253"/>
      <c r="E943" s="253"/>
      <c r="F943" s="255"/>
      <c r="G943" s="251"/>
      <c r="H943" s="159" t="s">
        <v>76</v>
      </c>
      <c r="I943" s="158">
        <v>7884</v>
      </c>
      <c r="J943" s="158">
        <f>I943/D941</f>
        <v>6</v>
      </c>
      <c r="K943" s="158">
        <v>12</v>
      </c>
      <c r="L943" s="7"/>
      <c r="M943" s="7"/>
      <c r="N943" s="7"/>
      <c r="O943" s="7"/>
      <c r="P943" s="7"/>
      <c r="Q943" s="7"/>
      <c r="R943" s="7"/>
      <c r="S943" s="7"/>
      <c r="T943" s="7"/>
      <c r="U943" s="7"/>
      <c r="V943" s="7"/>
      <c r="W943" s="7"/>
    </row>
    <row r="944" spans="1:23" ht="15.75" customHeight="1" x14ac:dyDescent="0.35">
      <c r="A944" s="251">
        <f>A941+1</f>
        <v>138</v>
      </c>
      <c r="B944" s="251">
        <v>2236</v>
      </c>
      <c r="C944" s="252" t="s">
        <v>414</v>
      </c>
      <c r="D944" s="253">
        <v>1767.2</v>
      </c>
      <c r="E944" s="253" t="s">
        <v>75</v>
      </c>
      <c r="F944" s="255">
        <v>6</v>
      </c>
      <c r="G944" s="251" t="s">
        <v>77</v>
      </c>
      <c r="H944" s="159" t="s">
        <v>73</v>
      </c>
      <c r="I944" s="158">
        <f>I945</f>
        <v>206762.4</v>
      </c>
      <c r="J944" s="158">
        <f>J945</f>
        <v>117</v>
      </c>
      <c r="K944" s="158">
        <f>K945</f>
        <v>117</v>
      </c>
      <c r="L944" s="7"/>
      <c r="M944" s="7"/>
      <c r="N944" s="7"/>
      <c r="O944" s="7"/>
      <c r="P944" s="7"/>
      <c r="Q944" s="7"/>
      <c r="R944" s="7"/>
      <c r="S944" s="7"/>
      <c r="T944" s="7"/>
      <c r="U944" s="7"/>
      <c r="V944" s="7"/>
      <c r="W944" s="7"/>
    </row>
    <row r="945" spans="1:23" ht="31" x14ac:dyDescent="0.35">
      <c r="A945" s="251">
        <v>75</v>
      </c>
      <c r="B945" s="251"/>
      <c r="C945" s="252"/>
      <c r="D945" s="253"/>
      <c r="E945" s="253"/>
      <c r="F945" s="255"/>
      <c r="G945" s="251"/>
      <c r="H945" s="159" t="s">
        <v>666</v>
      </c>
      <c r="I945" s="158">
        <f>D944*K945</f>
        <v>206762.4</v>
      </c>
      <c r="J945" s="158">
        <f>I945/D944</f>
        <v>117</v>
      </c>
      <c r="K945" s="158">
        <f>108+9</f>
        <v>117</v>
      </c>
      <c r="L945" s="7"/>
      <c r="M945" s="7"/>
      <c r="N945" s="7"/>
      <c r="O945" s="7"/>
      <c r="P945" s="7"/>
      <c r="Q945" s="7"/>
      <c r="R945" s="7"/>
      <c r="S945" s="7"/>
      <c r="T945" s="7"/>
      <c r="U945" s="7"/>
      <c r="V945" s="7"/>
      <c r="W945" s="7"/>
    </row>
    <row r="946" spans="1:23" ht="15.75" customHeight="1" x14ac:dyDescent="0.35">
      <c r="A946" s="251">
        <f>A944+1</f>
        <v>139</v>
      </c>
      <c r="B946" s="251">
        <v>2488</v>
      </c>
      <c r="C946" s="252" t="s">
        <v>415</v>
      </c>
      <c r="D946" s="253">
        <v>5037.5</v>
      </c>
      <c r="E946" s="253" t="s">
        <v>75</v>
      </c>
      <c r="F946" s="255">
        <v>10</v>
      </c>
      <c r="G946" s="123"/>
      <c r="H946" s="159" t="s">
        <v>73</v>
      </c>
      <c r="I946" s="158">
        <f>I947+I948+I949+I950+I951+I952</f>
        <v>3454215</v>
      </c>
      <c r="J946" s="158">
        <f>J947+J948+J949+J950+J951+J952</f>
        <v>685.7</v>
      </c>
      <c r="K946" s="158">
        <f>K947+K948+K949+K950+K951+K952</f>
        <v>702.72</v>
      </c>
      <c r="L946" s="7"/>
      <c r="M946" s="7"/>
      <c r="N946" s="7"/>
      <c r="O946" s="7"/>
      <c r="P946" s="7"/>
      <c r="Q946" s="7"/>
      <c r="R946" s="7"/>
      <c r="S946" s="7"/>
      <c r="T946" s="7"/>
      <c r="U946" s="7"/>
      <c r="V946" s="7"/>
      <c r="W946" s="7"/>
    </row>
    <row r="947" spans="1:23" ht="31" x14ac:dyDescent="0.35">
      <c r="A947" s="251"/>
      <c r="B947" s="251"/>
      <c r="C947" s="252"/>
      <c r="D947" s="253"/>
      <c r="E947" s="253"/>
      <c r="F947" s="255"/>
      <c r="G947" s="256" t="s">
        <v>673</v>
      </c>
      <c r="H947" s="159" t="s">
        <v>666</v>
      </c>
      <c r="I947" s="158">
        <v>0</v>
      </c>
      <c r="J947" s="158">
        <v>0</v>
      </c>
      <c r="K947" s="158">
        <f>24580/D946</f>
        <v>4.88</v>
      </c>
      <c r="L947" s="7"/>
      <c r="M947" s="7"/>
      <c r="N947" s="7"/>
      <c r="O947" s="7"/>
      <c r="P947" s="7"/>
      <c r="Q947" s="7"/>
      <c r="R947" s="7"/>
      <c r="S947" s="7"/>
      <c r="T947" s="7"/>
      <c r="U947" s="7"/>
      <c r="V947" s="7"/>
      <c r="W947" s="7"/>
    </row>
    <row r="948" spans="1:23" x14ac:dyDescent="0.35">
      <c r="A948" s="251"/>
      <c r="B948" s="251"/>
      <c r="C948" s="252"/>
      <c r="D948" s="253"/>
      <c r="E948" s="253"/>
      <c r="F948" s="255"/>
      <c r="G948" s="257"/>
      <c r="H948" s="159" t="s">
        <v>674</v>
      </c>
      <c r="I948" s="158">
        <v>1708823</v>
      </c>
      <c r="J948" s="158">
        <f>I948/D946</f>
        <v>339.22</v>
      </c>
      <c r="K948" s="158">
        <f>1708823/D946</f>
        <v>339.22</v>
      </c>
      <c r="L948" s="7"/>
      <c r="M948" s="7"/>
      <c r="N948" s="7"/>
      <c r="O948" s="7"/>
      <c r="P948" s="7"/>
      <c r="Q948" s="7"/>
      <c r="R948" s="7"/>
      <c r="S948" s="7"/>
      <c r="T948" s="7"/>
      <c r="U948" s="7"/>
      <c r="V948" s="7"/>
      <c r="W948" s="7"/>
    </row>
    <row r="949" spans="1:23" x14ac:dyDescent="0.35">
      <c r="A949" s="251"/>
      <c r="B949" s="251"/>
      <c r="C949" s="252"/>
      <c r="D949" s="253"/>
      <c r="E949" s="253"/>
      <c r="F949" s="255"/>
      <c r="G949" s="258"/>
      <c r="H949" s="159" t="s">
        <v>76</v>
      </c>
      <c r="I949" s="158">
        <v>18284.5</v>
      </c>
      <c r="J949" s="158">
        <f>I949/D946</f>
        <v>3.63</v>
      </c>
      <c r="K949" s="158">
        <f>36569/D946</f>
        <v>7.26</v>
      </c>
      <c r="L949" s="7"/>
      <c r="M949" s="7"/>
      <c r="N949" s="7"/>
      <c r="O949" s="7"/>
      <c r="P949" s="7"/>
      <c r="Q949" s="7"/>
      <c r="R949" s="7"/>
      <c r="S949" s="7"/>
      <c r="T949" s="7"/>
      <c r="U949" s="7"/>
      <c r="V949" s="7"/>
      <c r="W949" s="7"/>
    </row>
    <row r="950" spans="1:23" ht="31" x14ac:dyDescent="0.35">
      <c r="A950" s="251"/>
      <c r="B950" s="251"/>
      <c r="C950" s="252"/>
      <c r="D950" s="253"/>
      <c r="E950" s="253"/>
      <c r="F950" s="255"/>
      <c r="G950" s="256" t="s">
        <v>679</v>
      </c>
      <c r="H950" s="159" t="s">
        <v>666</v>
      </c>
      <c r="I950" s="158">
        <v>0</v>
      </c>
      <c r="J950" s="158">
        <v>0</v>
      </c>
      <c r="K950" s="158">
        <f>24580/D946</f>
        <v>4.88</v>
      </c>
      <c r="L950" s="7"/>
      <c r="M950" s="7"/>
      <c r="N950" s="7"/>
      <c r="O950" s="7"/>
      <c r="P950" s="7"/>
      <c r="Q950" s="7"/>
      <c r="R950" s="7"/>
      <c r="S950" s="7"/>
      <c r="T950" s="7"/>
      <c r="U950" s="7"/>
      <c r="V950" s="7"/>
      <c r="W950" s="7"/>
    </row>
    <row r="951" spans="1:23" x14ac:dyDescent="0.35">
      <c r="A951" s="251"/>
      <c r="B951" s="251"/>
      <c r="C951" s="252"/>
      <c r="D951" s="253"/>
      <c r="E951" s="253"/>
      <c r="F951" s="255"/>
      <c r="G951" s="257"/>
      <c r="H951" s="159" t="s">
        <v>674</v>
      </c>
      <c r="I951" s="158">
        <v>1708823</v>
      </c>
      <c r="J951" s="158">
        <f>I951/D946</f>
        <v>339.22</v>
      </c>
      <c r="K951" s="158">
        <f>1708823/D946</f>
        <v>339.22</v>
      </c>
      <c r="L951" s="7"/>
      <c r="M951" s="7"/>
      <c r="N951" s="7"/>
      <c r="O951" s="7"/>
      <c r="P951" s="7"/>
      <c r="Q951" s="7"/>
      <c r="R951" s="7"/>
      <c r="S951" s="7"/>
      <c r="T951" s="7"/>
      <c r="U951" s="7"/>
      <c r="V951" s="7"/>
      <c r="W951" s="7"/>
    </row>
    <row r="952" spans="1:23" x14ac:dyDescent="0.35">
      <c r="A952" s="251"/>
      <c r="B952" s="251"/>
      <c r="C952" s="252"/>
      <c r="D952" s="253"/>
      <c r="E952" s="253"/>
      <c r="F952" s="255"/>
      <c r="G952" s="258"/>
      <c r="H952" s="159" t="s">
        <v>76</v>
      </c>
      <c r="I952" s="158">
        <v>18284.5</v>
      </c>
      <c r="J952" s="158">
        <f>I952/D946</f>
        <v>3.63</v>
      </c>
      <c r="K952" s="158">
        <f>36569/D946</f>
        <v>7.26</v>
      </c>
      <c r="L952" s="7"/>
      <c r="M952" s="7"/>
      <c r="N952" s="7"/>
      <c r="O952" s="7"/>
      <c r="P952" s="7"/>
      <c r="Q952" s="7"/>
      <c r="R952" s="7"/>
      <c r="S952" s="7"/>
      <c r="T952" s="7"/>
      <c r="U952" s="7"/>
      <c r="V952" s="7"/>
      <c r="W952" s="7"/>
    </row>
    <row r="953" spans="1:23" ht="15.75" customHeight="1" x14ac:dyDescent="0.35">
      <c r="A953" s="251">
        <f>A946+1</f>
        <v>140</v>
      </c>
      <c r="B953" s="251">
        <v>2138</v>
      </c>
      <c r="C953" s="252" t="s">
        <v>416</v>
      </c>
      <c r="D953" s="253">
        <v>6167</v>
      </c>
      <c r="E953" s="253" t="s">
        <v>71</v>
      </c>
      <c r="F953" s="255">
        <v>10</v>
      </c>
      <c r="G953" s="123"/>
      <c r="H953" s="159" t="s">
        <v>73</v>
      </c>
      <c r="I953" s="158">
        <f>I954+I955+I956+I957+I958+I959+I960+I961+I962+I963+I964+I965</f>
        <v>6849690</v>
      </c>
      <c r="J953" s="158">
        <f>J954+J955+J956+J957+J958+J959+J960+J961+J962+J963+J964+J965</f>
        <v>1110.7</v>
      </c>
      <c r="K953" s="158">
        <f>K954+K955+K956+K957+K958+K959+K960+K961+K962+K963+K964+K965</f>
        <v>1148.03</v>
      </c>
      <c r="L953" s="7"/>
      <c r="M953" s="7"/>
      <c r="N953" s="7"/>
      <c r="O953" s="7"/>
      <c r="P953" s="7"/>
      <c r="Q953" s="7"/>
      <c r="R953" s="7"/>
      <c r="S953" s="7"/>
      <c r="T953" s="7"/>
      <c r="U953" s="7"/>
      <c r="V953" s="7"/>
      <c r="W953" s="7"/>
    </row>
    <row r="954" spans="1:23" ht="31" x14ac:dyDescent="0.35">
      <c r="A954" s="251"/>
      <c r="B954" s="251"/>
      <c r="C954" s="252"/>
      <c r="D954" s="253"/>
      <c r="E954" s="253"/>
      <c r="F954" s="255"/>
      <c r="G954" s="256" t="s">
        <v>673</v>
      </c>
      <c r="H954" s="159" t="s">
        <v>666</v>
      </c>
      <c r="I954" s="158">
        <v>0</v>
      </c>
      <c r="J954" s="158">
        <v>0</v>
      </c>
      <c r="K954" s="158">
        <f>24580/D953</f>
        <v>3.99</v>
      </c>
      <c r="L954" s="7"/>
      <c r="M954" s="7"/>
      <c r="N954" s="7"/>
      <c r="O954" s="7"/>
      <c r="P954" s="7"/>
      <c r="Q954" s="7"/>
      <c r="R954" s="7"/>
      <c r="S954" s="7"/>
      <c r="T954" s="7"/>
      <c r="U954" s="7"/>
      <c r="V954" s="7"/>
      <c r="W954" s="7"/>
    </row>
    <row r="955" spans="1:23" x14ac:dyDescent="0.35">
      <c r="A955" s="251">
        <v>756</v>
      </c>
      <c r="B955" s="251"/>
      <c r="C955" s="252"/>
      <c r="D955" s="253"/>
      <c r="E955" s="253"/>
      <c r="F955" s="255"/>
      <c r="G955" s="257"/>
      <c r="H955" s="159" t="s">
        <v>674</v>
      </c>
      <c r="I955" s="158">
        <v>1694138</v>
      </c>
      <c r="J955" s="158">
        <f>I955/D953</f>
        <v>274.70999999999998</v>
      </c>
      <c r="K955" s="158">
        <f>1708823/D953</f>
        <v>277.08999999999997</v>
      </c>
      <c r="L955" s="7"/>
      <c r="M955" s="7"/>
      <c r="N955" s="7"/>
      <c r="O955" s="7"/>
      <c r="P955" s="7"/>
      <c r="Q955" s="7"/>
      <c r="R955" s="7"/>
      <c r="S955" s="7"/>
      <c r="T955" s="7"/>
      <c r="U955" s="7"/>
      <c r="V955" s="7"/>
      <c r="W955" s="7"/>
    </row>
    <row r="956" spans="1:23" x14ac:dyDescent="0.35">
      <c r="A956" s="251">
        <v>757</v>
      </c>
      <c r="B956" s="251"/>
      <c r="C956" s="252"/>
      <c r="D956" s="253"/>
      <c r="E956" s="253"/>
      <c r="F956" s="255"/>
      <c r="G956" s="258"/>
      <c r="H956" s="159" t="s">
        <v>76</v>
      </c>
      <c r="I956" s="158">
        <v>18284.5</v>
      </c>
      <c r="J956" s="158">
        <f>I956/D953</f>
        <v>2.96</v>
      </c>
      <c r="K956" s="158">
        <f>36569/D953-0.01</f>
        <v>5.92</v>
      </c>
      <c r="L956" s="7"/>
      <c r="M956" s="7"/>
      <c r="N956" s="7"/>
      <c r="O956" s="7"/>
      <c r="P956" s="7"/>
      <c r="Q956" s="7"/>
      <c r="R956" s="7"/>
      <c r="S956" s="7"/>
      <c r="T956" s="7"/>
      <c r="U956" s="7"/>
      <c r="V956" s="7"/>
      <c r="W956" s="7"/>
    </row>
    <row r="957" spans="1:23" ht="31" x14ac:dyDescent="0.35">
      <c r="A957" s="251"/>
      <c r="B957" s="251"/>
      <c r="C957" s="252"/>
      <c r="D957" s="253"/>
      <c r="E957" s="253"/>
      <c r="F957" s="255"/>
      <c r="G957" s="256" t="s">
        <v>679</v>
      </c>
      <c r="H957" s="159" t="s">
        <v>666</v>
      </c>
      <c r="I957" s="158">
        <v>0</v>
      </c>
      <c r="J957" s="158">
        <v>0</v>
      </c>
      <c r="K957" s="158">
        <f>24580/D953</f>
        <v>3.99</v>
      </c>
      <c r="L957" s="7"/>
      <c r="M957" s="7"/>
      <c r="N957" s="7"/>
      <c r="O957" s="7"/>
      <c r="P957" s="7"/>
      <c r="Q957" s="7"/>
      <c r="R957" s="7"/>
      <c r="S957" s="7"/>
      <c r="T957" s="7"/>
      <c r="U957" s="7"/>
      <c r="V957" s="7"/>
      <c r="W957" s="7"/>
    </row>
    <row r="958" spans="1:23" x14ac:dyDescent="0.35">
      <c r="A958" s="251"/>
      <c r="B958" s="251"/>
      <c r="C958" s="252"/>
      <c r="D958" s="253"/>
      <c r="E958" s="253"/>
      <c r="F958" s="255"/>
      <c r="G958" s="257"/>
      <c r="H958" s="159" t="s">
        <v>674</v>
      </c>
      <c r="I958" s="158">
        <v>1694138</v>
      </c>
      <c r="J958" s="158">
        <f>I958/D953</f>
        <v>274.70999999999998</v>
      </c>
      <c r="K958" s="158">
        <f>1708823/D953</f>
        <v>277.08999999999997</v>
      </c>
      <c r="L958" s="7"/>
      <c r="M958" s="7"/>
      <c r="N958" s="7"/>
      <c r="O958" s="7"/>
      <c r="P958" s="7"/>
      <c r="Q958" s="7"/>
      <c r="R958" s="7"/>
      <c r="S958" s="7"/>
      <c r="T958" s="7"/>
      <c r="U958" s="7"/>
      <c r="V958" s="7"/>
      <c r="W958" s="7"/>
    </row>
    <row r="959" spans="1:23" x14ac:dyDescent="0.35">
      <c r="A959" s="251"/>
      <c r="B959" s="251"/>
      <c r="C959" s="252"/>
      <c r="D959" s="253"/>
      <c r="E959" s="253"/>
      <c r="F959" s="255"/>
      <c r="G959" s="258"/>
      <c r="H959" s="159" t="s">
        <v>76</v>
      </c>
      <c r="I959" s="158">
        <v>18284.5</v>
      </c>
      <c r="J959" s="158">
        <f>I959/D953+0.01</f>
        <v>2.97</v>
      </c>
      <c r="K959" s="158">
        <f>36569/D953</f>
        <v>5.93</v>
      </c>
      <c r="L959" s="7"/>
      <c r="M959" s="7"/>
      <c r="N959" s="7"/>
      <c r="O959" s="7"/>
      <c r="P959" s="7"/>
      <c r="Q959" s="7"/>
      <c r="R959" s="7"/>
      <c r="S959" s="7"/>
      <c r="T959" s="7"/>
      <c r="U959" s="7"/>
      <c r="V959" s="7"/>
      <c r="W959" s="7"/>
    </row>
    <row r="960" spans="1:23" ht="31" x14ac:dyDescent="0.35">
      <c r="A960" s="251"/>
      <c r="B960" s="251"/>
      <c r="C960" s="252"/>
      <c r="D960" s="253"/>
      <c r="E960" s="253"/>
      <c r="F960" s="255"/>
      <c r="G960" s="256" t="s">
        <v>680</v>
      </c>
      <c r="H960" s="159" t="s">
        <v>666</v>
      </c>
      <c r="I960" s="158">
        <v>0</v>
      </c>
      <c r="J960" s="158">
        <v>0</v>
      </c>
      <c r="K960" s="158">
        <f>24580/D953</f>
        <v>3.99</v>
      </c>
      <c r="L960" s="7"/>
      <c r="M960" s="7"/>
      <c r="N960" s="7"/>
      <c r="O960" s="7"/>
      <c r="P960" s="7"/>
      <c r="Q960" s="7"/>
      <c r="R960" s="7"/>
      <c r="S960" s="7"/>
      <c r="T960" s="7"/>
      <c r="U960" s="7"/>
      <c r="V960" s="7"/>
      <c r="W960" s="7"/>
    </row>
    <row r="961" spans="1:23" x14ac:dyDescent="0.35">
      <c r="A961" s="251"/>
      <c r="B961" s="251"/>
      <c r="C961" s="252"/>
      <c r="D961" s="253"/>
      <c r="E961" s="253"/>
      <c r="F961" s="255"/>
      <c r="G961" s="257"/>
      <c r="H961" s="159" t="s">
        <v>674</v>
      </c>
      <c r="I961" s="158">
        <v>1694138</v>
      </c>
      <c r="J961" s="158">
        <f>I961/D953</f>
        <v>274.70999999999998</v>
      </c>
      <c r="K961" s="158">
        <f>1708823/D953</f>
        <v>277.08999999999997</v>
      </c>
      <c r="L961" s="7"/>
      <c r="M961" s="7"/>
      <c r="N961" s="7"/>
      <c r="O961" s="7"/>
      <c r="P961" s="7"/>
      <c r="Q961" s="7"/>
      <c r="R961" s="7"/>
      <c r="S961" s="7"/>
      <c r="T961" s="7"/>
      <c r="U961" s="7"/>
      <c r="V961" s="7"/>
      <c r="W961" s="7"/>
    </row>
    <row r="962" spans="1:23" x14ac:dyDescent="0.35">
      <c r="A962" s="251"/>
      <c r="B962" s="251"/>
      <c r="C962" s="252"/>
      <c r="D962" s="253"/>
      <c r="E962" s="253"/>
      <c r="F962" s="255"/>
      <c r="G962" s="258"/>
      <c r="H962" s="159" t="s">
        <v>76</v>
      </c>
      <c r="I962" s="158">
        <v>18284.5</v>
      </c>
      <c r="J962" s="158">
        <f>I962/D953+0.01</f>
        <v>2.97</v>
      </c>
      <c r="K962" s="158">
        <f>36569/D953</f>
        <v>5.93</v>
      </c>
      <c r="L962" s="7"/>
      <c r="M962" s="7"/>
      <c r="N962" s="7"/>
      <c r="O962" s="7"/>
      <c r="P962" s="7"/>
      <c r="Q962" s="7"/>
      <c r="R962" s="7"/>
      <c r="S962" s="7"/>
      <c r="T962" s="7"/>
      <c r="U962" s="7"/>
      <c r="V962" s="7"/>
      <c r="W962" s="7"/>
    </row>
    <row r="963" spans="1:23" ht="31" x14ac:dyDescent="0.35">
      <c r="A963" s="251"/>
      <c r="B963" s="251"/>
      <c r="C963" s="252"/>
      <c r="D963" s="253"/>
      <c r="E963" s="253"/>
      <c r="F963" s="255"/>
      <c r="G963" s="256" t="s">
        <v>681</v>
      </c>
      <c r="H963" s="159" t="s">
        <v>666</v>
      </c>
      <c r="I963" s="158">
        <v>0</v>
      </c>
      <c r="J963" s="158">
        <v>0</v>
      </c>
      <c r="K963" s="158">
        <f>24580/D953</f>
        <v>3.99</v>
      </c>
      <c r="L963" s="7"/>
      <c r="M963" s="7"/>
      <c r="N963" s="7"/>
      <c r="O963" s="7"/>
      <c r="P963" s="7"/>
      <c r="Q963" s="7"/>
      <c r="R963" s="7"/>
      <c r="S963" s="7"/>
      <c r="T963" s="7"/>
      <c r="U963" s="7"/>
      <c r="V963" s="7"/>
      <c r="W963" s="7"/>
    </row>
    <row r="964" spans="1:23" x14ac:dyDescent="0.35">
      <c r="A964" s="251"/>
      <c r="B964" s="251"/>
      <c r="C964" s="252"/>
      <c r="D964" s="253"/>
      <c r="E964" s="253"/>
      <c r="F964" s="255"/>
      <c r="G964" s="257"/>
      <c r="H964" s="159" t="s">
        <v>674</v>
      </c>
      <c r="I964" s="158">
        <v>1694138</v>
      </c>
      <c r="J964" s="158">
        <f>I964/D953</f>
        <v>274.70999999999998</v>
      </c>
      <c r="K964" s="158">
        <f>1708823/D953</f>
        <v>277.08999999999997</v>
      </c>
      <c r="L964" s="7"/>
      <c r="M964" s="7"/>
      <c r="N964" s="7"/>
      <c r="O964" s="7"/>
      <c r="P964" s="7"/>
      <c r="Q964" s="7"/>
      <c r="R964" s="7"/>
      <c r="S964" s="7"/>
      <c r="T964" s="7"/>
      <c r="U964" s="7"/>
      <c r="V964" s="7"/>
      <c r="W964" s="7"/>
    </row>
    <row r="965" spans="1:23" x14ac:dyDescent="0.35">
      <c r="A965" s="251"/>
      <c r="B965" s="251"/>
      <c r="C965" s="252"/>
      <c r="D965" s="253"/>
      <c r="E965" s="253"/>
      <c r="F965" s="255"/>
      <c r="G965" s="258"/>
      <c r="H965" s="159" t="s">
        <v>76</v>
      </c>
      <c r="I965" s="158">
        <v>18284.5</v>
      </c>
      <c r="J965" s="158">
        <f>I965/D953</f>
        <v>2.96</v>
      </c>
      <c r="K965" s="158">
        <f>36569/D953</f>
        <v>5.93</v>
      </c>
      <c r="L965" s="7"/>
      <c r="M965" s="7"/>
      <c r="N965" s="7"/>
      <c r="O965" s="7"/>
      <c r="P965" s="7"/>
      <c r="Q965" s="7"/>
      <c r="R965" s="7"/>
      <c r="S965" s="7"/>
      <c r="T965" s="7"/>
      <c r="U965" s="7"/>
      <c r="V965" s="7"/>
      <c r="W965" s="7"/>
    </row>
    <row r="966" spans="1:23" ht="15.75" customHeight="1" x14ac:dyDescent="0.35">
      <c r="A966" s="251">
        <f>A953+1</f>
        <v>141</v>
      </c>
      <c r="B966" s="251">
        <v>8060</v>
      </c>
      <c r="C966" s="252" t="s">
        <v>417</v>
      </c>
      <c r="D966" s="253">
        <v>3009.11</v>
      </c>
      <c r="E966" s="253" t="s">
        <v>75</v>
      </c>
      <c r="F966" s="255">
        <v>9</v>
      </c>
      <c r="G966" s="123"/>
      <c r="H966" s="159" t="s">
        <v>73</v>
      </c>
      <c r="I966" s="158">
        <f>I967+I968+I969</f>
        <v>1718556.24</v>
      </c>
      <c r="J966" s="158">
        <f>J967+J968+J969</f>
        <v>571.12</v>
      </c>
      <c r="K966" s="158">
        <f>K967+K968+K969</f>
        <v>588.20000000000005</v>
      </c>
      <c r="L966" s="7"/>
      <c r="M966" s="7"/>
      <c r="N966" s="7"/>
      <c r="O966" s="7"/>
      <c r="P966" s="7"/>
      <c r="Q966" s="7"/>
      <c r="R966" s="7"/>
      <c r="S966" s="7"/>
      <c r="T966" s="7"/>
      <c r="U966" s="7"/>
      <c r="V966" s="7"/>
      <c r="W966" s="7"/>
    </row>
    <row r="967" spans="1:23" ht="31" x14ac:dyDescent="0.35">
      <c r="A967" s="251"/>
      <c r="B967" s="251"/>
      <c r="C967" s="252"/>
      <c r="D967" s="253"/>
      <c r="E967" s="253"/>
      <c r="F967" s="255"/>
      <c r="G967" s="256" t="s">
        <v>673</v>
      </c>
      <c r="H967" s="159" t="s">
        <v>666</v>
      </c>
      <c r="I967" s="158">
        <v>0</v>
      </c>
      <c r="J967" s="158">
        <v>0</v>
      </c>
      <c r="K967" s="158">
        <f>24580/D966</f>
        <v>8.17</v>
      </c>
      <c r="L967" s="7"/>
      <c r="M967" s="7"/>
      <c r="N967" s="7"/>
      <c r="O967" s="7"/>
      <c r="P967" s="7"/>
      <c r="Q967" s="7"/>
      <c r="R967" s="7"/>
      <c r="S967" s="7"/>
      <c r="T967" s="7"/>
      <c r="U967" s="7"/>
      <c r="V967" s="7"/>
      <c r="W967" s="7"/>
    </row>
    <row r="968" spans="1:23" x14ac:dyDescent="0.35">
      <c r="A968" s="251">
        <v>756</v>
      </c>
      <c r="B968" s="251"/>
      <c r="C968" s="252"/>
      <c r="D968" s="253"/>
      <c r="E968" s="253"/>
      <c r="F968" s="255"/>
      <c r="G968" s="257"/>
      <c r="H968" s="159" t="s">
        <v>674</v>
      </c>
      <c r="I968" s="158">
        <v>1700271.74</v>
      </c>
      <c r="J968" s="158">
        <f>I968/D966</f>
        <v>565.04</v>
      </c>
      <c r="K968" s="158">
        <f>1708823/D966</f>
        <v>567.88</v>
      </c>
      <c r="L968" s="7"/>
      <c r="M968" s="7"/>
      <c r="N968" s="7"/>
      <c r="O968" s="7"/>
      <c r="P968" s="7"/>
      <c r="Q968" s="7"/>
      <c r="R968" s="7"/>
      <c r="S968" s="7"/>
      <c r="T968" s="7"/>
      <c r="U968" s="7"/>
      <c r="V968" s="7"/>
      <c r="W968" s="7"/>
    </row>
    <row r="969" spans="1:23" x14ac:dyDescent="0.35">
      <c r="A969" s="251">
        <v>757</v>
      </c>
      <c r="B969" s="251"/>
      <c r="C969" s="252"/>
      <c r="D969" s="253"/>
      <c r="E969" s="253"/>
      <c r="F969" s="255"/>
      <c r="G969" s="258"/>
      <c r="H969" s="159" t="s">
        <v>76</v>
      </c>
      <c r="I969" s="158">
        <v>18284.5</v>
      </c>
      <c r="J969" s="158">
        <f>I969/D966</f>
        <v>6.08</v>
      </c>
      <c r="K969" s="158">
        <f>36569/D966</f>
        <v>12.15</v>
      </c>
      <c r="L969" s="7"/>
      <c r="M969" s="7"/>
      <c r="N969" s="7"/>
      <c r="O969" s="7"/>
      <c r="P969" s="7"/>
      <c r="Q969" s="7"/>
      <c r="R969" s="7"/>
      <c r="S969" s="7"/>
      <c r="T969" s="7"/>
      <c r="U969" s="7"/>
      <c r="V969" s="7"/>
      <c r="W969" s="7"/>
    </row>
    <row r="970" spans="1:23" ht="15.75" customHeight="1" x14ac:dyDescent="0.35">
      <c r="A970" s="256">
        <f>A966+1</f>
        <v>142</v>
      </c>
      <c r="B970" s="256">
        <v>2654</v>
      </c>
      <c r="C970" s="259" t="s">
        <v>418</v>
      </c>
      <c r="D970" s="262">
        <v>619.4</v>
      </c>
      <c r="E970" s="262" t="s">
        <v>665</v>
      </c>
      <c r="F970" s="265">
        <v>2</v>
      </c>
      <c r="G970" s="149"/>
      <c r="H970" s="159" t="s">
        <v>73</v>
      </c>
      <c r="I970" s="158">
        <f>I971+I972+I973+I974+I975+I976+I977+I978</f>
        <v>2213895.79</v>
      </c>
      <c r="J970" s="158">
        <f>J971+J972+J973+J974+J975+J976+J977+J978</f>
        <v>3574.26</v>
      </c>
      <c r="K970" s="158">
        <f>K971+K972+K973+K974+K975+K976+K977+K978</f>
        <v>7245</v>
      </c>
      <c r="L970" s="7"/>
      <c r="M970" s="7"/>
      <c r="N970" s="7"/>
      <c r="O970" s="7"/>
      <c r="P970" s="7"/>
      <c r="Q970" s="7"/>
      <c r="R970" s="7"/>
      <c r="S970" s="7"/>
      <c r="T970" s="7"/>
      <c r="U970" s="7"/>
      <c r="V970" s="7"/>
      <c r="W970" s="7"/>
    </row>
    <row r="971" spans="1:23" ht="15.75" customHeight="1" x14ac:dyDescent="0.35">
      <c r="A971" s="257"/>
      <c r="B971" s="257"/>
      <c r="C971" s="260"/>
      <c r="D971" s="263"/>
      <c r="E971" s="263"/>
      <c r="F971" s="266"/>
      <c r="G971" s="256" t="s">
        <v>77</v>
      </c>
      <c r="H971" s="159" t="s">
        <v>74</v>
      </c>
      <c r="I971" s="158">
        <v>868885.26</v>
      </c>
      <c r="J971" s="158">
        <f>I971/D970</f>
        <v>1402.79</v>
      </c>
      <c r="K971" s="158">
        <v>2691</v>
      </c>
      <c r="L971" s="7"/>
      <c r="M971" s="7"/>
      <c r="N971" s="7"/>
      <c r="O971" s="7"/>
      <c r="P971" s="7"/>
      <c r="Q971" s="7"/>
      <c r="R971" s="7"/>
      <c r="S971" s="7"/>
      <c r="T971" s="7"/>
      <c r="U971" s="7"/>
      <c r="V971" s="7"/>
      <c r="W971" s="7"/>
    </row>
    <row r="972" spans="1:23" x14ac:dyDescent="0.35">
      <c r="A972" s="257"/>
      <c r="B972" s="257"/>
      <c r="C972" s="260"/>
      <c r="D972" s="263"/>
      <c r="E972" s="263"/>
      <c r="F972" s="266"/>
      <c r="G972" s="258"/>
      <c r="H972" s="159" t="s">
        <v>76</v>
      </c>
      <c r="I972" s="158">
        <v>9291</v>
      </c>
      <c r="J972" s="158">
        <f>I972/D970</f>
        <v>15</v>
      </c>
      <c r="K972" s="158">
        <v>58</v>
      </c>
      <c r="L972" s="7"/>
      <c r="M972" s="7"/>
      <c r="N972" s="7"/>
      <c r="O972" s="7"/>
      <c r="P972" s="7"/>
      <c r="Q972" s="7"/>
      <c r="R972" s="7"/>
      <c r="S972" s="7"/>
      <c r="T972" s="7"/>
      <c r="U972" s="7"/>
      <c r="V972" s="7"/>
      <c r="W972" s="7"/>
    </row>
    <row r="973" spans="1:23" ht="15.75" customHeight="1" x14ac:dyDescent="0.35">
      <c r="A973" s="257"/>
      <c r="B973" s="257"/>
      <c r="C973" s="260"/>
      <c r="D973" s="263"/>
      <c r="E973" s="263"/>
      <c r="F973" s="266"/>
      <c r="G973" s="251" t="s">
        <v>78</v>
      </c>
      <c r="H973" s="159" t="s">
        <v>74</v>
      </c>
      <c r="I973" s="158">
        <v>176633.21</v>
      </c>
      <c r="J973" s="158">
        <f>I973/D970</f>
        <v>285.17</v>
      </c>
      <c r="K973" s="158">
        <v>452</v>
      </c>
      <c r="L973" s="7"/>
      <c r="M973" s="7"/>
      <c r="N973" s="7"/>
      <c r="O973" s="7"/>
      <c r="P973" s="7"/>
      <c r="Q973" s="7"/>
      <c r="R973" s="7"/>
      <c r="S973" s="7"/>
      <c r="T973" s="7"/>
      <c r="U973" s="7"/>
      <c r="V973" s="7"/>
      <c r="W973" s="7"/>
    </row>
    <row r="974" spans="1:23" x14ac:dyDescent="0.35">
      <c r="A974" s="257"/>
      <c r="B974" s="257"/>
      <c r="C974" s="260"/>
      <c r="D974" s="263"/>
      <c r="E974" s="263"/>
      <c r="F974" s="266"/>
      <c r="G974" s="251"/>
      <c r="H974" s="159" t="s">
        <v>76</v>
      </c>
      <c r="I974" s="158">
        <v>4295.3999999999996</v>
      </c>
      <c r="J974" s="158">
        <f>I974/D970</f>
        <v>6.93</v>
      </c>
      <c r="K974" s="158">
        <v>10</v>
      </c>
      <c r="L974" s="7"/>
      <c r="M974" s="7"/>
      <c r="N974" s="7"/>
      <c r="O974" s="7"/>
      <c r="P974" s="7"/>
      <c r="Q974" s="7"/>
      <c r="R974" s="7"/>
      <c r="S974" s="7"/>
      <c r="T974" s="7"/>
      <c r="U974" s="7"/>
      <c r="V974" s="7"/>
      <c r="W974" s="7"/>
    </row>
    <row r="975" spans="1:23" ht="15.75" customHeight="1" x14ac:dyDescent="0.35">
      <c r="A975" s="257"/>
      <c r="B975" s="257"/>
      <c r="C975" s="260"/>
      <c r="D975" s="263"/>
      <c r="E975" s="263"/>
      <c r="F975" s="266"/>
      <c r="G975" s="251" t="s">
        <v>79</v>
      </c>
      <c r="H975" s="159" t="s">
        <v>74</v>
      </c>
      <c r="I975" s="158">
        <v>226950.04</v>
      </c>
      <c r="J975" s="158">
        <f>I975/D970</f>
        <v>366.4</v>
      </c>
      <c r="K975" s="158">
        <v>422</v>
      </c>
      <c r="L975" s="7"/>
      <c r="M975" s="7"/>
      <c r="N975" s="7"/>
      <c r="O975" s="7"/>
      <c r="P975" s="7"/>
      <c r="Q975" s="7"/>
      <c r="R975" s="7"/>
      <c r="S975" s="7"/>
      <c r="T975" s="7"/>
      <c r="U975" s="7"/>
      <c r="V975" s="7"/>
      <c r="W975" s="7"/>
    </row>
    <row r="976" spans="1:23" x14ac:dyDescent="0.35">
      <c r="A976" s="257"/>
      <c r="B976" s="257"/>
      <c r="C976" s="260"/>
      <c r="D976" s="263"/>
      <c r="E976" s="263"/>
      <c r="F976" s="266"/>
      <c r="G976" s="251"/>
      <c r="H976" s="159" t="s">
        <v>76</v>
      </c>
      <c r="I976" s="158">
        <v>5519.01</v>
      </c>
      <c r="J976" s="158">
        <f>I976/D970</f>
        <v>8.91</v>
      </c>
      <c r="K976" s="158">
        <v>9</v>
      </c>
      <c r="L976" s="7"/>
      <c r="M976" s="7"/>
      <c r="N976" s="7"/>
      <c r="O976" s="7"/>
      <c r="P976" s="7"/>
      <c r="Q976" s="7"/>
      <c r="R976" s="7"/>
      <c r="S976" s="7"/>
      <c r="T976" s="7"/>
      <c r="U976" s="7"/>
      <c r="V976" s="7"/>
      <c r="W976" s="7"/>
    </row>
    <row r="977" spans="1:23" ht="15.75" customHeight="1" x14ac:dyDescent="0.35">
      <c r="A977" s="257"/>
      <c r="B977" s="257"/>
      <c r="C977" s="260"/>
      <c r="D977" s="263"/>
      <c r="E977" s="263"/>
      <c r="F977" s="266"/>
      <c r="G977" s="251" t="s">
        <v>700</v>
      </c>
      <c r="H977" s="159" t="s">
        <v>688</v>
      </c>
      <c r="I977" s="158">
        <v>900425.17</v>
      </c>
      <c r="J977" s="158">
        <f>I977/D970</f>
        <v>1453.71</v>
      </c>
      <c r="K977" s="158">
        <f>1176*3</f>
        <v>3528</v>
      </c>
      <c r="L977" s="7"/>
      <c r="M977" s="7"/>
      <c r="N977" s="7"/>
      <c r="O977" s="7"/>
      <c r="P977" s="7"/>
      <c r="Q977" s="7"/>
      <c r="R977" s="7"/>
      <c r="S977" s="7"/>
      <c r="T977" s="7"/>
      <c r="U977" s="7"/>
      <c r="V977" s="7"/>
      <c r="W977" s="7"/>
    </row>
    <row r="978" spans="1:23" ht="147" customHeight="1" x14ac:dyDescent="0.35">
      <c r="A978" s="258"/>
      <c r="B978" s="258"/>
      <c r="C978" s="261"/>
      <c r="D978" s="264"/>
      <c r="E978" s="264"/>
      <c r="F978" s="267"/>
      <c r="G978" s="251"/>
      <c r="H978" s="159" t="s">
        <v>76</v>
      </c>
      <c r="I978" s="158">
        <v>21896.7</v>
      </c>
      <c r="J978" s="158">
        <f>I978/D970</f>
        <v>35.35</v>
      </c>
      <c r="K978" s="158">
        <f>25*3</f>
        <v>75</v>
      </c>
      <c r="L978" s="7"/>
      <c r="M978" s="7"/>
      <c r="N978" s="7"/>
      <c r="O978" s="7"/>
      <c r="P978" s="7"/>
      <c r="Q978" s="7"/>
      <c r="R978" s="7"/>
      <c r="S978" s="7"/>
      <c r="T978" s="7"/>
      <c r="U978" s="7"/>
      <c r="V978" s="7"/>
      <c r="W978" s="7"/>
    </row>
    <row r="979" spans="1:23" x14ac:dyDescent="0.35">
      <c r="A979" s="251">
        <f>A970+1</f>
        <v>143</v>
      </c>
      <c r="B979" s="251">
        <v>2247</v>
      </c>
      <c r="C979" s="252" t="s">
        <v>420</v>
      </c>
      <c r="D979" s="253">
        <v>8946.5</v>
      </c>
      <c r="E979" s="253" t="s">
        <v>71</v>
      </c>
      <c r="F979" s="255">
        <v>10</v>
      </c>
      <c r="G979" s="123"/>
      <c r="H979" s="159" t="s">
        <v>73</v>
      </c>
      <c r="I979" s="158">
        <f>I980+I981+I982+I983+I984+I985</f>
        <v>2635380.86</v>
      </c>
      <c r="J979" s="158">
        <f>J980+J981+J982+J983+J984+J985</f>
        <v>294.57</v>
      </c>
      <c r="K979" s="158">
        <f>K980+K981+K982+K983+K984+K985</f>
        <v>395.68</v>
      </c>
      <c r="L979" s="7"/>
      <c r="M979" s="7"/>
      <c r="N979" s="7"/>
      <c r="O979" s="7"/>
      <c r="P979" s="7"/>
      <c r="Q979" s="7"/>
      <c r="R979" s="7"/>
      <c r="S979" s="7"/>
      <c r="T979" s="7"/>
      <c r="U979" s="7"/>
      <c r="V979" s="7"/>
      <c r="W979" s="7"/>
    </row>
    <row r="980" spans="1:23" ht="31" x14ac:dyDescent="0.35">
      <c r="A980" s="251"/>
      <c r="B980" s="251"/>
      <c r="C980" s="252"/>
      <c r="D980" s="253"/>
      <c r="E980" s="253"/>
      <c r="F980" s="255"/>
      <c r="G980" s="256" t="s">
        <v>673</v>
      </c>
      <c r="H980" s="159" t="s">
        <v>666</v>
      </c>
      <c r="I980" s="158">
        <v>0</v>
      </c>
      <c r="J980" s="158">
        <v>0</v>
      </c>
      <c r="K980" s="158">
        <f>24580/D979-0.01</f>
        <v>2.74</v>
      </c>
      <c r="L980" s="7"/>
      <c r="M980" s="7"/>
      <c r="N980" s="7"/>
      <c r="O980" s="7"/>
      <c r="P980" s="7"/>
      <c r="Q980" s="7"/>
      <c r="R980" s="7"/>
      <c r="S980" s="7"/>
      <c r="T980" s="7"/>
      <c r="U980" s="7"/>
      <c r="V980" s="7"/>
      <c r="W980" s="7"/>
    </row>
    <row r="981" spans="1:23" x14ac:dyDescent="0.35">
      <c r="A981" s="251"/>
      <c r="B981" s="251"/>
      <c r="C981" s="252"/>
      <c r="D981" s="253"/>
      <c r="E981" s="253"/>
      <c r="F981" s="255"/>
      <c r="G981" s="257"/>
      <c r="H981" s="159" t="s">
        <v>674</v>
      </c>
      <c r="I981" s="158">
        <v>1299405.93</v>
      </c>
      <c r="J981" s="158">
        <f>I981/D979</f>
        <v>145.24</v>
      </c>
      <c r="K981" s="158">
        <f>1708823/D979+0.01</f>
        <v>191.01</v>
      </c>
      <c r="L981" s="7"/>
      <c r="M981" s="7"/>
      <c r="N981" s="7"/>
      <c r="O981" s="7"/>
      <c r="P981" s="7"/>
      <c r="Q981" s="7"/>
      <c r="R981" s="7"/>
      <c r="S981" s="7"/>
      <c r="T981" s="7"/>
      <c r="U981" s="7"/>
      <c r="V981" s="7"/>
      <c r="W981" s="7"/>
    </row>
    <row r="982" spans="1:23" x14ac:dyDescent="0.35">
      <c r="A982" s="251"/>
      <c r="B982" s="251"/>
      <c r="C982" s="252"/>
      <c r="D982" s="253"/>
      <c r="E982" s="253"/>
      <c r="F982" s="255"/>
      <c r="G982" s="258"/>
      <c r="H982" s="159" t="s">
        <v>76</v>
      </c>
      <c r="I982" s="158">
        <v>18284.5</v>
      </c>
      <c r="J982" s="158">
        <f>I982/D979</f>
        <v>2.04</v>
      </c>
      <c r="K982" s="158">
        <f>36569/D979</f>
        <v>4.09</v>
      </c>
      <c r="L982" s="7"/>
      <c r="M982" s="7"/>
      <c r="N982" s="7"/>
      <c r="O982" s="7"/>
      <c r="P982" s="7"/>
      <c r="Q982" s="7"/>
      <c r="R982" s="7"/>
      <c r="S982" s="7"/>
      <c r="T982" s="7"/>
      <c r="U982" s="7"/>
      <c r="V982" s="7"/>
      <c r="W982" s="7"/>
    </row>
    <row r="983" spans="1:23" ht="31" x14ac:dyDescent="0.35">
      <c r="A983" s="251"/>
      <c r="B983" s="251"/>
      <c r="C983" s="252"/>
      <c r="D983" s="253"/>
      <c r="E983" s="253"/>
      <c r="F983" s="255"/>
      <c r="G983" s="256" t="s">
        <v>679</v>
      </c>
      <c r="H983" s="159" t="s">
        <v>666</v>
      </c>
      <c r="I983" s="158">
        <v>0</v>
      </c>
      <c r="J983" s="158">
        <v>0</v>
      </c>
      <c r="K983" s="158">
        <f>24580/D979-0.01</f>
        <v>2.74</v>
      </c>
      <c r="L983" s="7"/>
      <c r="M983" s="7"/>
      <c r="N983" s="7"/>
      <c r="O983" s="7"/>
      <c r="P983" s="7"/>
      <c r="Q983" s="7"/>
      <c r="R983" s="7"/>
      <c r="S983" s="7"/>
      <c r="T983" s="7"/>
      <c r="U983" s="7"/>
      <c r="V983" s="7"/>
      <c r="W983" s="7"/>
    </row>
    <row r="984" spans="1:23" x14ac:dyDescent="0.35">
      <c r="A984" s="251"/>
      <c r="B984" s="251"/>
      <c r="C984" s="252"/>
      <c r="D984" s="253"/>
      <c r="E984" s="253"/>
      <c r="F984" s="255"/>
      <c r="G984" s="257"/>
      <c r="H984" s="159" t="s">
        <v>674</v>
      </c>
      <c r="I984" s="158">
        <v>1299405.93</v>
      </c>
      <c r="J984" s="158">
        <f>I984/D979+0.01</f>
        <v>145.25</v>
      </c>
      <c r="K984" s="158">
        <f>1708823/D979+0.01</f>
        <v>191.01</v>
      </c>
      <c r="L984" s="7"/>
      <c r="M984" s="7"/>
      <c r="N984" s="7"/>
      <c r="O984" s="7"/>
      <c r="P984" s="7"/>
      <c r="Q984" s="7"/>
      <c r="R984" s="7"/>
      <c r="S984" s="7"/>
      <c r="T984" s="7"/>
      <c r="U984" s="7"/>
      <c r="V984" s="7"/>
      <c r="W984" s="7"/>
    </row>
    <row r="985" spans="1:23" x14ac:dyDescent="0.35">
      <c r="A985" s="251"/>
      <c r="B985" s="251"/>
      <c r="C985" s="252"/>
      <c r="D985" s="253"/>
      <c r="E985" s="253"/>
      <c r="F985" s="255"/>
      <c r="G985" s="258"/>
      <c r="H985" s="159" t="s">
        <v>76</v>
      </c>
      <c r="I985" s="158">
        <v>18284.5</v>
      </c>
      <c r="J985" s="158">
        <f>I985/D979</f>
        <v>2.04</v>
      </c>
      <c r="K985" s="158">
        <f>36569/D979</f>
        <v>4.09</v>
      </c>
      <c r="L985" s="7"/>
      <c r="M985" s="7"/>
      <c r="N985" s="7"/>
      <c r="O985" s="7"/>
      <c r="P985" s="7"/>
      <c r="Q985" s="7"/>
      <c r="R985" s="7"/>
      <c r="S985" s="7"/>
      <c r="T985" s="7"/>
      <c r="U985" s="7"/>
      <c r="V985" s="7"/>
      <c r="W985" s="7"/>
    </row>
    <row r="986" spans="1:23" ht="15.75" customHeight="1" x14ac:dyDescent="0.35">
      <c r="A986" s="251">
        <f>A979+1</f>
        <v>144</v>
      </c>
      <c r="B986" s="251">
        <v>2733</v>
      </c>
      <c r="C986" s="252" t="s">
        <v>422</v>
      </c>
      <c r="D986" s="253">
        <v>822.4</v>
      </c>
      <c r="E986" s="253" t="s">
        <v>75</v>
      </c>
      <c r="F986" s="255">
        <v>3</v>
      </c>
      <c r="G986" s="251" t="s">
        <v>72</v>
      </c>
      <c r="H986" s="159" t="s">
        <v>73</v>
      </c>
      <c r="I986" s="158">
        <f>I987+I988</f>
        <v>914508.80000000005</v>
      </c>
      <c r="J986" s="158">
        <f>J987+J988</f>
        <v>1112</v>
      </c>
      <c r="K986" s="158">
        <f>K987+K988</f>
        <v>1112</v>
      </c>
      <c r="L986" s="7"/>
      <c r="M986" s="7"/>
      <c r="N986" s="7"/>
      <c r="O986" s="7"/>
      <c r="P986" s="7"/>
      <c r="Q986" s="7"/>
      <c r="R986" s="7"/>
      <c r="S986" s="7"/>
      <c r="T986" s="7"/>
      <c r="U986" s="7"/>
      <c r="V986" s="7"/>
      <c r="W986" s="7"/>
    </row>
    <row r="987" spans="1:23" ht="46.5" x14ac:dyDescent="0.35">
      <c r="A987" s="251"/>
      <c r="B987" s="251"/>
      <c r="C987" s="252"/>
      <c r="D987" s="253"/>
      <c r="E987" s="253"/>
      <c r="F987" s="255"/>
      <c r="G987" s="251"/>
      <c r="H987" s="159" t="s">
        <v>705</v>
      </c>
      <c r="I987" s="158">
        <f>D986*K987</f>
        <v>719600</v>
      </c>
      <c r="J987" s="158">
        <f>I987/D986</f>
        <v>875</v>
      </c>
      <c r="K987" s="158">
        <f>807+68</f>
        <v>875</v>
      </c>
      <c r="L987" s="7"/>
      <c r="M987" s="7"/>
      <c r="N987" s="7"/>
      <c r="O987" s="7"/>
      <c r="P987" s="7"/>
      <c r="Q987" s="7"/>
      <c r="R987" s="7"/>
      <c r="S987" s="7"/>
      <c r="T987" s="7"/>
      <c r="U987" s="7"/>
      <c r="V987" s="7"/>
      <c r="W987" s="7"/>
    </row>
    <row r="988" spans="1:23" ht="31" x14ac:dyDescent="0.35">
      <c r="A988" s="251"/>
      <c r="B988" s="251"/>
      <c r="C988" s="252"/>
      <c r="D988" s="253"/>
      <c r="E988" s="253"/>
      <c r="F988" s="255"/>
      <c r="G988" s="251"/>
      <c r="H988" s="159" t="s">
        <v>698</v>
      </c>
      <c r="I988" s="158">
        <f>D986*K988</f>
        <v>194908.79999999999</v>
      </c>
      <c r="J988" s="158">
        <f>I988/D986</f>
        <v>237</v>
      </c>
      <c r="K988" s="158">
        <v>237</v>
      </c>
      <c r="L988" s="7"/>
      <c r="M988" s="7"/>
      <c r="N988" s="7"/>
      <c r="O988" s="7"/>
      <c r="P988" s="7"/>
      <c r="Q988" s="7"/>
      <c r="R988" s="7"/>
      <c r="S988" s="7"/>
      <c r="T988" s="7"/>
      <c r="U988" s="7"/>
      <c r="V988" s="7"/>
      <c r="W988" s="7"/>
    </row>
    <row r="989" spans="1:23" x14ac:dyDescent="0.35">
      <c r="A989" s="251">
        <f>A986+1</f>
        <v>145</v>
      </c>
      <c r="B989" s="251">
        <v>2268</v>
      </c>
      <c r="C989" s="252" t="s">
        <v>423</v>
      </c>
      <c r="D989" s="253">
        <v>3547.2</v>
      </c>
      <c r="E989" s="253" t="s">
        <v>71</v>
      </c>
      <c r="F989" s="255">
        <v>5</v>
      </c>
      <c r="G989" s="251" t="s">
        <v>72</v>
      </c>
      <c r="H989" s="159" t="s">
        <v>73</v>
      </c>
      <c r="I989" s="158">
        <f>I990+I991</f>
        <v>3632456.97</v>
      </c>
      <c r="J989" s="158">
        <f>J990+J991</f>
        <v>1024.04</v>
      </c>
      <c r="K989" s="158">
        <f>K990+K991</f>
        <v>3523</v>
      </c>
      <c r="L989" s="7"/>
      <c r="M989" s="7"/>
      <c r="N989" s="7"/>
      <c r="O989" s="7"/>
      <c r="P989" s="7"/>
      <c r="Q989" s="7"/>
      <c r="R989" s="7"/>
      <c r="S989" s="7"/>
      <c r="T989" s="7"/>
      <c r="U989" s="7"/>
      <c r="V989" s="7"/>
      <c r="W989" s="7"/>
    </row>
    <row r="990" spans="1:23" ht="46.5" x14ac:dyDescent="0.35">
      <c r="A990" s="251">
        <v>75</v>
      </c>
      <c r="B990" s="251"/>
      <c r="C990" s="252"/>
      <c r="D990" s="253"/>
      <c r="E990" s="253"/>
      <c r="F990" s="255"/>
      <c r="G990" s="251"/>
      <c r="H990" s="159" t="s">
        <v>796</v>
      </c>
      <c r="I990" s="158">
        <v>504895.41</v>
      </c>
      <c r="J990" s="158">
        <f>I990/D989</f>
        <v>142.34</v>
      </c>
      <c r="K990" s="158">
        <f>135+11</f>
        <v>146</v>
      </c>
      <c r="L990" s="7"/>
      <c r="M990" s="7"/>
      <c r="N990" s="7"/>
      <c r="O990" s="7"/>
      <c r="P990" s="7"/>
      <c r="Q990" s="7"/>
      <c r="R990" s="7"/>
      <c r="S990" s="7"/>
      <c r="T990" s="7"/>
      <c r="U990" s="7"/>
      <c r="V990" s="7"/>
      <c r="W990" s="7"/>
    </row>
    <row r="991" spans="1:23" ht="31" x14ac:dyDescent="0.35">
      <c r="A991" s="251">
        <v>77</v>
      </c>
      <c r="B991" s="251"/>
      <c r="C991" s="252"/>
      <c r="D991" s="253"/>
      <c r="E991" s="253"/>
      <c r="F991" s="255"/>
      <c r="G991" s="251"/>
      <c r="H991" s="159" t="s">
        <v>86</v>
      </c>
      <c r="I991" s="158">
        <f>10425205.19*0.3</f>
        <v>3127561.56</v>
      </c>
      <c r="J991" s="158">
        <f>I991/D989</f>
        <v>881.7</v>
      </c>
      <c r="K991" s="158">
        <v>3377</v>
      </c>
      <c r="L991" s="7"/>
      <c r="M991" s="7"/>
      <c r="N991" s="7"/>
      <c r="O991" s="7"/>
      <c r="P991" s="7"/>
      <c r="Q991" s="7"/>
      <c r="R991" s="7"/>
      <c r="S991" s="7"/>
      <c r="T991" s="7"/>
      <c r="U991" s="7"/>
      <c r="V991" s="7"/>
      <c r="W991" s="7"/>
    </row>
    <row r="992" spans="1:23" ht="15.75" customHeight="1" x14ac:dyDescent="0.35">
      <c r="A992" s="251">
        <f>A989+1</f>
        <v>146</v>
      </c>
      <c r="B992" s="251">
        <v>2269</v>
      </c>
      <c r="C992" s="252" t="s">
        <v>424</v>
      </c>
      <c r="D992" s="253">
        <v>3668.87</v>
      </c>
      <c r="E992" s="253" t="s">
        <v>71</v>
      </c>
      <c r="F992" s="255">
        <v>5</v>
      </c>
      <c r="G992" s="251" t="s">
        <v>72</v>
      </c>
      <c r="H992" s="159" t="s">
        <v>73</v>
      </c>
      <c r="I992" s="158">
        <f>I993+I994</f>
        <v>2503295.39</v>
      </c>
      <c r="J992" s="158">
        <f>J993+J994</f>
        <v>682.31</v>
      </c>
      <c r="K992" s="158">
        <f>K993+K994</f>
        <v>2936</v>
      </c>
      <c r="L992" s="7"/>
      <c r="M992" s="7"/>
      <c r="N992" s="7"/>
      <c r="O992" s="7"/>
      <c r="P992" s="7"/>
      <c r="Q992" s="7"/>
      <c r="R992" s="7"/>
      <c r="S992" s="7"/>
      <c r="T992" s="7"/>
      <c r="U992" s="7"/>
      <c r="V992" s="7"/>
      <c r="W992" s="7"/>
    </row>
    <row r="993" spans="1:23" ht="46.5" x14ac:dyDescent="0.35">
      <c r="A993" s="251">
        <v>75</v>
      </c>
      <c r="B993" s="251"/>
      <c r="C993" s="252"/>
      <c r="D993" s="253"/>
      <c r="E993" s="253"/>
      <c r="F993" s="255"/>
      <c r="G993" s="251"/>
      <c r="H993" s="159" t="s">
        <v>705</v>
      </c>
      <c r="I993" s="158">
        <v>225045.84</v>
      </c>
      <c r="J993" s="158">
        <f>I993/D992</f>
        <v>61.34</v>
      </c>
      <c r="K993" s="158">
        <f>151+13</f>
        <v>164</v>
      </c>
      <c r="L993" s="7"/>
      <c r="M993" s="7"/>
      <c r="N993" s="7"/>
      <c r="O993" s="7"/>
      <c r="P993" s="7"/>
      <c r="Q993" s="7"/>
      <c r="R993" s="7"/>
      <c r="S993" s="7"/>
      <c r="T993" s="7"/>
      <c r="U993" s="7"/>
      <c r="V993" s="7"/>
      <c r="W993" s="7"/>
    </row>
    <row r="994" spans="1:23" x14ac:dyDescent="0.35">
      <c r="A994" s="251">
        <v>77</v>
      </c>
      <c r="B994" s="251"/>
      <c r="C994" s="252"/>
      <c r="D994" s="253"/>
      <c r="E994" s="253"/>
      <c r="F994" s="255"/>
      <c r="G994" s="251"/>
      <c r="H994" s="159" t="s">
        <v>74</v>
      </c>
      <c r="I994" s="158">
        <f>7594165.18*0.3</f>
        <v>2278249.5499999998</v>
      </c>
      <c r="J994" s="158">
        <f>I994/D992</f>
        <v>620.97</v>
      </c>
      <c r="K994" s="158">
        <v>2772</v>
      </c>
      <c r="L994" s="7"/>
      <c r="M994" s="7"/>
      <c r="N994" s="7"/>
      <c r="O994" s="7"/>
      <c r="P994" s="7"/>
      <c r="Q994" s="7"/>
      <c r="R994" s="7"/>
      <c r="S994" s="7"/>
      <c r="T994" s="7"/>
      <c r="U994" s="7"/>
      <c r="V994" s="7"/>
      <c r="W994" s="7"/>
    </row>
    <row r="995" spans="1:23" ht="15.75" customHeight="1" x14ac:dyDescent="0.35">
      <c r="A995" s="251">
        <f>A992+1</f>
        <v>147</v>
      </c>
      <c r="B995" s="251">
        <v>2285</v>
      </c>
      <c r="C995" s="252" t="s">
        <v>426</v>
      </c>
      <c r="D995" s="253">
        <v>18629</v>
      </c>
      <c r="E995" s="253" t="s">
        <v>71</v>
      </c>
      <c r="F995" s="255">
        <v>10</v>
      </c>
      <c r="G995" s="123"/>
      <c r="H995" s="159" t="s">
        <v>73</v>
      </c>
      <c r="I995" s="158">
        <f>I996+I997+I998+I999+I1000+I1001+I1002+I1003+I1004+I1005+I1006+I1007</f>
        <v>6864616.1299999999</v>
      </c>
      <c r="J995" s="158">
        <f>J996+J997+J998+J999+J1000+J1001+J1002+J1003+J1004+J1005+J1006+J1007</f>
        <v>368.49</v>
      </c>
      <c r="K995" s="158">
        <f>K996+K997+K998+K999+K1000+K1001+K1002+K1003+K1004+K1005+K1006+K1007</f>
        <v>380.05</v>
      </c>
      <c r="L995" s="7"/>
      <c r="M995" s="7"/>
      <c r="N995" s="7"/>
      <c r="O995" s="7"/>
      <c r="P995" s="7"/>
      <c r="Q995" s="7"/>
      <c r="R995" s="7"/>
      <c r="S995" s="7"/>
      <c r="T995" s="7"/>
      <c r="U995" s="7"/>
      <c r="V995" s="7"/>
      <c r="W995" s="7"/>
    </row>
    <row r="996" spans="1:23" ht="31" x14ac:dyDescent="0.35">
      <c r="A996" s="251"/>
      <c r="B996" s="251"/>
      <c r="C996" s="252"/>
      <c r="D996" s="253"/>
      <c r="E996" s="253"/>
      <c r="F996" s="255"/>
      <c r="G996" s="256" t="s">
        <v>678</v>
      </c>
      <c r="H996" s="159" t="s">
        <v>666</v>
      </c>
      <c r="I996" s="158">
        <v>0</v>
      </c>
      <c r="J996" s="158">
        <v>0</v>
      </c>
      <c r="K996" s="158">
        <f>24580/D995</f>
        <v>1.32</v>
      </c>
      <c r="L996" s="7"/>
      <c r="M996" s="7"/>
      <c r="N996" s="7"/>
      <c r="O996" s="7"/>
      <c r="P996" s="7"/>
      <c r="Q996" s="7"/>
      <c r="R996" s="7"/>
      <c r="S996" s="7"/>
      <c r="T996" s="7"/>
      <c r="U996" s="7"/>
      <c r="V996" s="7"/>
      <c r="W996" s="7"/>
    </row>
    <row r="997" spans="1:23" x14ac:dyDescent="0.35">
      <c r="A997" s="251"/>
      <c r="B997" s="251"/>
      <c r="C997" s="252"/>
      <c r="D997" s="253"/>
      <c r="E997" s="253"/>
      <c r="F997" s="255"/>
      <c r="G997" s="257"/>
      <c r="H997" s="159" t="s">
        <v>674</v>
      </c>
      <c r="I997" s="158">
        <v>1697869.53</v>
      </c>
      <c r="J997" s="158">
        <f>I997/D995+0.01</f>
        <v>91.15</v>
      </c>
      <c r="K997" s="158">
        <f>1708823/D995+0.01</f>
        <v>91.74</v>
      </c>
      <c r="L997" s="7"/>
      <c r="M997" s="7"/>
      <c r="N997" s="7"/>
      <c r="O997" s="7"/>
      <c r="P997" s="7"/>
      <c r="Q997" s="7"/>
      <c r="R997" s="7"/>
      <c r="S997" s="7"/>
      <c r="T997" s="7"/>
      <c r="U997" s="7"/>
      <c r="V997" s="7"/>
      <c r="W997" s="7"/>
    </row>
    <row r="998" spans="1:23" x14ac:dyDescent="0.35">
      <c r="A998" s="251"/>
      <c r="B998" s="251"/>
      <c r="C998" s="252"/>
      <c r="D998" s="253"/>
      <c r="E998" s="253"/>
      <c r="F998" s="255"/>
      <c r="G998" s="258"/>
      <c r="H998" s="159" t="s">
        <v>76</v>
      </c>
      <c r="I998" s="158">
        <v>18284.5</v>
      </c>
      <c r="J998" s="158">
        <f>I998/D995</f>
        <v>0.98</v>
      </c>
      <c r="K998" s="158">
        <f>36569/D995</f>
        <v>1.96</v>
      </c>
      <c r="L998" s="7"/>
      <c r="M998" s="7"/>
      <c r="N998" s="7"/>
      <c r="O998" s="7"/>
      <c r="P998" s="7"/>
      <c r="Q998" s="7"/>
      <c r="R998" s="7"/>
      <c r="S998" s="7"/>
      <c r="T998" s="7"/>
      <c r="U998" s="7"/>
      <c r="V998" s="7"/>
      <c r="W998" s="7"/>
    </row>
    <row r="999" spans="1:23" ht="31" x14ac:dyDescent="0.35">
      <c r="A999" s="251"/>
      <c r="B999" s="251"/>
      <c r="C999" s="252"/>
      <c r="D999" s="253"/>
      <c r="E999" s="253"/>
      <c r="F999" s="255"/>
      <c r="G999" s="256" t="s">
        <v>682</v>
      </c>
      <c r="H999" s="159" t="s">
        <v>666</v>
      </c>
      <c r="I999" s="158">
        <v>0</v>
      </c>
      <c r="J999" s="158">
        <v>0</v>
      </c>
      <c r="K999" s="158">
        <f>24580/D995</f>
        <v>1.32</v>
      </c>
      <c r="L999" s="7"/>
      <c r="M999" s="7"/>
      <c r="N999" s="7"/>
      <c r="O999" s="7"/>
      <c r="P999" s="7"/>
      <c r="Q999" s="7"/>
      <c r="R999" s="7"/>
      <c r="S999" s="7"/>
      <c r="T999" s="7"/>
      <c r="U999" s="7"/>
      <c r="V999" s="7"/>
      <c r="W999" s="7"/>
    </row>
    <row r="1000" spans="1:23" x14ac:dyDescent="0.35">
      <c r="A1000" s="251"/>
      <c r="B1000" s="251"/>
      <c r="C1000" s="252"/>
      <c r="D1000" s="253"/>
      <c r="E1000" s="253"/>
      <c r="F1000" s="255"/>
      <c r="G1000" s="257"/>
      <c r="H1000" s="159" t="s">
        <v>674</v>
      </c>
      <c r="I1000" s="158">
        <v>1697869.53</v>
      </c>
      <c r="J1000" s="158">
        <f>I1000/D995</f>
        <v>91.14</v>
      </c>
      <c r="K1000" s="158">
        <f>1708823/D995</f>
        <v>91.73</v>
      </c>
      <c r="L1000" s="7"/>
      <c r="M1000" s="7"/>
      <c r="N1000" s="7"/>
      <c r="O1000" s="7"/>
      <c r="P1000" s="7"/>
      <c r="Q1000" s="7"/>
      <c r="R1000" s="7"/>
      <c r="S1000" s="7"/>
      <c r="T1000" s="7"/>
      <c r="U1000" s="7"/>
      <c r="V1000" s="7"/>
      <c r="W1000" s="7"/>
    </row>
    <row r="1001" spans="1:23" x14ac:dyDescent="0.35">
      <c r="A1001" s="251"/>
      <c r="B1001" s="251"/>
      <c r="C1001" s="252"/>
      <c r="D1001" s="253"/>
      <c r="E1001" s="253"/>
      <c r="F1001" s="255"/>
      <c r="G1001" s="258"/>
      <c r="H1001" s="159" t="s">
        <v>76</v>
      </c>
      <c r="I1001" s="158">
        <v>18284.5</v>
      </c>
      <c r="J1001" s="158">
        <f>I1001/D995</f>
        <v>0.98</v>
      </c>
      <c r="K1001" s="158">
        <f>36569/D995</f>
        <v>1.96</v>
      </c>
      <c r="L1001" s="7"/>
      <c r="M1001" s="7"/>
      <c r="N1001" s="7"/>
      <c r="O1001" s="7"/>
      <c r="P1001" s="7"/>
      <c r="Q1001" s="7"/>
      <c r="R1001" s="7"/>
      <c r="S1001" s="7"/>
      <c r="T1001" s="7"/>
      <c r="U1001" s="7"/>
      <c r="V1001" s="7"/>
      <c r="W1001" s="7"/>
    </row>
    <row r="1002" spans="1:23" ht="31" x14ac:dyDescent="0.35">
      <c r="A1002" s="251"/>
      <c r="B1002" s="251"/>
      <c r="C1002" s="252"/>
      <c r="D1002" s="253"/>
      <c r="E1002" s="253"/>
      <c r="F1002" s="255"/>
      <c r="G1002" s="256" t="s">
        <v>683</v>
      </c>
      <c r="H1002" s="159" t="s">
        <v>666</v>
      </c>
      <c r="I1002" s="158">
        <v>0</v>
      </c>
      <c r="J1002" s="158">
        <v>0</v>
      </c>
      <c r="K1002" s="158">
        <f>24580/D995</f>
        <v>1.32</v>
      </c>
      <c r="L1002" s="7"/>
      <c r="M1002" s="7"/>
      <c r="N1002" s="7"/>
      <c r="O1002" s="7"/>
      <c r="P1002" s="7"/>
      <c r="Q1002" s="7"/>
      <c r="R1002" s="7"/>
      <c r="S1002" s="7"/>
      <c r="T1002" s="7"/>
      <c r="U1002" s="7"/>
      <c r="V1002" s="7"/>
      <c r="W1002" s="7"/>
    </row>
    <row r="1003" spans="1:23" x14ac:dyDescent="0.35">
      <c r="A1003" s="251"/>
      <c r="B1003" s="251"/>
      <c r="C1003" s="252"/>
      <c r="D1003" s="253"/>
      <c r="E1003" s="253"/>
      <c r="F1003" s="255"/>
      <c r="G1003" s="257"/>
      <c r="H1003" s="159" t="s">
        <v>674</v>
      </c>
      <c r="I1003" s="158">
        <v>1697869.53</v>
      </c>
      <c r="J1003" s="158">
        <f>I1003/D995</f>
        <v>91.14</v>
      </c>
      <c r="K1003" s="158">
        <f>1708823/D995</f>
        <v>91.73</v>
      </c>
      <c r="L1003" s="7"/>
      <c r="M1003" s="7"/>
      <c r="N1003" s="7"/>
      <c r="O1003" s="7"/>
      <c r="P1003" s="7"/>
      <c r="Q1003" s="7"/>
      <c r="R1003" s="7"/>
      <c r="S1003" s="7"/>
      <c r="T1003" s="7"/>
      <c r="U1003" s="7"/>
      <c r="V1003" s="7"/>
      <c r="W1003" s="7"/>
    </row>
    <row r="1004" spans="1:23" x14ac:dyDescent="0.35">
      <c r="A1004" s="251"/>
      <c r="B1004" s="251"/>
      <c r="C1004" s="252"/>
      <c r="D1004" s="253"/>
      <c r="E1004" s="253"/>
      <c r="F1004" s="255"/>
      <c r="G1004" s="258"/>
      <c r="H1004" s="159" t="s">
        <v>76</v>
      </c>
      <c r="I1004" s="158">
        <v>18284.5</v>
      </c>
      <c r="J1004" s="158">
        <f>I1004/D995</f>
        <v>0.98</v>
      </c>
      <c r="K1004" s="158">
        <f>36569/D995</f>
        <v>1.96</v>
      </c>
      <c r="L1004" s="7"/>
      <c r="M1004" s="7"/>
      <c r="N1004" s="7"/>
      <c r="O1004" s="7"/>
      <c r="P1004" s="7"/>
      <c r="Q1004" s="7"/>
      <c r="R1004" s="7"/>
      <c r="S1004" s="7"/>
      <c r="T1004" s="7"/>
      <c r="U1004" s="7"/>
      <c r="V1004" s="7"/>
      <c r="W1004" s="7"/>
    </row>
    <row r="1005" spans="1:23" ht="31" x14ac:dyDescent="0.35">
      <c r="A1005" s="251"/>
      <c r="B1005" s="251"/>
      <c r="C1005" s="252"/>
      <c r="D1005" s="253"/>
      <c r="E1005" s="253"/>
      <c r="F1005" s="255"/>
      <c r="G1005" s="256" t="s">
        <v>684</v>
      </c>
      <c r="H1005" s="159" t="s">
        <v>666</v>
      </c>
      <c r="I1005" s="158">
        <v>0</v>
      </c>
      <c r="J1005" s="158">
        <v>0</v>
      </c>
      <c r="K1005" s="158">
        <f>24580/D995</f>
        <v>1.32</v>
      </c>
      <c r="L1005" s="7"/>
      <c r="M1005" s="7"/>
      <c r="N1005" s="7"/>
      <c r="O1005" s="7"/>
      <c r="P1005" s="7"/>
      <c r="Q1005" s="7"/>
      <c r="R1005" s="7"/>
      <c r="S1005" s="7"/>
      <c r="T1005" s="7"/>
      <c r="U1005" s="7"/>
      <c r="V1005" s="7"/>
      <c r="W1005" s="7"/>
    </row>
    <row r="1006" spans="1:23" x14ac:dyDescent="0.35">
      <c r="A1006" s="251"/>
      <c r="B1006" s="251"/>
      <c r="C1006" s="252"/>
      <c r="D1006" s="253"/>
      <c r="E1006" s="253"/>
      <c r="F1006" s="255"/>
      <c r="G1006" s="257"/>
      <c r="H1006" s="159" t="s">
        <v>674</v>
      </c>
      <c r="I1006" s="158">
        <v>1697869.54</v>
      </c>
      <c r="J1006" s="158">
        <f>I1006/D995</f>
        <v>91.14</v>
      </c>
      <c r="K1006" s="158">
        <f>1708823/D995</f>
        <v>91.73</v>
      </c>
      <c r="L1006" s="7"/>
      <c r="M1006" s="7"/>
      <c r="N1006" s="7"/>
      <c r="O1006" s="7"/>
      <c r="P1006" s="7"/>
      <c r="Q1006" s="7"/>
      <c r="R1006" s="7"/>
      <c r="S1006" s="7"/>
      <c r="T1006" s="7"/>
      <c r="U1006" s="7"/>
      <c r="V1006" s="7"/>
      <c r="W1006" s="7"/>
    </row>
    <row r="1007" spans="1:23" x14ac:dyDescent="0.35">
      <c r="A1007" s="251"/>
      <c r="B1007" s="251"/>
      <c r="C1007" s="252"/>
      <c r="D1007" s="253"/>
      <c r="E1007" s="253"/>
      <c r="F1007" s="255"/>
      <c r="G1007" s="258"/>
      <c r="H1007" s="159" t="s">
        <v>76</v>
      </c>
      <c r="I1007" s="158">
        <v>18284.5</v>
      </c>
      <c r="J1007" s="158">
        <f>I1007/D995</f>
        <v>0.98</v>
      </c>
      <c r="K1007" s="158">
        <f>36569/D995</f>
        <v>1.96</v>
      </c>
      <c r="L1007" s="7"/>
      <c r="M1007" s="7"/>
      <c r="N1007" s="7"/>
      <c r="O1007" s="7"/>
      <c r="P1007" s="7"/>
      <c r="Q1007" s="7"/>
      <c r="R1007" s="7"/>
      <c r="S1007" s="7"/>
      <c r="T1007" s="7"/>
      <c r="U1007" s="7"/>
      <c r="V1007" s="7"/>
      <c r="W1007" s="7"/>
    </row>
    <row r="1008" spans="1:23" x14ac:dyDescent="0.35">
      <c r="A1008" s="251">
        <f>A995+1</f>
        <v>148</v>
      </c>
      <c r="B1008" s="251">
        <v>2449</v>
      </c>
      <c r="C1008" s="252" t="s">
        <v>427</v>
      </c>
      <c r="D1008" s="253">
        <v>2723.4</v>
      </c>
      <c r="E1008" s="253" t="s">
        <v>75</v>
      </c>
      <c r="F1008" s="255">
        <v>5</v>
      </c>
      <c r="G1008" s="251" t="s">
        <v>72</v>
      </c>
      <c r="H1008" s="159" t="s">
        <v>73</v>
      </c>
      <c r="I1008" s="158">
        <f>I1009+I1010</f>
        <v>2467782</v>
      </c>
      <c r="J1008" s="158">
        <f>J1009+J1010</f>
        <v>906.14</v>
      </c>
      <c r="K1008" s="158">
        <f>K1009+K1010</f>
        <v>2936</v>
      </c>
      <c r="L1008" s="7"/>
      <c r="M1008" s="7"/>
      <c r="N1008" s="7"/>
      <c r="O1008" s="7"/>
      <c r="P1008" s="7"/>
      <c r="Q1008" s="7"/>
      <c r="R1008" s="7"/>
      <c r="S1008" s="7"/>
      <c r="T1008" s="7"/>
      <c r="U1008" s="7"/>
      <c r="V1008" s="7"/>
      <c r="W1008" s="7"/>
    </row>
    <row r="1009" spans="1:23" ht="46.5" x14ac:dyDescent="0.35">
      <c r="A1009" s="251">
        <v>75</v>
      </c>
      <c r="B1009" s="251"/>
      <c r="C1009" s="252"/>
      <c r="D1009" s="253"/>
      <c r="E1009" s="253"/>
      <c r="F1009" s="255"/>
      <c r="G1009" s="251"/>
      <c r="H1009" s="159" t="s">
        <v>705</v>
      </c>
      <c r="I1009" s="158">
        <v>203002.56</v>
      </c>
      <c r="J1009" s="158">
        <f>I1009/D1008</f>
        <v>74.540000000000006</v>
      </c>
      <c r="K1009" s="158">
        <f>151+13</f>
        <v>164</v>
      </c>
      <c r="L1009" s="7"/>
      <c r="M1009" s="7"/>
      <c r="N1009" s="7"/>
      <c r="O1009" s="7"/>
      <c r="P1009" s="7"/>
      <c r="Q1009" s="7"/>
      <c r="R1009" s="7"/>
      <c r="S1009" s="7"/>
      <c r="T1009" s="7"/>
      <c r="U1009" s="7"/>
      <c r="V1009" s="7"/>
      <c r="W1009" s="7"/>
    </row>
    <row r="1010" spans="1:23" x14ac:dyDescent="0.35">
      <c r="A1010" s="251">
        <v>77</v>
      </c>
      <c r="B1010" s="251"/>
      <c r="C1010" s="252"/>
      <c r="D1010" s="253"/>
      <c r="E1010" s="253"/>
      <c r="F1010" s="255"/>
      <c r="G1010" s="251"/>
      <c r="H1010" s="159" t="s">
        <v>74</v>
      </c>
      <c r="I1010" s="158">
        <f>K1010*D1008*0.3</f>
        <v>2264779.44</v>
      </c>
      <c r="J1010" s="158">
        <f>I1010/D1008</f>
        <v>831.6</v>
      </c>
      <c r="K1010" s="158">
        <v>2772</v>
      </c>
      <c r="L1010" s="7"/>
      <c r="M1010" s="7"/>
      <c r="N1010" s="7"/>
      <c r="O1010" s="7"/>
      <c r="P1010" s="7"/>
      <c r="Q1010" s="7"/>
      <c r="R1010" s="7"/>
      <c r="S1010" s="7"/>
      <c r="T1010" s="7"/>
      <c r="U1010" s="7"/>
      <c r="V1010" s="7"/>
      <c r="W1010" s="7"/>
    </row>
    <row r="1011" spans="1:23" x14ac:dyDescent="0.35">
      <c r="A1011" s="251">
        <f>A1008+1</f>
        <v>149</v>
      </c>
      <c r="B1011" s="251">
        <v>2307</v>
      </c>
      <c r="C1011" s="252" t="s">
        <v>428</v>
      </c>
      <c r="D1011" s="253">
        <v>2904.2</v>
      </c>
      <c r="E1011" s="253" t="s">
        <v>71</v>
      </c>
      <c r="F1011" s="255">
        <v>5</v>
      </c>
      <c r="G1011" s="251" t="s">
        <v>72</v>
      </c>
      <c r="H1011" s="159" t="s">
        <v>73</v>
      </c>
      <c r="I1011" s="158">
        <f>I1012+I1013</f>
        <v>2871601.81</v>
      </c>
      <c r="J1011" s="158">
        <f>J1012+J1013</f>
        <v>988.78</v>
      </c>
      <c r="K1011" s="158">
        <f>K1012+K1013</f>
        <v>2936</v>
      </c>
      <c r="L1011" s="7"/>
      <c r="M1011" s="7"/>
      <c r="N1011" s="7"/>
      <c r="O1011" s="7"/>
      <c r="P1011" s="7"/>
      <c r="Q1011" s="7"/>
      <c r="R1011" s="7"/>
      <c r="S1011" s="7"/>
      <c r="T1011" s="7"/>
      <c r="U1011" s="7"/>
      <c r="V1011" s="7"/>
      <c r="W1011" s="7"/>
    </row>
    <row r="1012" spans="1:23" ht="46.5" x14ac:dyDescent="0.35">
      <c r="A1012" s="251">
        <v>75</v>
      </c>
      <c r="B1012" s="251"/>
      <c r="C1012" s="252"/>
      <c r="D1012" s="253"/>
      <c r="E1012" s="253"/>
      <c r="F1012" s="255"/>
      <c r="G1012" s="251"/>
      <c r="H1012" s="159" t="s">
        <v>705</v>
      </c>
      <c r="I1012" s="158">
        <v>456469.09</v>
      </c>
      <c r="J1012" s="158">
        <f>I1012/D1011</f>
        <v>157.18</v>
      </c>
      <c r="K1012" s="158">
        <f>151+13</f>
        <v>164</v>
      </c>
      <c r="L1012" s="7"/>
      <c r="M1012" s="7"/>
      <c r="N1012" s="7"/>
      <c r="O1012" s="7"/>
      <c r="P1012" s="7"/>
      <c r="Q1012" s="7"/>
      <c r="R1012" s="7"/>
      <c r="S1012" s="7"/>
      <c r="T1012" s="7"/>
      <c r="U1012" s="7"/>
      <c r="V1012" s="7"/>
      <c r="W1012" s="7"/>
    </row>
    <row r="1013" spans="1:23" x14ac:dyDescent="0.35">
      <c r="A1013" s="251">
        <v>77</v>
      </c>
      <c r="B1013" s="251"/>
      <c r="C1013" s="252"/>
      <c r="D1013" s="253"/>
      <c r="E1013" s="253"/>
      <c r="F1013" s="255"/>
      <c r="G1013" s="251"/>
      <c r="H1013" s="159" t="s">
        <v>74</v>
      </c>
      <c r="I1013" s="158">
        <f>K1013*D1011*0.3</f>
        <v>2415132.7200000002</v>
      </c>
      <c r="J1013" s="158">
        <f>I1013/D1011</f>
        <v>831.6</v>
      </c>
      <c r="K1013" s="158">
        <v>2772</v>
      </c>
      <c r="L1013" s="7"/>
      <c r="M1013" s="7"/>
      <c r="N1013" s="7"/>
      <c r="O1013" s="7"/>
      <c r="P1013" s="7"/>
      <c r="Q1013" s="7"/>
      <c r="R1013" s="7"/>
      <c r="S1013" s="7"/>
      <c r="T1013" s="7"/>
      <c r="U1013" s="7"/>
      <c r="V1013" s="7"/>
      <c r="W1013" s="7"/>
    </row>
    <row r="1014" spans="1:23" ht="15.75" customHeight="1" x14ac:dyDescent="0.35">
      <c r="A1014" s="251">
        <f>A1011+1</f>
        <v>150</v>
      </c>
      <c r="B1014" s="251">
        <v>2387</v>
      </c>
      <c r="C1014" s="252" t="s">
        <v>429</v>
      </c>
      <c r="D1014" s="253">
        <v>7583.4</v>
      </c>
      <c r="E1014" s="253" t="s">
        <v>71</v>
      </c>
      <c r="F1014" s="255">
        <v>10</v>
      </c>
      <c r="G1014" s="123"/>
      <c r="H1014" s="159" t="s">
        <v>73</v>
      </c>
      <c r="I1014" s="158">
        <f>I1015+I1016+I1017+I1018+I1019+I1020+I1021+I1022+I1023</f>
        <v>5175909.93</v>
      </c>
      <c r="J1014" s="158">
        <f>J1015+J1016+J1017+J1018+J1019+J1020+J1021+J1022+J1023</f>
        <v>682.53</v>
      </c>
      <c r="K1014" s="158">
        <f>K1015+K1016+K1017+K1018+K1019+K1020+K1021+K1022+K1023</f>
        <v>700.2</v>
      </c>
      <c r="L1014" s="7"/>
      <c r="M1014" s="7"/>
      <c r="N1014" s="7"/>
      <c r="O1014" s="7"/>
      <c r="P1014" s="7"/>
      <c r="Q1014" s="7"/>
      <c r="R1014" s="7"/>
      <c r="S1014" s="7"/>
      <c r="T1014" s="7"/>
      <c r="U1014" s="7"/>
      <c r="V1014" s="7"/>
      <c r="W1014" s="7"/>
    </row>
    <row r="1015" spans="1:23" ht="31" x14ac:dyDescent="0.35">
      <c r="A1015" s="251"/>
      <c r="B1015" s="251"/>
      <c r="C1015" s="252"/>
      <c r="D1015" s="253"/>
      <c r="E1015" s="253"/>
      <c r="F1015" s="255"/>
      <c r="G1015" s="256" t="s">
        <v>673</v>
      </c>
      <c r="H1015" s="159" t="s">
        <v>666</v>
      </c>
      <c r="I1015" s="158">
        <v>0</v>
      </c>
      <c r="J1015" s="158">
        <v>0</v>
      </c>
      <c r="K1015" s="158">
        <f>24580/D1014</f>
        <v>3.24</v>
      </c>
      <c r="L1015" s="7"/>
      <c r="M1015" s="7"/>
      <c r="N1015" s="7"/>
      <c r="O1015" s="7"/>
      <c r="P1015" s="7"/>
      <c r="Q1015" s="7"/>
      <c r="R1015" s="7"/>
      <c r="S1015" s="7"/>
      <c r="T1015" s="7"/>
      <c r="U1015" s="7"/>
      <c r="V1015" s="7"/>
      <c r="W1015" s="7"/>
    </row>
    <row r="1016" spans="1:23" x14ac:dyDescent="0.35">
      <c r="A1016" s="251">
        <v>756</v>
      </c>
      <c r="B1016" s="251"/>
      <c r="C1016" s="252"/>
      <c r="D1016" s="253"/>
      <c r="E1016" s="253"/>
      <c r="F1016" s="255"/>
      <c r="G1016" s="257"/>
      <c r="H1016" s="159" t="s">
        <v>674</v>
      </c>
      <c r="I1016" s="158">
        <v>1689100</v>
      </c>
      <c r="J1016" s="158">
        <f>I1016/D1014</f>
        <v>222.74</v>
      </c>
      <c r="K1016" s="158">
        <f>1708823/D1014</f>
        <v>225.34</v>
      </c>
      <c r="L1016" s="7"/>
      <c r="M1016" s="7"/>
      <c r="N1016" s="7"/>
      <c r="O1016" s="7"/>
      <c r="P1016" s="7"/>
      <c r="Q1016" s="7"/>
      <c r="R1016" s="7"/>
      <c r="S1016" s="7"/>
      <c r="T1016" s="7"/>
      <c r="U1016" s="7"/>
      <c r="V1016" s="7"/>
      <c r="W1016" s="7"/>
    </row>
    <row r="1017" spans="1:23" x14ac:dyDescent="0.35">
      <c r="A1017" s="251">
        <v>757</v>
      </c>
      <c r="B1017" s="251"/>
      <c r="C1017" s="252"/>
      <c r="D1017" s="253"/>
      <c r="E1017" s="253"/>
      <c r="F1017" s="255"/>
      <c r="G1017" s="258"/>
      <c r="H1017" s="159" t="s">
        <v>76</v>
      </c>
      <c r="I1017" s="158">
        <v>36203.31</v>
      </c>
      <c r="J1017" s="158">
        <f>I1017/D1014</f>
        <v>4.7699999999999996</v>
      </c>
      <c r="K1017" s="158">
        <f>36569/D1014</f>
        <v>4.82</v>
      </c>
      <c r="L1017" s="7"/>
      <c r="M1017" s="7"/>
      <c r="N1017" s="7"/>
      <c r="O1017" s="7"/>
      <c r="P1017" s="7"/>
      <c r="Q1017" s="7"/>
      <c r="R1017" s="7"/>
      <c r="S1017" s="7"/>
      <c r="T1017" s="7"/>
      <c r="U1017" s="7"/>
      <c r="V1017" s="7"/>
      <c r="W1017" s="7"/>
    </row>
    <row r="1018" spans="1:23" ht="31" x14ac:dyDescent="0.35">
      <c r="A1018" s="251"/>
      <c r="B1018" s="251"/>
      <c r="C1018" s="252"/>
      <c r="D1018" s="253"/>
      <c r="E1018" s="253"/>
      <c r="F1018" s="255"/>
      <c r="G1018" s="256" t="s">
        <v>679</v>
      </c>
      <c r="H1018" s="159" t="s">
        <v>666</v>
      </c>
      <c r="I1018" s="158">
        <v>0</v>
      </c>
      <c r="J1018" s="158">
        <v>0</v>
      </c>
      <c r="K1018" s="158">
        <f>24580/D1014</f>
        <v>3.24</v>
      </c>
      <c r="L1018" s="7"/>
      <c r="M1018" s="7"/>
      <c r="N1018" s="7"/>
      <c r="O1018" s="7"/>
      <c r="P1018" s="7"/>
      <c r="Q1018" s="7"/>
      <c r="R1018" s="7"/>
      <c r="S1018" s="7"/>
      <c r="T1018" s="7"/>
      <c r="U1018" s="7"/>
      <c r="V1018" s="7"/>
      <c r="W1018" s="7"/>
    </row>
    <row r="1019" spans="1:23" x14ac:dyDescent="0.35">
      <c r="A1019" s="251"/>
      <c r="B1019" s="251"/>
      <c r="C1019" s="252"/>
      <c r="D1019" s="253"/>
      <c r="E1019" s="253"/>
      <c r="F1019" s="255"/>
      <c r="G1019" s="257"/>
      <c r="H1019" s="159" t="s">
        <v>674</v>
      </c>
      <c r="I1019" s="158">
        <v>1689100</v>
      </c>
      <c r="J1019" s="158">
        <f>I1019/D1014</f>
        <v>222.74</v>
      </c>
      <c r="K1019" s="158">
        <f>1708823/D1014</f>
        <v>225.34</v>
      </c>
      <c r="L1019" s="7"/>
      <c r="M1019" s="7"/>
      <c r="N1019" s="7"/>
      <c r="O1019" s="7"/>
      <c r="P1019" s="7"/>
      <c r="Q1019" s="7"/>
      <c r="R1019" s="7"/>
      <c r="S1019" s="7"/>
      <c r="T1019" s="7"/>
      <c r="U1019" s="7"/>
      <c r="V1019" s="7"/>
      <c r="W1019" s="7"/>
    </row>
    <row r="1020" spans="1:23" x14ac:dyDescent="0.35">
      <c r="A1020" s="251"/>
      <c r="B1020" s="251"/>
      <c r="C1020" s="252"/>
      <c r="D1020" s="253"/>
      <c r="E1020" s="253"/>
      <c r="F1020" s="255"/>
      <c r="G1020" s="258"/>
      <c r="H1020" s="159" t="s">
        <v>76</v>
      </c>
      <c r="I1020" s="158">
        <v>36203.31</v>
      </c>
      <c r="J1020" s="158">
        <f>I1020/D1014</f>
        <v>4.7699999999999996</v>
      </c>
      <c r="K1020" s="158">
        <f>36569/D1014</f>
        <v>4.82</v>
      </c>
      <c r="L1020" s="7"/>
      <c r="M1020" s="7"/>
      <c r="N1020" s="7"/>
      <c r="O1020" s="7"/>
      <c r="P1020" s="7"/>
      <c r="Q1020" s="7"/>
      <c r="R1020" s="7"/>
      <c r="S1020" s="7"/>
      <c r="T1020" s="7"/>
      <c r="U1020" s="7"/>
      <c r="V1020" s="7"/>
      <c r="W1020" s="7"/>
    </row>
    <row r="1021" spans="1:23" ht="31" x14ac:dyDescent="0.35">
      <c r="A1021" s="251"/>
      <c r="B1021" s="251"/>
      <c r="C1021" s="252"/>
      <c r="D1021" s="253"/>
      <c r="E1021" s="253"/>
      <c r="F1021" s="255"/>
      <c r="G1021" s="256" t="s">
        <v>680</v>
      </c>
      <c r="H1021" s="159" t="s">
        <v>666</v>
      </c>
      <c r="I1021" s="158">
        <v>0</v>
      </c>
      <c r="J1021" s="158">
        <v>0</v>
      </c>
      <c r="K1021" s="158">
        <f>24580/D1014</f>
        <v>3.24</v>
      </c>
      <c r="L1021" s="7"/>
      <c r="M1021" s="7"/>
      <c r="N1021" s="7"/>
      <c r="O1021" s="7"/>
      <c r="P1021" s="7"/>
      <c r="Q1021" s="7"/>
      <c r="R1021" s="7"/>
      <c r="S1021" s="7"/>
      <c r="T1021" s="7"/>
      <c r="U1021" s="7"/>
      <c r="V1021" s="7"/>
      <c r="W1021" s="7"/>
    </row>
    <row r="1022" spans="1:23" x14ac:dyDescent="0.35">
      <c r="A1022" s="251"/>
      <c r="B1022" s="251"/>
      <c r="C1022" s="252"/>
      <c r="D1022" s="253"/>
      <c r="E1022" s="253"/>
      <c r="F1022" s="255"/>
      <c r="G1022" s="257"/>
      <c r="H1022" s="159" t="s">
        <v>674</v>
      </c>
      <c r="I1022" s="158">
        <v>1689100</v>
      </c>
      <c r="J1022" s="158">
        <f>I1022/D1014</f>
        <v>222.74</v>
      </c>
      <c r="K1022" s="158">
        <f>1708823/D1014</f>
        <v>225.34</v>
      </c>
      <c r="L1022" s="7"/>
      <c r="M1022" s="7"/>
      <c r="N1022" s="7"/>
      <c r="O1022" s="7"/>
      <c r="P1022" s="7"/>
      <c r="Q1022" s="7"/>
      <c r="R1022" s="7"/>
      <c r="S1022" s="7"/>
      <c r="T1022" s="7"/>
      <c r="U1022" s="7"/>
      <c r="V1022" s="7"/>
      <c r="W1022" s="7"/>
    </row>
    <row r="1023" spans="1:23" x14ac:dyDescent="0.35">
      <c r="A1023" s="251"/>
      <c r="B1023" s="251"/>
      <c r="C1023" s="252"/>
      <c r="D1023" s="253"/>
      <c r="E1023" s="253"/>
      <c r="F1023" s="255"/>
      <c r="G1023" s="258"/>
      <c r="H1023" s="159" t="s">
        <v>76</v>
      </c>
      <c r="I1023" s="158">
        <v>36203.31</v>
      </c>
      <c r="J1023" s="158">
        <f>I1023/D1014</f>
        <v>4.7699999999999996</v>
      </c>
      <c r="K1023" s="158">
        <f>36569/D1014</f>
        <v>4.82</v>
      </c>
      <c r="L1023" s="7"/>
      <c r="M1023" s="7"/>
      <c r="N1023" s="7"/>
      <c r="O1023" s="7"/>
      <c r="P1023" s="7"/>
      <c r="Q1023" s="7"/>
      <c r="R1023" s="7"/>
      <c r="S1023" s="7"/>
      <c r="T1023" s="7"/>
      <c r="U1023" s="7"/>
      <c r="V1023" s="7"/>
      <c r="W1023" s="7"/>
    </row>
    <row r="1024" spans="1:23" x14ac:dyDescent="0.35">
      <c r="A1024" s="251">
        <f>A1014+1</f>
        <v>151</v>
      </c>
      <c r="B1024" s="251">
        <v>2880</v>
      </c>
      <c r="C1024" s="252" t="s">
        <v>430</v>
      </c>
      <c r="D1024" s="253">
        <v>222.1</v>
      </c>
      <c r="E1024" s="253" t="s">
        <v>665</v>
      </c>
      <c r="F1024" s="255">
        <v>2</v>
      </c>
      <c r="G1024" s="251" t="s">
        <v>72</v>
      </c>
      <c r="H1024" s="159" t="s">
        <v>73</v>
      </c>
      <c r="I1024" s="158">
        <f>I1025+I1026</f>
        <v>500480.14</v>
      </c>
      <c r="J1024" s="158">
        <f>J1025+J1026</f>
        <v>2253.4</v>
      </c>
      <c r="K1024" s="158">
        <f>K1025+K1026</f>
        <v>7096</v>
      </c>
      <c r="L1024" s="7"/>
      <c r="M1024" s="7"/>
      <c r="N1024" s="7"/>
      <c r="O1024" s="7"/>
      <c r="P1024" s="7"/>
      <c r="Q1024" s="7"/>
      <c r="R1024" s="7"/>
      <c r="S1024" s="7"/>
      <c r="T1024" s="7"/>
      <c r="U1024" s="7"/>
      <c r="V1024" s="7"/>
      <c r="W1024" s="7"/>
    </row>
    <row r="1025" spans="1:23" ht="46.5" x14ac:dyDescent="0.35">
      <c r="A1025" s="251"/>
      <c r="B1025" s="251"/>
      <c r="C1025" s="252"/>
      <c r="D1025" s="253"/>
      <c r="E1025" s="253"/>
      <c r="F1025" s="255"/>
      <c r="G1025" s="251"/>
      <c r="H1025" s="159" t="s">
        <v>705</v>
      </c>
      <c r="I1025" s="158">
        <f>36424.4+D1024*14</f>
        <v>39533.800000000003</v>
      </c>
      <c r="J1025" s="158">
        <f>I1025/D1024</f>
        <v>178</v>
      </c>
      <c r="K1025" s="158">
        <f>164+14</f>
        <v>178</v>
      </c>
      <c r="L1025" s="7"/>
      <c r="M1025" s="7"/>
      <c r="N1025" s="7"/>
      <c r="O1025" s="7"/>
      <c r="P1025" s="7"/>
      <c r="Q1025" s="7"/>
      <c r="R1025" s="7"/>
      <c r="S1025" s="7"/>
      <c r="T1025" s="7"/>
      <c r="U1025" s="7"/>
      <c r="V1025" s="7"/>
      <c r="W1025" s="7"/>
    </row>
    <row r="1026" spans="1:23" x14ac:dyDescent="0.35">
      <c r="A1026" s="251">
        <v>75</v>
      </c>
      <c r="B1026" s="251"/>
      <c r="C1026" s="252"/>
      <c r="D1026" s="253"/>
      <c r="E1026" s="253"/>
      <c r="F1026" s="255"/>
      <c r="G1026" s="251"/>
      <c r="H1026" s="159" t="s">
        <v>74</v>
      </c>
      <c r="I1026" s="158">
        <f>D1024*K1026*0.3</f>
        <v>460946.34</v>
      </c>
      <c r="J1026" s="158">
        <f>I1026/D1024</f>
        <v>2075.4</v>
      </c>
      <c r="K1026" s="158">
        <v>6918</v>
      </c>
      <c r="L1026" s="7"/>
      <c r="M1026" s="7"/>
      <c r="N1026" s="7"/>
      <c r="O1026" s="7"/>
      <c r="P1026" s="7"/>
      <c r="Q1026" s="7"/>
      <c r="R1026" s="7"/>
      <c r="S1026" s="7"/>
      <c r="T1026" s="7"/>
      <c r="U1026" s="7"/>
      <c r="V1026" s="7"/>
      <c r="W1026" s="7"/>
    </row>
    <row r="1027" spans="1:23" ht="15.75" customHeight="1" x14ac:dyDescent="0.35">
      <c r="A1027" s="251">
        <f>A1024+1</f>
        <v>152</v>
      </c>
      <c r="B1027" s="251">
        <v>2911</v>
      </c>
      <c r="C1027" s="252" t="s">
        <v>431</v>
      </c>
      <c r="D1027" s="253">
        <v>170.5</v>
      </c>
      <c r="E1027" s="253" t="s">
        <v>80</v>
      </c>
      <c r="F1027" s="255">
        <v>2</v>
      </c>
      <c r="G1027" s="251" t="s">
        <v>72</v>
      </c>
      <c r="H1027" s="159" t="s">
        <v>73</v>
      </c>
      <c r="I1027" s="158">
        <f>I1028+I1029</f>
        <v>664950</v>
      </c>
      <c r="J1027" s="158">
        <f>J1028+J1029</f>
        <v>3900</v>
      </c>
      <c r="K1027" s="158">
        <f>K1028+K1029</f>
        <v>3900</v>
      </c>
      <c r="L1027" s="7"/>
      <c r="M1027" s="7"/>
      <c r="N1027" s="7"/>
      <c r="O1027" s="7"/>
      <c r="P1027" s="7"/>
      <c r="Q1027" s="7"/>
      <c r="R1027" s="7"/>
      <c r="S1027" s="7"/>
      <c r="T1027" s="7"/>
      <c r="U1027" s="7"/>
      <c r="V1027" s="7"/>
      <c r="W1027" s="7"/>
    </row>
    <row r="1028" spans="1:23" ht="46.5" x14ac:dyDescent="0.35">
      <c r="A1028" s="251"/>
      <c r="B1028" s="251"/>
      <c r="C1028" s="252"/>
      <c r="D1028" s="253"/>
      <c r="E1028" s="253"/>
      <c r="F1028" s="255"/>
      <c r="G1028" s="251"/>
      <c r="H1028" s="159" t="s">
        <v>705</v>
      </c>
      <c r="I1028" s="158">
        <f>D1027*K1028</f>
        <v>470068.5</v>
      </c>
      <c r="J1028" s="158">
        <f>I1028/D1027</f>
        <v>2757</v>
      </c>
      <c r="K1028" s="158">
        <f>2544+213</f>
        <v>2757</v>
      </c>
      <c r="L1028" s="7"/>
      <c r="M1028" s="7"/>
      <c r="N1028" s="7"/>
      <c r="O1028" s="7"/>
      <c r="P1028" s="7"/>
      <c r="Q1028" s="7"/>
      <c r="R1028" s="7"/>
      <c r="S1028" s="7"/>
      <c r="T1028" s="7"/>
      <c r="U1028" s="7"/>
      <c r="V1028" s="7"/>
      <c r="W1028" s="7"/>
    </row>
    <row r="1029" spans="1:23" ht="31" x14ac:dyDescent="0.35">
      <c r="A1029" s="251"/>
      <c r="B1029" s="251"/>
      <c r="C1029" s="252"/>
      <c r="D1029" s="253"/>
      <c r="E1029" s="253"/>
      <c r="F1029" s="255"/>
      <c r="G1029" s="251"/>
      <c r="H1029" s="159" t="s">
        <v>698</v>
      </c>
      <c r="I1029" s="158">
        <f>D1027*K1029</f>
        <v>194881.5</v>
      </c>
      <c r="J1029" s="158">
        <f>I1029/D1027</f>
        <v>1143</v>
      </c>
      <c r="K1029" s="158">
        <v>1143</v>
      </c>
      <c r="L1029" s="7"/>
      <c r="M1029" s="7"/>
      <c r="N1029" s="7"/>
      <c r="O1029" s="7"/>
      <c r="P1029" s="7"/>
      <c r="Q1029" s="7"/>
      <c r="R1029" s="7"/>
      <c r="S1029" s="7"/>
      <c r="T1029" s="7"/>
      <c r="U1029" s="7"/>
      <c r="V1029" s="7"/>
      <c r="W1029" s="7"/>
    </row>
    <row r="1030" spans="1:23" ht="15.75" customHeight="1" x14ac:dyDescent="0.35">
      <c r="A1030" s="251">
        <f>A1027+1</f>
        <v>153</v>
      </c>
      <c r="B1030" s="251">
        <v>2330</v>
      </c>
      <c r="C1030" s="252" t="s">
        <v>432</v>
      </c>
      <c r="D1030" s="253">
        <v>6425.5</v>
      </c>
      <c r="E1030" s="253" t="s">
        <v>75</v>
      </c>
      <c r="F1030" s="255">
        <v>10</v>
      </c>
      <c r="G1030" s="123"/>
      <c r="H1030" s="159" t="s">
        <v>73</v>
      </c>
      <c r="I1030" s="158">
        <f>I1031+I1032+I1033+I1034+I1035+I1036+I1037+I1038+I1039</f>
        <v>5193257.8</v>
      </c>
      <c r="J1030" s="158">
        <f>J1031+J1032+J1033+J1034+J1035+J1036+J1037+J1038+J1039</f>
        <v>808.23</v>
      </c>
      <c r="K1030" s="158">
        <f>K1031+K1032+K1033+K1034+K1035+K1036+K1037+K1038+K1039</f>
        <v>826.38</v>
      </c>
      <c r="L1030" s="7"/>
      <c r="M1030" s="7"/>
      <c r="N1030" s="7"/>
      <c r="O1030" s="7"/>
      <c r="P1030" s="7"/>
      <c r="Q1030" s="7"/>
      <c r="R1030" s="7"/>
      <c r="S1030" s="7"/>
      <c r="T1030" s="7"/>
      <c r="U1030" s="7"/>
      <c r="V1030" s="7"/>
      <c r="W1030" s="7"/>
    </row>
    <row r="1031" spans="1:23" ht="31" x14ac:dyDescent="0.35">
      <c r="A1031" s="251"/>
      <c r="B1031" s="251"/>
      <c r="C1031" s="252"/>
      <c r="D1031" s="253"/>
      <c r="E1031" s="253"/>
      <c r="F1031" s="255"/>
      <c r="G1031" s="256" t="s">
        <v>673</v>
      </c>
      <c r="H1031" s="159" t="s">
        <v>666</v>
      </c>
      <c r="I1031" s="158">
        <v>0</v>
      </c>
      <c r="J1031" s="158">
        <v>0</v>
      </c>
      <c r="K1031" s="158">
        <f>24580/D1030-0.01</f>
        <v>3.82</v>
      </c>
      <c r="L1031" s="7"/>
      <c r="M1031" s="7"/>
      <c r="N1031" s="7"/>
      <c r="O1031" s="7"/>
      <c r="P1031" s="7"/>
      <c r="Q1031" s="7"/>
      <c r="R1031" s="7"/>
      <c r="S1031" s="7"/>
      <c r="T1031" s="7"/>
      <c r="U1031" s="7"/>
      <c r="V1031" s="7"/>
      <c r="W1031" s="7"/>
    </row>
    <row r="1032" spans="1:23" x14ac:dyDescent="0.35">
      <c r="A1032" s="251">
        <v>756</v>
      </c>
      <c r="B1032" s="251"/>
      <c r="C1032" s="252"/>
      <c r="D1032" s="253"/>
      <c r="E1032" s="253"/>
      <c r="F1032" s="255"/>
      <c r="G1032" s="257"/>
      <c r="H1032" s="159" t="s">
        <v>674</v>
      </c>
      <c r="I1032" s="158">
        <v>1694882.63</v>
      </c>
      <c r="J1032" s="158">
        <f>I1032/D1030+0.01</f>
        <v>263.77999999999997</v>
      </c>
      <c r="K1032" s="158">
        <f>1708823/D1030+0.01</f>
        <v>265.95</v>
      </c>
      <c r="L1032" s="7"/>
      <c r="M1032" s="7"/>
      <c r="N1032" s="7"/>
      <c r="O1032" s="7"/>
      <c r="P1032" s="7"/>
      <c r="Q1032" s="7"/>
      <c r="R1032" s="7"/>
      <c r="S1032" s="7"/>
      <c r="T1032" s="7"/>
      <c r="U1032" s="7"/>
      <c r="V1032" s="7"/>
      <c r="W1032" s="7"/>
    </row>
    <row r="1033" spans="1:23" x14ac:dyDescent="0.35">
      <c r="A1033" s="251">
        <v>757</v>
      </c>
      <c r="B1033" s="251"/>
      <c r="C1033" s="252"/>
      <c r="D1033" s="253"/>
      <c r="E1033" s="253"/>
      <c r="F1033" s="255"/>
      <c r="G1033" s="258"/>
      <c r="H1033" s="159" t="s">
        <v>76</v>
      </c>
      <c r="I1033" s="158">
        <v>36203.31</v>
      </c>
      <c r="J1033" s="158">
        <f>I1033/D1030</f>
        <v>5.63</v>
      </c>
      <c r="K1033" s="158">
        <f>36569/D1030</f>
        <v>5.69</v>
      </c>
      <c r="L1033" s="7"/>
      <c r="M1033" s="7"/>
      <c r="N1033" s="7"/>
      <c r="O1033" s="7"/>
      <c r="P1033" s="7"/>
      <c r="Q1033" s="7"/>
      <c r="R1033" s="7"/>
      <c r="S1033" s="7"/>
      <c r="T1033" s="7"/>
      <c r="U1033" s="7"/>
      <c r="V1033" s="7"/>
      <c r="W1033" s="7"/>
    </row>
    <row r="1034" spans="1:23" ht="31" x14ac:dyDescent="0.35">
      <c r="A1034" s="251"/>
      <c r="B1034" s="251"/>
      <c r="C1034" s="252"/>
      <c r="D1034" s="253"/>
      <c r="E1034" s="253"/>
      <c r="F1034" s="255"/>
      <c r="G1034" s="256" t="s">
        <v>679</v>
      </c>
      <c r="H1034" s="159" t="s">
        <v>666</v>
      </c>
      <c r="I1034" s="158">
        <v>0</v>
      </c>
      <c r="J1034" s="158">
        <v>0</v>
      </c>
      <c r="K1034" s="158">
        <f>24580/D1030-0.01</f>
        <v>3.82</v>
      </c>
      <c r="L1034" s="7"/>
      <c r="M1034" s="7"/>
      <c r="N1034" s="7"/>
      <c r="O1034" s="7"/>
      <c r="P1034" s="7"/>
      <c r="Q1034" s="7"/>
      <c r="R1034" s="7"/>
      <c r="S1034" s="7"/>
      <c r="T1034" s="7"/>
      <c r="U1034" s="7"/>
      <c r="V1034" s="7"/>
      <c r="W1034" s="7"/>
    </row>
    <row r="1035" spans="1:23" x14ac:dyDescent="0.35">
      <c r="A1035" s="251"/>
      <c r="B1035" s="251"/>
      <c r="C1035" s="252"/>
      <c r="D1035" s="253"/>
      <c r="E1035" s="253"/>
      <c r="F1035" s="255"/>
      <c r="G1035" s="257"/>
      <c r="H1035" s="159" t="s">
        <v>674</v>
      </c>
      <c r="I1035" s="158">
        <v>1694882.63</v>
      </c>
      <c r="J1035" s="158">
        <f>I1035/D1030+0.01</f>
        <v>263.77999999999997</v>
      </c>
      <c r="K1035" s="158">
        <f>1708823/D1030+0.01</f>
        <v>265.95</v>
      </c>
      <c r="L1035" s="7"/>
      <c r="M1035" s="7"/>
      <c r="N1035" s="7"/>
      <c r="O1035" s="7"/>
      <c r="P1035" s="7"/>
      <c r="Q1035" s="7"/>
      <c r="R1035" s="7"/>
      <c r="S1035" s="7"/>
      <c r="T1035" s="7"/>
      <c r="U1035" s="7"/>
      <c r="V1035" s="7"/>
      <c r="W1035" s="7"/>
    </row>
    <row r="1036" spans="1:23" x14ac:dyDescent="0.35">
      <c r="A1036" s="251"/>
      <c r="B1036" s="251"/>
      <c r="C1036" s="252"/>
      <c r="D1036" s="253"/>
      <c r="E1036" s="253"/>
      <c r="F1036" s="255"/>
      <c r="G1036" s="258"/>
      <c r="H1036" s="159" t="s">
        <v>76</v>
      </c>
      <c r="I1036" s="158">
        <v>36203.31</v>
      </c>
      <c r="J1036" s="158">
        <f>I1036/D1030</f>
        <v>5.63</v>
      </c>
      <c r="K1036" s="158">
        <f>36569/D1030</f>
        <v>5.69</v>
      </c>
      <c r="L1036" s="7"/>
      <c r="M1036" s="7"/>
      <c r="N1036" s="7"/>
      <c r="O1036" s="7"/>
      <c r="P1036" s="7"/>
      <c r="Q1036" s="7"/>
      <c r="R1036" s="7"/>
      <c r="S1036" s="7"/>
      <c r="T1036" s="7"/>
      <c r="U1036" s="7"/>
      <c r="V1036" s="7"/>
      <c r="W1036" s="7"/>
    </row>
    <row r="1037" spans="1:23" ht="31" x14ac:dyDescent="0.35">
      <c r="A1037" s="251"/>
      <c r="B1037" s="251"/>
      <c r="C1037" s="252"/>
      <c r="D1037" s="253"/>
      <c r="E1037" s="253"/>
      <c r="F1037" s="255"/>
      <c r="G1037" s="256" t="s">
        <v>680</v>
      </c>
      <c r="H1037" s="159" t="s">
        <v>666</v>
      </c>
      <c r="I1037" s="158">
        <v>0</v>
      </c>
      <c r="J1037" s="158">
        <v>0</v>
      </c>
      <c r="K1037" s="158">
        <f>24580/D1030</f>
        <v>3.83</v>
      </c>
      <c r="L1037" s="7"/>
      <c r="M1037" s="7"/>
      <c r="N1037" s="7"/>
      <c r="O1037" s="7"/>
      <c r="P1037" s="7"/>
      <c r="Q1037" s="7"/>
      <c r="R1037" s="7"/>
      <c r="S1037" s="7"/>
      <c r="T1037" s="7"/>
      <c r="U1037" s="7"/>
      <c r="V1037" s="7"/>
      <c r="W1037" s="7"/>
    </row>
    <row r="1038" spans="1:23" x14ac:dyDescent="0.35">
      <c r="A1038" s="251"/>
      <c r="B1038" s="251"/>
      <c r="C1038" s="252"/>
      <c r="D1038" s="253"/>
      <c r="E1038" s="253"/>
      <c r="F1038" s="255"/>
      <c r="G1038" s="257"/>
      <c r="H1038" s="159" t="s">
        <v>674</v>
      </c>
      <c r="I1038" s="158">
        <v>1694882.61</v>
      </c>
      <c r="J1038" s="158">
        <f>I1038/D1030+0.01</f>
        <v>263.77999999999997</v>
      </c>
      <c r="K1038" s="158">
        <f>1708823/D1030</f>
        <v>265.94</v>
      </c>
      <c r="L1038" s="7"/>
      <c r="M1038" s="7"/>
      <c r="N1038" s="7"/>
      <c r="O1038" s="7"/>
      <c r="P1038" s="7"/>
      <c r="Q1038" s="7"/>
      <c r="R1038" s="7"/>
      <c r="S1038" s="7"/>
      <c r="T1038" s="7"/>
      <c r="U1038" s="7"/>
      <c r="V1038" s="7"/>
      <c r="W1038" s="7"/>
    </row>
    <row r="1039" spans="1:23" x14ac:dyDescent="0.35">
      <c r="A1039" s="251"/>
      <c r="B1039" s="251"/>
      <c r="C1039" s="252"/>
      <c r="D1039" s="253"/>
      <c r="E1039" s="253"/>
      <c r="F1039" s="255"/>
      <c r="G1039" s="258"/>
      <c r="H1039" s="159" t="s">
        <v>76</v>
      </c>
      <c r="I1039" s="158">
        <v>36203.31</v>
      </c>
      <c r="J1039" s="158">
        <f>I1039/D1030</f>
        <v>5.63</v>
      </c>
      <c r="K1039" s="158">
        <f>36569/D1030</f>
        <v>5.69</v>
      </c>
      <c r="L1039" s="7"/>
      <c r="M1039" s="7"/>
      <c r="N1039" s="7"/>
      <c r="O1039" s="7"/>
      <c r="P1039" s="7"/>
      <c r="Q1039" s="7"/>
      <c r="R1039" s="7"/>
      <c r="S1039" s="7"/>
      <c r="T1039" s="7"/>
      <c r="U1039" s="7"/>
      <c r="V1039" s="7"/>
      <c r="W1039" s="7"/>
    </row>
    <row r="1040" spans="1:23" ht="15.75" customHeight="1" x14ac:dyDescent="0.35">
      <c r="A1040" s="251">
        <f>A1030+1</f>
        <v>154</v>
      </c>
      <c r="B1040" s="251">
        <v>2464</v>
      </c>
      <c r="C1040" s="252" t="s">
        <v>433</v>
      </c>
      <c r="D1040" s="253">
        <v>3284.7</v>
      </c>
      <c r="E1040" s="253" t="s">
        <v>71</v>
      </c>
      <c r="F1040" s="255">
        <v>5</v>
      </c>
      <c r="G1040" s="251" t="s">
        <v>84</v>
      </c>
      <c r="H1040" s="159" t="s">
        <v>73</v>
      </c>
      <c r="I1040" s="158">
        <f>I1041+I1042</f>
        <v>525996.73</v>
      </c>
      <c r="J1040" s="158">
        <f>J1041+J1042</f>
        <v>160.13999999999999</v>
      </c>
      <c r="K1040" s="158">
        <f>K1041+K1042</f>
        <v>168</v>
      </c>
      <c r="L1040" s="7"/>
      <c r="M1040" s="7"/>
      <c r="N1040" s="7"/>
      <c r="O1040" s="7"/>
      <c r="P1040" s="7"/>
      <c r="Q1040" s="7"/>
      <c r="R1040" s="7"/>
      <c r="S1040" s="7"/>
      <c r="T1040" s="7"/>
      <c r="U1040" s="7"/>
      <c r="V1040" s="7"/>
      <c r="W1040" s="7"/>
    </row>
    <row r="1041" spans="1:223" x14ac:dyDescent="0.35">
      <c r="A1041" s="251"/>
      <c r="B1041" s="251"/>
      <c r="C1041" s="252"/>
      <c r="D1041" s="253"/>
      <c r="E1041" s="253"/>
      <c r="F1041" s="255"/>
      <c r="G1041" s="251"/>
      <c r="H1041" s="159" t="s">
        <v>74</v>
      </c>
      <c r="I1041" s="158">
        <v>519493.02</v>
      </c>
      <c r="J1041" s="158">
        <f>I1041/D1040</f>
        <v>158.16</v>
      </c>
      <c r="K1041" s="158">
        <v>164</v>
      </c>
      <c r="L1041" s="7"/>
      <c r="M1041" s="7"/>
      <c r="N1041" s="7"/>
      <c r="O1041" s="7"/>
      <c r="P1041" s="7"/>
      <c r="Q1041" s="7"/>
      <c r="R1041" s="7"/>
      <c r="S1041" s="7"/>
      <c r="T1041" s="7"/>
      <c r="U1041" s="7"/>
      <c r="V1041" s="7"/>
      <c r="W1041" s="7"/>
    </row>
    <row r="1042" spans="1:223" x14ac:dyDescent="0.35">
      <c r="A1042" s="251"/>
      <c r="B1042" s="251"/>
      <c r="C1042" s="252"/>
      <c r="D1042" s="253"/>
      <c r="E1042" s="253"/>
      <c r="F1042" s="255"/>
      <c r="G1042" s="251"/>
      <c r="H1042" s="159" t="s">
        <v>76</v>
      </c>
      <c r="I1042" s="158">
        <v>6503.71</v>
      </c>
      <c r="J1042" s="158">
        <f>I1042/D1040</f>
        <v>1.98</v>
      </c>
      <c r="K1042" s="158">
        <v>4</v>
      </c>
      <c r="L1042" s="7"/>
      <c r="M1042" s="7"/>
      <c r="N1042" s="7"/>
      <c r="O1042" s="7"/>
      <c r="P1042" s="7"/>
      <c r="Q1042" s="7"/>
      <c r="R1042" s="7"/>
      <c r="S1042" s="7"/>
      <c r="T1042" s="7"/>
      <c r="U1042" s="7"/>
      <c r="V1042" s="7"/>
      <c r="W1042" s="7"/>
    </row>
    <row r="1043" spans="1:223" ht="15.75" customHeight="1" x14ac:dyDescent="0.35">
      <c r="A1043" s="251">
        <f>A1040+1</f>
        <v>155</v>
      </c>
      <c r="B1043" s="251">
        <v>2382</v>
      </c>
      <c r="C1043" s="252" t="s">
        <v>434</v>
      </c>
      <c r="D1043" s="253">
        <v>2381.6</v>
      </c>
      <c r="E1043" s="253" t="s">
        <v>71</v>
      </c>
      <c r="F1043" s="255">
        <v>5</v>
      </c>
      <c r="G1043" s="251" t="s">
        <v>84</v>
      </c>
      <c r="H1043" s="159" t="s">
        <v>73</v>
      </c>
      <c r="I1043" s="158">
        <f>I1044+I1045</f>
        <v>649798.23</v>
      </c>
      <c r="J1043" s="158">
        <f>J1044+J1045</f>
        <v>272.83999999999997</v>
      </c>
      <c r="K1043" s="158">
        <f>K1044+K1045</f>
        <v>277</v>
      </c>
      <c r="L1043" s="7"/>
      <c r="M1043" s="7"/>
      <c r="N1043" s="7"/>
      <c r="O1043" s="7"/>
      <c r="P1043" s="7"/>
      <c r="Q1043" s="7"/>
      <c r="R1043" s="7"/>
      <c r="S1043" s="7"/>
      <c r="T1043" s="7"/>
      <c r="U1043" s="7"/>
      <c r="V1043" s="7"/>
      <c r="W1043" s="7"/>
    </row>
    <row r="1044" spans="1:223" x14ac:dyDescent="0.35">
      <c r="A1044" s="251"/>
      <c r="B1044" s="251"/>
      <c r="C1044" s="252"/>
      <c r="D1044" s="253"/>
      <c r="E1044" s="253"/>
      <c r="F1044" s="255"/>
      <c r="G1044" s="251"/>
      <c r="H1044" s="159" t="s">
        <v>74</v>
      </c>
      <c r="I1044" s="158">
        <v>645082.66</v>
      </c>
      <c r="J1044" s="158">
        <f>I1044/D1043</f>
        <v>270.86</v>
      </c>
      <c r="K1044" s="158">
        <v>271</v>
      </c>
      <c r="L1044" s="7"/>
      <c r="M1044" s="7"/>
      <c r="N1044" s="7"/>
      <c r="O1044" s="7"/>
      <c r="P1044" s="7"/>
      <c r="Q1044" s="7"/>
      <c r="R1044" s="7"/>
      <c r="S1044" s="7"/>
      <c r="T1044" s="7"/>
      <c r="U1044" s="7"/>
      <c r="V1044" s="7"/>
      <c r="W1044" s="7"/>
    </row>
    <row r="1045" spans="1:223" x14ac:dyDescent="0.35">
      <c r="A1045" s="251"/>
      <c r="B1045" s="251"/>
      <c r="C1045" s="252"/>
      <c r="D1045" s="253"/>
      <c r="E1045" s="253"/>
      <c r="F1045" s="255"/>
      <c r="G1045" s="251"/>
      <c r="H1045" s="159" t="s">
        <v>76</v>
      </c>
      <c r="I1045" s="158">
        <v>4715.57</v>
      </c>
      <c r="J1045" s="158">
        <f>I1045/D1043</f>
        <v>1.98</v>
      </c>
      <c r="K1045" s="158">
        <v>6</v>
      </c>
      <c r="L1045" s="7"/>
      <c r="M1045" s="7"/>
      <c r="N1045" s="7"/>
      <c r="O1045" s="7"/>
      <c r="P1045" s="7"/>
      <c r="Q1045" s="7"/>
      <c r="R1045" s="7"/>
      <c r="S1045" s="7"/>
      <c r="T1045" s="7"/>
      <c r="U1045" s="7"/>
      <c r="V1045" s="7"/>
      <c r="W1045" s="7"/>
    </row>
    <row r="1046" spans="1:223" ht="15.75" customHeight="1" x14ac:dyDescent="0.35">
      <c r="A1046" s="251">
        <f>A1043+1</f>
        <v>156</v>
      </c>
      <c r="B1046" s="251">
        <v>2352</v>
      </c>
      <c r="C1046" s="252" t="s">
        <v>435</v>
      </c>
      <c r="D1046" s="253">
        <v>3111.8</v>
      </c>
      <c r="E1046" s="253" t="s">
        <v>75</v>
      </c>
      <c r="F1046" s="255">
        <v>10</v>
      </c>
      <c r="G1046" s="123"/>
      <c r="H1046" s="159" t="s">
        <v>73</v>
      </c>
      <c r="I1046" s="158">
        <f>I1047+I1048+I1049</f>
        <v>1736477.4</v>
      </c>
      <c r="J1046" s="158">
        <f>J1047+J1048+J1049</f>
        <v>558.03</v>
      </c>
      <c r="K1046" s="158">
        <f>K1047+K1048+K1049</f>
        <v>568.79</v>
      </c>
      <c r="L1046" s="7"/>
      <c r="M1046" s="7"/>
      <c r="N1046" s="7"/>
      <c r="O1046" s="7"/>
      <c r="P1046" s="7"/>
      <c r="Q1046" s="7"/>
      <c r="R1046" s="7"/>
      <c r="S1046" s="7"/>
      <c r="T1046" s="7"/>
      <c r="U1046" s="7"/>
      <c r="V1046" s="7"/>
      <c r="W1046" s="7"/>
    </row>
    <row r="1047" spans="1:223" ht="31" x14ac:dyDescent="0.35">
      <c r="A1047" s="251"/>
      <c r="B1047" s="251"/>
      <c r="C1047" s="252"/>
      <c r="D1047" s="253"/>
      <c r="E1047" s="253"/>
      <c r="F1047" s="255"/>
      <c r="G1047" s="256" t="s">
        <v>673</v>
      </c>
      <c r="H1047" s="159" t="s">
        <v>666</v>
      </c>
      <c r="I1047" s="158">
        <v>0</v>
      </c>
      <c r="J1047" s="158">
        <v>0</v>
      </c>
      <c r="K1047" s="158">
        <f>24580/D1046-0.01</f>
        <v>7.89</v>
      </c>
      <c r="L1047" s="7"/>
      <c r="M1047" s="7"/>
      <c r="N1047" s="7"/>
      <c r="O1047" s="7"/>
      <c r="P1047" s="7"/>
      <c r="Q1047" s="7"/>
      <c r="R1047" s="7"/>
      <c r="S1047" s="7"/>
      <c r="T1047" s="7"/>
      <c r="U1047" s="7"/>
      <c r="V1047" s="7"/>
      <c r="W1047" s="7"/>
    </row>
    <row r="1048" spans="1:223" x14ac:dyDescent="0.35">
      <c r="A1048" s="251"/>
      <c r="B1048" s="251"/>
      <c r="C1048" s="252"/>
      <c r="D1048" s="253"/>
      <c r="E1048" s="253"/>
      <c r="F1048" s="255"/>
      <c r="G1048" s="257"/>
      <c r="H1048" s="159" t="s">
        <v>674</v>
      </c>
      <c r="I1048" s="158">
        <v>1700274.09</v>
      </c>
      <c r="J1048" s="158">
        <f>I1048/D1046</f>
        <v>546.4</v>
      </c>
      <c r="K1048" s="158">
        <f>1708823/D1046+0.01</f>
        <v>549.15</v>
      </c>
      <c r="L1048" s="7"/>
      <c r="M1048" s="7"/>
      <c r="N1048" s="7"/>
      <c r="O1048" s="7"/>
      <c r="P1048" s="7"/>
      <c r="Q1048" s="7"/>
      <c r="R1048" s="7"/>
      <c r="S1048" s="7"/>
      <c r="T1048" s="7"/>
      <c r="U1048" s="7"/>
      <c r="V1048" s="7"/>
      <c r="W1048" s="7"/>
    </row>
    <row r="1049" spans="1:223" x14ac:dyDescent="0.35">
      <c r="A1049" s="251"/>
      <c r="B1049" s="251"/>
      <c r="C1049" s="252"/>
      <c r="D1049" s="253"/>
      <c r="E1049" s="253"/>
      <c r="F1049" s="255"/>
      <c r="G1049" s="258"/>
      <c r="H1049" s="159" t="s">
        <v>76</v>
      </c>
      <c r="I1049" s="158">
        <v>36203.31</v>
      </c>
      <c r="J1049" s="158">
        <f>I1049/D1046</f>
        <v>11.63</v>
      </c>
      <c r="K1049" s="158">
        <f>36569/D1046</f>
        <v>11.75</v>
      </c>
      <c r="L1049" s="7"/>
      <c r="M1049" s="7"/>
      <c r="N1049" s="7"/>
      <c r="O1049" s="7"/>
      <c r="P1049" s="7"/>
      <c r="Q1049" s="7"/>
      <c r="R1049" s="7"/>
      <c r="S1049" s="7"/>
      <c r="T1049" s="7"/>
      <c r="U1049" s="7"/>
      <c r="V1049" s="7"/>
      <c r="W1049" s="7"/>
    </row>
    <row r="1050" spans="1:223" s="16" customFormat="1" ht="15.75" customHeight="1" x14ac:dyDescent="0.35">
      <c r="A1050" s="153" t="s">
        <v>36</v>
      </c>
      <c r="B1050" s="147"/>
      <c r="C1050" s="73"/>
      <c r="D1050" s="125">
        <f>D1051</f>
        <v>952.63</v>
      </c>
      <c r="E1050" s="142"/>
      <c r="F1050" s="142"/>
      <c r="G1050" s="142"/>
      <c r="H1050" s="158"/>
      <c r="I1050" s="158">
        <f>I1051</f>
        <v>3056803.18</v>
      </c>
      <c r="J1050" s="158"/>
      <c r="K1050" s="158"/>
      <c r="L1050" s="9"/>
      <c r="M1050" s="9"/>
      <c r="N1050" s="9"/>
      <c r="O1050" s="9"/>
      <c r="P1050" s="9"/>
      <c r="Q1050" s="9"/>
      <c r="R1050" s="9"/>
      <c r="S1050" s="9"/>
      <c r="T1050" s="9"/>
      <c r="U1050" s="9"/>
      <c r="V1050" s="9"/>
      <c r="W1050" s="9"/>
      <c r="X1050" s="7"/>
      <c r="Y1050" s="7"/>
      <c r="Z1050" s="7"/>
      <c r="AA1050" s="7"/>
      <c r="AB1050" s="7"/>
      <c r="AC1050" s="7"/>
      <c r="AD1050" s="7"/>
      <c r="AE1050" s="7"/>
      <c r="AF1050" s="7"/>
      <c r="AG1050" s="7"/>
      <c r="AH1050" s="7"/>
      <c r="AI1050" s="7"/>
      <c r="AJ1050" s="7"/>
      <c r="AK1050" s="7"/>
      <c r="AL1050" s="7"/>
      <c r="AM1050" s="7"/>
      <c r="AN1050" s="7"/>
      <c r="AO1050" s="7"/>
      <c r="AP1050" s="7"/>
      <c r="AQ1050" s="7"/>
      <c r="AR1050" s="7"/>
      <c r="AS1050" s="7"/>
      <c r="AT1050" s="7"/>
      <c r="AU1050" s="7"/>
      <c r="AV1050" s="7"/>
      <c r="AW1050" s="7"/>
      <c r="AX1050" s="7"/>
      <c r="AY1050" s="7"/>
      <c r="AZ1050" s="7"/>
      <c r="BA1050" s="7"/>
      <c r="BB1050" s="7"/>
      <c r="BC1050" s="7"/>
      <c r="BD1050" s="7"/>
      <c r="BE1050" s="7"/>
      <c r="BF1050" s="7"/>
      <c r="BG1050" s="7"/>
      <c r="BH1050" s="7"/>
      <c r="BI1050" s="7"/>
      <c r="BJ1050" s="7"/>
      <c r="BK1050" s="7"/>
      <c r="BL1050" s="7"/>
      <c r="BM1050" s="7"/>
      <c r="BN1050" s="7"/>
      <c r="BO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c r="CO1050" s="7"/>
      <c r="CP1050" s="7"/>
      <c r="CQ1050" s="7"/>
      <c r="CR1050" s="7"/>
      <c r="CS1050" s="7"/>
      <c r="CT1050" s="7"/>
      <c r="CU1050" s="7"/>
      <c r="CV1050" s="7"/>
      <c r="CW1050" s="7"/>
      <c r="CX1050" s="7"/>
      <c r="CY1050" s="7"/>
      <c r="CZ1050" s="7"/>
      <c r="DA1050" s="7"/>
      <c r="DB1050" s="7"/>
      <c r="DC1050" s="7"/>
      <c r="DD1050" s="7"/>
      <c r="DE1050" s="7"/>
      <c r="DF1050" s="7"/>
      <c r="DG1050" s="7"/>
      <c r="DH1050" s="7"/>
      <c r="DI1050" s="7"/>
      <c r="DJ1050" s="7"/>
      <c r="DK1050" s="7"/>
      <c r="DL1050" s="7"/>
      <c r="DM1050" s="7"/>
      <c r="DN1050" s="7"/>
      <c r="DO1050" s="7"/>
      <c r="DP1050" s="7"/>
      <c r="DQ1050" s="7"/>
      <c r="DR1050" s="7"/>
      <c r="DS1050" s="7"/>
      <c r="DT1050" s="7"/>
      <c r="DU1050" s="7"/>
      <c r="DV1050" s="7"/>
      <c r="DW1050" s="7"/>
      <c r="DX1050" s="7"/>
      <c r="DY1050" s="7"/>
      <c r="DZ1050" s="7"/>
      <c r="EA1050" s="7"/>
      <c r="EB1050" s="7"/>
      <c r="EC1050" s="7"/>
      <c r="ED1050" s="7"/>
      <c r="EE1050" s="7"/>
      <c r="EF1050" s="7"/>
      <c r="EG1050" s="7"/>
      <c r="EH1050" s="7"/>
      <c r="EI1050" s="7"/>
      <c r="EJ1050" s="7"/>
      <c r="EK1050" s="7"/>
      <c r="EL1050" s="7"/>
      <c r="EM1050" s="7"/>
      <c r="EN1050" s="7"/>
      <c r="EO1050" s="7"/>
      <c r="EP1050" s="7"/>
      <c r="EQ1050" s="7"/>
      <c r="ER1050" s="7"/>
      <c r="ES1050" s="7"/>
      <c r="ET1050" s="7"/>
      <c r="EU1050" s="7"/>
      <c r="EV1050" s="7"/>
      <c r="EW1050" s="7"/>
      <c r="EX1050" s="7"/>
      <c r="EY1050" s="7"/>
      <c r="EZ1050" s="7"/>
      <c r="FA1050" s="7"/>
      <c r="FB1050" s="7"/>
      <c r="FC1050" s="7"/>
      <c r="FD1050" s="7"/>
      <c r="FE1050" s="7"/>
      <c r="FF1050" s="7"/>
      <c r="FG1050" s="7"/>
      <c r="FH1050" s="7"/>
      <c r="FI1050" s="7"/>
      <c r="FJ1050" s="7"/>
      <c r="FK1050" s="7"/>
      <c r="FL1050" s="7"/>
      <c r="FM1050" s="7"/>
      <c r="FN1050" s="7"/>
      <c r="FO1050" s="7"/>
      <c r="FP1050" s="7"/>
      <c r="FQ1050" s="7"/>
      <c r="FR1050" s="7"/>
      <c r="FS1050" s="7"/>
      <c r="FT1050" s="7"/>
      <c r="FU1050" s="7"/>
      <c r="FV1050" s="7"/>
      <c r="FW1050" s="7"/>
      <c r="FX1050" s="7"/>
      <c r="FY1050" s="7"/>
      <c r="FZ1050" s="7"/>
      <c r="GA1050" s="7"/>
      <c r="GB1050" s="7"/>
      <c r="GC1050" s="7"/>
      <c r="GD1050" s="7"/>
      <c r="GE1050" s="7"/>
      <c r="GF1050" s="7"/>
      <c r="GG1050" s="7"/>
      <c r="GH1050" s="7"/>
      <c r="GI1050" s="7"/>
      <c r="GJ1050" s="7"/>
      <c r="GK1050" s="7"/>
      <c r="GL1050" s="7"/>
      <c r="GM1050" s="7"/>
      <c r="GN1050" s="7"/>
      <c r="GO1050" s="7"/>
      <c r="GP1050" s="7"/>
      <c r="GQ1050" s="7"/>
      <c r="GR1050" s="7"/>
      <c r="GS1050" s="7"/>
      <c r="GT1050" s="7"/>
      <c r="GU1050" s="7"/>
      <c r="GV1050" s="7"/>
      <c r="GW1050" s="7"/>
      <c r="GX1050" s="7"/>
      <c r="GY1050" s="7"/>
      <c r="GZ1050" s="7"/>
      <c r="HA1050" s="7"/>
      <c r="HB1050" s="7"/>
      <c r="HC1050" s="7"/>
      <c r="HD1050" s="7"/>
      <c r="HE1050" s="7"/>
      <c r="HF1050" s="7"/>
      <c r="HG1050" s="7"/>
      <c r="HH1050" s="7"/>
      <c r="HI1050" s="7"/>
      <c r="HJ1050" s="7"/>
      <c r="HK1050" s="7"/>
      <c r="HL1050" s="7"/>
      <c r="HM1050" s="7"/>
      <c r="HN1050" s="7"/>
      <c r="HO1050" s="7"/>
    </row>
    <row r="1051" spans="1:223" s="1" customFormat="1" ht="15.75" customHeight="1" x14ac:dyDescent="0.3">
      <c r="A1051" s="256">
        <v>1</v>
      </c>
      <c r="B1051" s="256">
        <v>4812</v>
      </c>
      <c r="C1051" s="259" t="s">
        <v>702</v>
      </c>
      <c r="D1051" s="262">
        <v>952.63</v>
      </c>
      <c r="E1051" s="262" t="s">
        <v>75</v>
      </c>
      <c r="F1051" s="265">
        <v>2</v>
      </c>
      <c r="G1051" s="256" t="s">
        <v>72</v>
      </c>
      <c r="H1051" s="159" t="s">
        <v>73</v>
      </c>
      <c r="I1051" s="158">
        <f>I1052+I1053</f>
        <v>3056803.18</v>
      </c>
      <c r="J1051" s="158">
        <f>J1052+J1053</f>
        <v>3208.8</v>
      </c>
      <c r="K1051" s="158">
        <f>K1052+K1053</f>
        <v>7066</v>
      </c>
    </row>
    <row r="1052" spans="1:223" s="1" customFormat="1" x14ac:dyDescent="0.3">
      <c r="A1052" s="257">
        <v>15</v>
      </c>
      <c r="B1052" s="257"/>
      <c r="C1052" s="260"/>
      <c r="D1052" s="263"/>
      <c r="E1052" s="263"/>
      <c r="F1052" s="266"/>
      <c r="G1052" s="257"/>
      <c r="H1052" s="159" t="s">
        <v>74</v>
      </c>
      <c r="I1052" s="158">
        <v>2992758.16</v>
      </c>
      <c r="J1052" s="158">
        <f>I1052/D1051</f>
        <v>3141.57</v>
      </c>
      <c r="K1052" s="158">
        <v>6918</v>
      </c>
    </row>
    <row r="1053" spans="1:223" s="1" customFormat="1" x14ac:dyDescent="0.3">
      <c r="A1053" s="258">
        <v>16</v>
      </c>
      <c r="B1053" s="258"/>
      <c r="C1053" s="261"/>
      <c r="D1053" s="264"/>
      <c r="E1053" s="264"/>
      <c r="F1053" s="267"/>
      <c r="G1053" s="258"/>
      <c r="H1053" s="159" t="s">
        <v>76</v>
      </c>
      <c r="I1053" s="158">
        <f>I1052*0.0214</f>
        <v>64045.02</v>
      </c>
      <c r="J1053" s="158">
        <f>I1053/D1051</f>
        <v>67.23</v>
      </c>
      <c r="K1053" s="158">
        <v>148</v>
      </c>
    </row>
    <row r="1054" spans="1:223" ht="15.75" customHeight="1" x14ac:dyDescent="0.35">
      <c r="A1054" s="153" t="s">
        <v>37</v>
      </c>
      <c r="B1054" s="147"/>
      <c r="C1054" s="73"/>
      <c r="D1054" s="142">
        <f>D1055+D1058+D1061</f>
        <v>1241.1199999999999</v>
      </c>
      <c r="E1054" s="142"/>
      <c r="F1054" s="142"/>
      <c r="G1054" s="125"/>
      <c r="H1054" s="162"/>
      <c r="I1054" s="158">
        <f>I1055+I1058+I1061</f>
        <v>4125978.42</v>
      </c>
      <c r="J1054" s="158"/>
      <c r="K1054" s="158"/>
    </row>
    <row r="1055" spans="1:223" s="1" customFormat="1" ht="15.75" customHeight="1" x14ac:dyDescent="0.3">
      <c r="A1055" s="256">
        <v>1</v>
      </c>
      <c r="B1055" s="256">
        <v>7286</v>
      </c>
      <c r="C1055" s="259" t="s">
        <v>437</v>
      </c>
      <c r="D1055" s="262">
        <v>334.31</v>
      </c>
      <c r="E1055" s="262" t="s">
        <v>665</v>
      </c>
      <c r="F1055" s="265">
        <v>2</v>
      </c>
      <c r="G1055" s="256" t="s">
        <v>72</v>
      </c>
      <c r="H1055" s="159" t="s">
        <v>73</v>
      </c>
      <c r="I1055" s="158">
        <f>I1056+I1057</f>
        <v>1337821.8799999999</v>
      </c>
      <c r="J1055" s="158">
        <f>J1056+J1057</f>
        <v>4001.74</v>
      </c>
      <c r="K1055" s="158">
        <f>K1056+K1057</f>
        <v>7539</v>
      </c>
    </row>
    <row r="1056" spans="1:223" s="1" customFormat="1" x14ac:dyDescent="0.3">
      <c r="A1056" s="257"/>
      <c r="B1056" s="257"/>
      <c r="C1056" s="260"/>
      <c r="D1056" s="263"/>
      <c r="E1056" s="263"/>
      <c r="F1056" s="266"/>
      <c r="G1056" s="257"/>
      <c r="H1056" s="159" t="s">
        <v>74</v>
      </c>
      <c r="I1056" s="158">
        <v>1318244.08</v>
      </c>
      <c r="J1056" s="158">
        <f>I1056/D1055</f>
        <v>3943.18</v>
      </c>
      <c r="K1056" s="158">
        <v>7381</v>
      </c>
    </row>
    <row r="1057" spans="1:223" s="1" customFormat="1" x14ac:dyDescent="0.3">
      <c r="A1057" s="258"/>
      <c r="B1057" s="258"/>
      <c r="C1057" s="261"/>
      <c r="D1057" s="264"/>
      <c r="E1057" s="264"/>
      <c r="F1057" s="267"/>
      <c r="G1057" s="258"/>
      <c r="H1057" s="159" t="s">
        <v>76</v>
      </c>
      <c r="I1057" s="158">
        <v>19577.8</v>
      </c>
      <c r="J1057" s="158">
        <f>I1057/D1055</f>
        <v>58.56</v>
      </c>
      <c r="K1057" s="158">
        <v>158</v>
      </c>
    </row>
    <row r="1058" spans="1:223" s="1" customFormat="1" ht="15.75" customHeight="1" x14ac:dyDescent="0.3">
      <c r="A1058" s="310">
        <f>A1055+1</f>
        <v>2</v>
      </c>
      <c r="B1058" s="310">
        <v>7310</v>
      </c>
      <c r="C1058" s="319" t="s">
        <v>703</v>
      </c>
      <c r="D1058" s="262">
        <v>319.33</v>
      </c>
      <c r="E1058" s="262" t="s">
        <v>665</v>
      </c>
      <c r="F1058" s="265">
        <v>2</v>
      </c>
      <c r="G1058" s="256" t="s">
        <v>85</v>
      </c>
      <c r="H1058" s="159" t="s">
        <v>704</v>
      </c>
      <c r="I1058" s="158">
        <f>I1059+I1060</f>
        <v>129009.32</v>
      </c>
      <c r="J1058" s="158">
        <f>J1059+J1060</f>
        <v>404</v>
      </c>
      <c r="K1058" s="158">
        <f>K1059+K1060</f>
        <v>404</v>
      </c>
    </row>
    <row r="1059" spans="1:223" s="1" customFormat="1" ht="46.5" x14ac:dyDescent="0.3">
      <c r="A1059" s="311"/>
      <c r="B1059" s="311"/>
      <c r="C1059" s="320"/>
      <c r="D1059" s="263"/>
      <c r="E1059" s="263"/>
      <c r="F1059" s="266"/>
      <c r="G1059" s="257"/>
      <c r="H1059" s="159" t="s">
        <v>705</v>
      </c>
      <c r="I1059" s="158">
        <f>K1059*D1058</f>
        <v>72807.240000000005</v>
      </c>
      <c r="J1059" s="158">
        <f>I1059/D1058</f>
        <v>228</v>
      </c>
      <c r="K1059" s="158">
        <f>210+18</f>
        <v>228</v>
      </c>
    </row>
    <row r="1060" spans="1:223" s="1" customFormat="1" ht="46.5" x14ac:dyDescent="0.3">
      <c r="A1060" s="312"/>
      <c r="B1060" s="312"/>
      <c r="C1060" s="320"/>
      <c r="D1060" s="263"/>
      <c r="E1060" s="263"/>
      <c r="F1060" s="266"/>
      <c r="G1060" s="257"/>
      <c r="H1060" s="159" t="s">
        <v>706</v>
      </c>
      <c r="I1060" s="158">
        <f>K1060*D1058</f>
        <v>56202.080000000002</v>
      </c>
      <c r="J1060" s="158">
        <f>I1060/D1058</f>
        <v>176</v>
      </c>
      <c r="K1060" s="158">
        <f>162+14</f>
        <v>176</v>
      </c>
    </row>
    <row r="1061" spans="1:223" s="1" customFormat="1" ht="15.75" customHeight="1" x14ac:dyDescent="0.3">
      <c r="A1061" s="324">
        <f>A1058+1</f>
        <v>3</v>
      </c>
      <c r="B1061" s="310">
        <v>7321</v>
      </c>
      <c r="C1061" s="319" t="s">
        <v>707</v>
      </c>
      <c r="D1061" s="262">
        <v>587.48</v>
      </c>
      <c r="E1061" s="262" t="s">
        <v>75</v>
      </c>
      <c r="F1061" s="265">
        <v>2</v>
      </c>
      <c r="G1061" s="256" t="s">
        <v>85</v>
      </c>
      <c r="H1061" s="159" t="s">
        <v>704</v>
      </c>
      <c r="I1061" s="158">
        <f>I1062+I1063+I1064+I1065</f>
        <v>2659147.2200000002</v>
      </c>
      <c r="J1061" s="158">
        <f>J1062+J1063+J1064+J1065</f>
        <v>4526.3599999999997</v>
      </c>
      <c r="K1061" s="158">
        <f>K1062+K1063+K1064+K1065</f>
        <v>6822</v>
      </c>
    </row>
    <row r="1062" spans="1:223" s="1" customFormat="1" x14ac:dyDescent="0.3">
      <c r="A1062" s="324"/>
      <c r="B1062" s="311"/>
      <c r="C1062" s="320"/>
      <c r="D1062" s="263"/>
      <c r="E1062" s="263"/>
      <c r="F1062" s="266"/>
      <c r="G1062" s="257"/>
      <c r="H1062" s="159" t="s">
        <v>74</v>
      </c>
      <c r="I1062" s="158">
        <v>329845.38</v>
      </c>
      <c r="J1062" s="158">
        <f>I1062/D1061</f>
        <v>561.46</v>
      </c>
      <c r="K1062" s="158">
        <v>2634</v>
      </c>
    </row>
    <row r="1063" spans="1:223" s="1" customFormat="1" x14ac:dyDescent="0.3">
      <c r="A1063" s="324"/>
      <c r="B1063" s="311"/>
      <c r="C1063" s="320"/>
      <c r="D1063" s="263"/>
      <c r="E1063" s="263"/>
      <c r="F1063" s="266"/>
      <c r="G1063" s="257"/>
      <c r="H1063" s="159" t="s">
        <v>76</v>
      </c>
      <c r="I1063" s="158">
        <v>7058.69</v>
      </c>
      <c r="J1063" s="158">
        <f>I1063/D1061</f>
        <v>12.02</v>
      </c>
      <c r="K1063" s="158">
        <v>56</v>
      </c>
    </row>
    <row r="1064" spans="1:223" s="1" customFormat="1" x14ac:dyDescent="0.3">
      <c r="A1064" s="324">
        <v>2232.3333333333298</v>
      </c>
      <c r="B1064" s="311"/>
      <c r="C1064" s="320"/>
      <c r="D1064" s="263"/>
      <c r="E1064" s="263"/>
      <c r="F1064" s="266"/>
      <c r="G1064" s="257"/>
      <c r="H1064" s="159" t="s">
        <v>708</v>
      </c>
      <c r="I1064" s="158">
        <v>2273588.36</v>
      </c>
      <c r="J1064" s="158">
        <f>I1064/D1061-0.01</f>
        <v>3870.06</v>
      </c>
      <c r="K1064" s="158">
        <v>4045</v>
      </c>
    </row>
    <row r="1065" spans="1:223" s="1" customFormat="1" x14ac:dyDescent="0.3">
      <c r="A1065" s="324">
        <v>2747.3333333333298</v>
      </c>
      <c r="B1065" s="312"/>
      <c r="C1065" s="333"/>
      <c r="D1065" s="264"/>
      <c r="E1065" s="264"/>
      <c r="F1065" s="267"/>
      <c r="G1065" s="258"/>
      <c r="H1065" s="159" t="s">
        <v>76</v>
      </c>
      <c r="I1065" s="158">
        <v>48654.79</v>
      </c>
      <c r="J1065" s="158">
        <f>I1065/D1061</f>
        <v>82.82</v>
      </c>
      <c r="K1065" s="158">
        <v>87</v>
      </c>
    </row>
    <row r="1066" spans="1:223" s="16" customFormat="1" ht="15.75" customHeight="1" x14ac:dyDescent="0.35">
      <c r="A1066" s="153" t="s">
        <v>39</v>
      </c>
      <c r="B1066" s="147"/>
      <c r="C1066" s="73"/>
      <c r="D1066" s="125">
        <f>D1067+D1069</f>
        <v>851.9</v>
      </c>
      <c r="E1066" s="125"/>
      <c r="F1066" s="125"/>
      <c r="G1066" s="125"/>
      <c r="H1066" s="162"/>
      <c r="I1066" s="158">
        <f>I1067+I1069</f>
        <v>2580116.9</v>
      </c>
      <c r="J1066" s="158"/>
      <c r="K1066" s="158"/>
      <c r="L1066" s="9"/>
      <c r="M1066" s="9"/>
      <c r="N1066" s="9"/>
      <c r="O1066" s="9"/>
      <c r="P1066" s="9"/>
      <c r="Q1066" s="9"/>
      <c r="R1066" s="9"/>
      <c r="S1066" s="9"/>
      <c r="T1066" s="9"/>
      <c r="U1066" s="9"/>
      <c r="V1066" s="9"/>
      <c r="W1066" s="9"/>
      <c r="X1066" s="7"/>
      <c r="Y1066" s="7"/>
      <c r="Z1066" s="7"/>
      <c r="AA1066" s="7"/>
      <c r="AB1066" s="7"/>
      <c r="AC1066" s="7"/>
      <c r="AD1066" s="7"/>
      <c r="AE1066" s="7"/>
      <c r="AF1066" s="7"/>
      <c r="AG1066" s="7"/>
      <c r="AH1066" s="7"/>
      <c r="AI1066" s="7"/>
      <c r="AJ1066" s="7"/>
      <c r="AK1066" s="7"/>
      <c r="AL1066" s="7"/>
      <c r="AM1066" s="7"/>
      <c r="AN1066" s="7"/>
      <c r="AO1066" s="7"/>
      <c r="AP1066" s="7"/>
      <c r="AQ1066" s="7"/>
      <c r="AR1066" s="7"/>
      <c r="AS1066" s="7"/>
      <c r="AT1066" s="7"/>
      <c r="AU1066" s="7"/>
      <c r="AV1066" s="7"/>
      <c r="AW1066" s="7"/>
      <c r="AX1066" s="7"/>
      <c r="AY1066" s="7"/>
      <c r="AZ1066" s="7"/>
      <c r="BA1066" s="7"/>
      <c r="BB1066" s="7"/>
      <c r="BC1066" s="7"/>
      <c r="BD1066" s="7"/>
      <c r="BE1066" s="7"/>
      <c r="BF1066" s="7"/>
      <c r="BG1066" s="7"/>
      <c r="BH1066" s="7"/>
      <c r="BI1066" s="7"/>
      <c r="BJ1066" s="7"/>
      <c r="BK1066" s="7"/>
      <c r="BL1066" s="7"/>
      <c r="BM1066" s="7"/>
      <c r="BN1066" s="7"/>
      <c r="BO1066" s="7"/>
      <c r="BP1066" s="7"/>
      <c r="BQ1066" s="7"/>
      <c r="BR1066" s="7"/>
      <c r="BS1066" s="7"/>
      <c r="BT1066" s="7"/>
      <c r="BU1066" s="7"/>
      <c r="BV1066" s="7"/>
      <c r="BW1066" s="7"/>
      <c r="BX1066" s="7"/>
      <c r="BY1066" s="7"/>
      <c r="BZ1066" s="7"/>
      <c r="CA1066" s="7"/>
      <c r="CB1066" s="7"/>
      <c r="CC1066" s="7"/>
      <c r="CD1066" s="7"/>
      <c r="CE1066" s="7"/>
      <c r="CF1066" s="7"/>
      <c r="CG1066" s="7"/>
      <c r="CH1066" s="7"/>
      <c r="CI1066" s="7"/>
      <c r="CJ1066" s="7"/>
      <c r="CK1066" s="7"/>
      <c r="CL1066" s="7"/>
      <c r="CM1066" s="7"/>
      <c r="CN1066" s="7"/>
      <c r="CO1066" s="7"/>
      <c r="CP1066" s="7"/>
      <c r="CQ1066" s="7"/>
      <c r="CR1066" s="7"/>
      <c r="CS1066" s="7"/>
      <c r="CT1066" s="7"/>
      <c r="CU1066" s="7"/>
      <c r="CV1066" s="7"/>
      <c r="CW1066" s="7"/>
      <c r="CX1066" s="7"/>
      <c r="CY1066" s="7"/>
      <c r="CZ1066" s="7"/>
      <c r="DA1066" s="7"/>
      <c r="DB1066" s="7"/>
      <c r="DC1066" s="7"/>
      <c r="DD1066" s="7"/>
      <c r="DE1066" s="7"/>
      <c r="DF1066" s="7"/>
      <c r="DG1066" s="7"/>
      <c r="DH1066" s="7"/>
      <c r="DI1066" s="7"/>
      <c r="DJ1066" s="7"/>
      <c r="DK1066" s="7"/>
      <c r="DL1066" s="7"/>
      <c r="DM1066" s="7"/>
      <c r="DN1066" s="7"/>
      <c r="DO1066" s="7"/>
      <c r="DP1066" s="7"/>
      <c r="DQ1066" s="7"/>
      <c r="DR1066" s="7"/>
      <c r="DS1066" s="7"/>
      <c r="DT1066" s="7"/>
      <c r="DU1066" s="7"/>
      <c r="DV1066" s="7"/>
      <c r="DW1066" s="7"/>
      <c r="DX1066" s="7"/>
      <c r="DY1066" s="7"/>
      <c r="DZ1066" s="7"/>
      <c r="EA1066" s="7"/>
      <c r="EB1066" s="7"/>
      <c r="EC1066" s="7"/>
      <c r="ED1066" s="7"/>
      <c r="EE1066" s="7"/>
      <c r="EF1066" s="7"/>
      <c r="EG1066" s="7"/>
      <c r="EH1066" s="7"/>
      <c r="EI1066" s="7"/>
      <c r="EJ1066" s="7"/>
      <c r="EK1066" s="7"/>
      <c r="EL1066" s="7"/>
      <c r="EM1066" s="7"/>
      <c r="EN1066" s="7"/>
      <c r="EO1066" s="7"/>
      <c r="EP1066" s="7"/>
      <c r="EQ1066" s="7"/>
      <c r="ER1066" s="7"/>
      <c r="ES1066" s="7"/>
      <c r="ET1066" s="7"/>
      <c r="EU1066" s="7"/>
      <c r="EV1066" s="7"/>
      <c r="EW1066" s="7"/>
      <c r="EX1066" s="7"/>
      <c r="EY1066" s="7"/>
      <c r="EZ1066" s="7"/>
      <c r="FA1066" s="7"/>
      <c r="FB1066" s="7"/>
      <c r="FC1066" s="7"/>
      <c r="FD1066" s="7"/>
      <c r="FE1066" s="7"/>
      <c r="FF1066" s="7"/>
      <c r="FG1066" s="7"/>
      <c r="FH1066" s="7"/>
      <c r="FI1066" s="7"/>
      <c r="FJ1066" s="7"/>
      <c r="FK1066" s="7"/>
      <c r="FL1066" s="7"/>
      <c r="FM1066" s="7"/>
      <c r="FN1066" s="7"/>
      <c r="FO1066" s="7"/>
      <c r="FP1066" s="7"/>
      <c r="FQ1066" s="7"/>
      <c r="FR1066" s="7"/>
      <c r="FS1066" s="7"/>
      <c r="FT1066" s="7"/>
      <c r="FU1066" s="7"/>
      <c r="FV1066" s="7"/>
      <c r="FW1066" s="7"/>
      <c r="FX1066" s="7"/>
      <c r="FY1066" s="7"/>
      <c r="FZ1066" s="7"/>
      <c r="GA1066" s="7"/>
      <c r="GB1066" s="7"/>
      <c r="GC1066" s="7"/>
      <c r="GD1066" s="7"/>
      <c r="GE1066" s="7"/>
      <c r="GF1066" s="7"/>
      <c r="GG1066" s="7"/>
      <c r="GH1066" s="7"/>
      <c r="GI1066" s="7"/>
      <c r="GJ1066" s="7"/>
      <c r="GK1066" s="7"/>
      <c r="GL1066" s="7"/>
      <c r="GM1066" s="7"/>
      <c r="GN1066" s="7"/>
      <c r="GO1066" s="7"/>
      <c r="GP1066" s="7"/>
      <c r="GQ1066" s="7"/>
      <c r="GR1066" s="7"/>
      <c r="GS1066" s="7"/>
      <c r="GT1066" s="7"/>
      <c r="GU1066" s="7"/>
      <c r="GV1066" s="7"/>
      <c r="GW1066" s="7"/>
      <c r="GX1066" s="7"/>
      <c r="GY1066" s="7"/>
      <c r="GZ1066" s="7"/>
      <c r="HA1066" s="7"/>
      <c r="HB1066" s="7"/>
      <c r="HC1066" s="7"/>
      <c r="HD1066" s="7"/>
      <c r="HE1066" s="7"/>
      <c r="HF1066" s="7"/>
      <c r="HG1066" s="7"/>
      <c r="HH1066" s="7"/>
      <c r="HI1066" s="7"/>
      <c r="HJ1066" s="7"/>
      <c r="HK1066" s="7"/>
      <c r="HL1066" s="7"/>
      <c r="HM1066" s="7"/>
      <c r="HN1066" s="7"/>
      <c r="HO1066" s="7"/>
    </row>
    <row r="1067" spans="1:223" s="1" customFormat="1" ht="15.75" customHeight="1" x14ac:dyDescent="0.3">
      <c r="A1067" s="256">
        <v>1</v>
      </c>
      <c r="B1067" s="256">
        <v>6735</v>
      </c>
      <c r="C1067" s="259" t="s">
        <v>441</v>
      </c>
      <c r="D1067" s="262">
        <v>395.1</v>
      </c>
      <c r="E1067" s="262" t="s">
        <v>665</v>
      </c>
      <c r="F1067" s="265">
        <v>2</v>
      </c>
      <c r="G1067" s="256" t="s">
        <v>72</v>
      </c>
      <c r="H1067" s="159" t="s">
        <v>73</v>
      </c>
      <c r="I1067" s="158">
        <f>I1068</f>
        <v>59972.26</v>
      </c>
      <c r="J1067" s="158">
        <f>J1068</f>
        <v>151.79</v>
      </c>
      <c r="K1067" s="158">
        <f>K1068</f>
        <v>178</v>
      </c>
    </row>
    <row r="1068" spans="1:223" s="1" customFormat="1" ht="49.5" customHeight="1" x14ac:dyDescent="0.3">
      <c r="A1068" s="257">
        <v>1036</v>
      </c>
      <c r="B1068" s="258"/>
      <c r="C1068" s="260"/>
      <c r="D1068" s="263"/>
      <c r="E1068" s="264"/>
      <c r="F1068" s="267"/>
      <c r="G1068" s="257"/>
      <c r="H1068" s="159" t="s">
        <v>705</v>
      </c>
      <c r="I1068" s="158">
        <f>57480.26+K1068*14</f>
        <v>59972.26</v>
      </c>
      <c r="J1068" s="158">
        <f>I1068/D1067</f>
        <v>151.79</v>
      </c>
      <c r="K1068" s="158">
        <f>164+14</f>
        <v>178</v>
      </c>
    </row>
    <row r="1069" spans="1:223" s="1" customFormat="1" ht="15.75" customHeight="1" x14ac:dyDescent="0.3">
      <c r="A1069" s="256">
        <v>2</v>
      </c>
      <c r="B1069" s="256">
        <v>6742</v>
      </c>
      <c r="C1069" s="259" t="s">
        <v>709</v>
      </c>
      <c r="D1069" s="262">
        <v>456.8</v>
      </c>
      <c r="E1069" s="262" t="s">
        <v>75</v>
      </c>
      <c r="F1069" s="265">
        <v>2</v>
      </c>
      <c r="G1069" s="144"/>
      <c r="H1069" s="159" t="s">
        <v>73</v>
      </c>
      <c r="I1069" s="158">
        <f>I1070+I1071</f>
        <v>2520144.64</v>
      </c>
      <c r="J1069" s="158">
        <f>J1070+J1071</f>
        <v>5516.95</v>
      </c>
      <c r="K1069" s="158">
        <f>K1070+K1071</f>
        <v>7066</v>
      </c>
    </row>
    <row r="1070" spans="1:223" s="1" customFormat="1" x14ac:dyDescent="0.3">
      <c r="A1070" s="257">
        <v>1036</v>
      </c>
      <c r="B1070" s="257"/>
      <c r="C1070" s="260"/>
      <c r="D1070" s="263"/>
      <c r="E1070" s="263"/>
      <c r="F1070" s="266"/>
      <c r="G1070" s="251" t="s">
        <v>72</v>
      </c>
      <c r="H1070" s="159" t="s">
        <v>74</v>
      </c>
      <c r="I1070" s="158">
        <v>2488904.2799999998</v>
      </c>
      <c r="J1070" s="158">
        <f>I1070/D1069</f>
        <v>5448.56</v>
      </c>
      <c r="K1070" s="158">
        <v>6918</v>
      </c>
    </row>
    <row r="1071" spans="1:223" s="1" customFormat="1" x14ac:dyDescent="0.3">
      <c r="A1071" s="258">
        <v>1037</v>
      </c>
      <c r="B1071" s="258"/>
      <c r="C1071" s="261"/>
      <c r="D1071" s="264"/>
      <c r="E1071" s="264"/>
      <c r="F1071" s="267"/>
      <c r="G1071" s="251"/>
      <c r="H1071" s="159" t="s">
        <v>76</v>
      </c>
      <c r="I1071" s="158">
        <v>31240.36</v>
      </c>
      <c r="J1071" s="158">
        <f>I1071/D1069</f>
        <v>68.39</v>
      </c>
      <c r="K1071" s="158">
        <v>148</v>
      </c>
    </row>
    <row r="1072" spans="1:223" ht="15.75" customHeight="1" x14ac:dyDescent="0.35">
      <c r="A1072" s="153" t="s">
        <v>40</v>
      </c>
      <c r="B1072" s="147"/>
      <c r="C1072" s="73"/>
      <c r="D1072" s="142">
        <f>D1073+D1076+D1079+D1082+D1085+D1088+D1091+D1094+D1099+D1104+D1107+D1110+D1113+D1116+D1119+D1122+D1125+D1128</f>
        <v>7445.7</v>
      </c>
      <c r="E1072" s="142"/>
      <c r="F1072" s="142"/>
      <c r="G1072" s="125"/>
      <c r="H1072" s="162"/>
      <c r="I1072" s="158">
        <f>I1073+I1076+I1079+I1082+I1085+I1088+I1091+I1094+I1099+I1104+I1107+I1110+I1113+I1116+I1119+I1122+I1125+I1128</f>
        <v>25775091.789999999</v>
      </c>
      <c r="J1072" s="158"/>
      <c r="K1072" s="158"/>
      <c r="X1072" s="16"/>
      <c r="Y1072" s="16"/>
      <c r="Z1072" s="16"/>
      <c r="AA1072" s="16"/>
      <c r="AB1072" s="16"/>
      <c r="AC1072" s="16"/>
      <c r="AD1072" s="16"/>
      <c r="AE1072" s="16"/>
      <c r="AF1072" s="16"/>
      <c r="AG1072" s="16"/>
      <c r="AH1072" s="16"/>
      <c r="AI1072" s="16"/>
      <c r="AJ1072" s="16"/>
      <c r="AK1072" s="16"/>
      <c r="AL1072" s="16"/>
      <c r="AM1072" s="16"/>
      <c r="AN1072" s="16"/>
      <c r="AO1072" s="16"/>
      <c r="AP1072" s="16"/>
      <c r="AQ1072" s="16"/>
      <c r="AR1072" s="16"/>
      <c r="AS1072" s="16"/>
      <c r="AT1072" s="16"/>
      <c r="AU1072" s="16"/>
      <c r="AV1072" s="16"/>
      <c r="AW1072" s="16"/>
      <c r="AX1072" s="16"/>
      <c r="AY1072" s="16"/>
      <c r="AZ1072" s="16"/>
      <c r="BA1072" s="16"/>
      <c r="BB1072" s="16"/>
      <c r="BC1072" s="16"/>
      <c r="BD1072" s="16"/>
      <c r="BE1072" s="16"/>
      <c r="BF1072" s="16"/>
      <c r="BG1072" s="16"/>
      <c r="BH1072" s="16"/>
      <c r="BI1072" s="16"/>
      <c r="BJ1072" s="16"/>
      <c r="BK1072" s="16"/>
      <c r="BL1072" s="16"/>
      <c r="BM1072" s="16"/>
      <c r="BN1072" s="16"/>
      <c r="BO1072" s="16"/>
      <c r="BP1072" s="16"/>
      <c r="BQ1072" s="16"/>
      <c r="BR1072" s="16"/>
      <c r="BS1072" s="16"/>
      <c r="BT1072" s="16"/>
      <c r="BU1072" s="16"/>
      <c r="BV1072" s="16"/>
      <c r="BW1072" s="16"/>
      <c r="BX1072" s="16"/>
      <c r="BY1072" s="16"/>
      <c r="BZ1072" s="16"/>
      <c r="CA1072" s="16"/>
      <c r="CB1072" s="16"/>
      <c r="CC1072" s="16"/>
      <c r="CD1072" s="16"/>
      <c r="CE1072" s="16"/>
      <c r="CF1072" s="16"/>
      <c r="CG1072" s="16"/>
      <c r="CH1072" s="16"/>
      <c r="CI1072" s="16"/>
      <c r="CJ1072" s="16"/>
      <c r="CK1072" s="16"/>
      <c r="CL1072" s="16"/>
      <c r="CM1072" s="16"/>
      <c r="CN1072" s="16"/>
      <c r="CO1072" s="16"/>
      <c r="CP1072" s="16"/>
      <c r="CQ1072" s="16"/>
      <c r="CR1072" s="16"/>
      <c r="CS1072" s="16"/>
      <c r="CT1072" s="16"/>
      <c r="CU1072" s="16"/>
      <c r="CV1072" s="16"/>
      <c r="CW1072" s="16"/>
      <c r="CX1072" s="16"/>
      <c r="CY1072" s="16"/>
      <c r="CZ1072" s="16"/>
      <c r="DA1072" s="16"/>
      <c r="DB1072" s="16"/>
      <c r="DC1072" s="16"/>
      <c r="DD1072" s="16"/>
      <c r="DE1072" s="16"/>
      <c r="DF1072" s="16"/>
      <c r="DG1072" s="16"/>
      <c r="DH1072" s="16"/>
      <c r="DI1072" s="16"/>
      <c r="DJ1072" s="16"/>
      <c r="DK1072" s="16"/>
      <c r="DL1072" s="16"/>
      <c r="DM1072" s="16"/>
      <c r="DN1072" s="16"/>
      <c r="DO1072" s="16"/>
      <c r="DP1072" s="16"/>
      <c r="DQ1072" s="16"/>
      <c r="DR1072" s="16"/>
      <c r="DS1072" s="16"/>
      <c r="DT1072" s="16"/>
      <c r="DU1072" s="16"/>
      <c r="DV1072" s="16"/>
      <c r="DW1072" s="16"/>
      <c r="DX1072" s="16"/>
      <c r="DY1072" s="16"/>
      <c r="DZ1072" s="16"/>
      <c r="EA1072" s="16"/>
      <c r="EB1072" s="16"/>
      <c r="EC1072" s="16"/>
      <c r="ED1072" s="16"/>
      <c r="EE1072" s="16"/>
      <c r="EF1072" s="16"/>
      <c r="EG1072" s="16"/>
      <c r="EH1072" s="16"/>
      <c r="EI1072" s="16"/>
      <c r="EJ1072" s="16"/>
      <c r="EK1072" s="16"/>
      <c r="EL1072" s="16"/>
      <c r="EM1072" s="16"/>
      <c r="EN1072" s="16"/>
      <c r="EO1072" s="16"/>
      <c r="EP1072" s="16"/>
      <c r="EQ1072" s="16"/>
      <c r="ER1072" s="16"/>
      <c r="ES1072" s="16"/>
      <c r="ET1072" s="16"/>
      <c r="EU1072" s="16"/>
      <c r="EV1072" s="16"/>
      <c r="EW1072" s="16"/>
      <c r="EX1072" s="16"/>
      <c r="EY1072" s="16"/>
      <c r="EZ1072" s="16"/>
      <c r="FA1072" s="16"/>
      <c r="FB1072" s="16"/>
      <c r="FC1072" s="16"/>
      <c r="FD1072" s="16"/>
      <c r="FE1072" s="16"/>
      <c r="FF1072" s="16"/>
      <c r="FG1072" s="16"/>
      <c r="FH1072" s="16"/>
      <c r="FI1072" s="16"/>
      <c r="FJ1072" s="16"/>
      <c r="FK1072" s="16"/>
      <c r="FL1072" s="16"/>
      <c r="FM1072" s="16"/>
      <c r="FN1072" s="16"/>
      <c r="FO1072" s="16"/>
      <c r="FP1072" s="16"/>
      <c r="FQ1072" s="16"/>
      <c r="FR1072" s="16"/>
      <c r="FS1072" s="16"/>
      <c r="FT1072" s="16"/>
      <c r="FU1072" s="16"/>
      <c r="FV1072" s="16"/>
      <c r="FW1072" s="16"/>
      <c r="FX1072" s="16"/>
      <c r="FY1072" s="16"/>
      <c r="FZ1072" s="16"/>
      <c r="GA1072" s="16"/>
      <c r="GB1072" s="16"/>
      <c r="GC1072" s="16"/>
      <c r="GD1072" s="16"/>
      <c r="GE1072" s="16"/>
      <c r="GF1072" s="16"/>
      <c r="GG1072" s="16"/>
      <c r="GH1072" s="16"/>
      <c r="GI1072" s="16"/>
      <c r="GJ1072" s="16"/>
      <c r="GK1072" s="16"/>
      <c r="GL1072" s="16"/>
      <c r="GM1072" s="16"/>
      <c r="GN1072" s="16"/>
      <c r="GO1072" s="16"/>
      <c r="GP1072" s="16"/>
      <c r="GQ1072" s="16"/>
      <c r="GR1072" s="16"/>
      <c r="GS1072" s="16"/>
      <c r="GT1072" s="16"/>
      <c r="GU1072" s="16"/>
      <c r="GV1072" s="16"/>
      <c r="GW1072" s="16"/>
      <c r="GX1072" s="16"/>
      <c r="GY1072" s="16"/>
      <c r="GZ1072" s="16"/>
      <c r="HA1072" s="16"/>
      <c r="HB1072" s="16"/>
      <c r="HC1072" s="16"/>
      <c r="HD1072" s="16"/>
      <c r="HE1072" s="16"/>
      <c r="HF1072" s="16"/>
      <c r="HG1072" s="16"/>
      <c r="HH1072" s="16"/>
      <c r="HI1072" s="16"/>
      <c r="HJ1072" s="16"/>
      <c r="HK1072" s="16"/>
      <c r="HL1072" s="16"/>
      <c r="HM1072" s="16"/>
      <c r="HN1072" s="16"/>
      <c r="HO1072" s="16"/>
    </row>
    <row r="1073" spans="1:11" s="1" customFormat="1" ht="15.75" customHeight="1" x14ac:dyDescent="0.3">
      <c r="A1073" s="256">
        <v>1</v>
      </c>
      <c r="B1073" s="256">
        <v>5400</v>
      </c>
      <c r="C1073" s="259" t="s">
        <v>443</v>
      </c>
      <c r="D1073" s="262">
        <v>427.3</v>
      </c>
      <c r="E1073" s="262" t="s">
        <v>665</v>
      </c>
      <c r="F1073" s="265">
        <v>2</v>
      </c>
      <c r="G1073" s="256" t="s">
        <v>82</v>
      </c>
      <c r="H1073" s="159" t="s">
        <v>73</v>
      </c>
      <c r="I1073" s="158">
        <f>SUM(I1074:I1075)</f>
        <v>778133.1</v>
      </c>
      <c r="J1073" s="158">
        <f>SUM(J1074:J1075)</f>
        <v>1821.05</v>
      </c>
      <c r="K1073" s="158">
        <f>SUM(K1074:K1075)</f>
        <v>5938</v>
      </c>
    </row>
    <row r="1074" spans="1:11" s="1" customFormat="1" ht="31" x14ac:dyDescent="0.3">
      <c r="A1074" s="257"/>
      <c r="B1074" s="257"/>
      <c r="C1074" s="260"/>
      <c r="D1074" s="263"/>
      <c r="E1074" s="263"/>
      <c r="F1074" s="266"/>
      <c r="G1074" s="257"/>
      <c r="H1074" s="159" t="s">
        <v>666</v>
      </c>
      <c r="I1074" s="158">
        <f>40485.11+D1073*19</f>
        <v>48603.81</v>
      </c>
      <c r="J1074" s="158">
        <f>I1074/D1073</f>
        <v>113.75</v>
      </c>
      <c r="K1074" s="158">
        <f>228+19</f>
        <v>247</v>
      </c>
    </row>
    <row r="1075" spans="1:11" s="1" customFormat="1" x14ac:dyDescent="0.3">
      <c r="A1075" s="257"/>
      <c r="B1075" s="258"/>
      <c r="C1075" s="260"/>
      <c r="D1075" s="263"/>
      <c r="E1075" s="263"/>
      <c r="F1075" s="266"/>
      <c r="G1075" s="257"/>
      <c r="H1075" s="159" t="s">
        <v>74</v>
      </c>
      <c r="I1075" s="158">
        <f>D1073*K1075*30/100</f>
        <v>729529.29</v>
      </c>
      <c r="J1075" s="158">
        <f>I1075/D1073</f>
        <v>1707.3</v>
      </c>
      <c r="K1075" s="158">
        <v>5691</v>
      </c>
    </row>
    <row r="1076" spans="1:11" s="1" customFormat="1" ht="15.75" customHeight="1" x14ac:dyDescent="0.3">
      <c r="A1076" s="256">
        <f>A1073+1</f>
        <v>2</v>
      </c>
      <c r="B1076" s="256">
        <v>5404</v>
      </c>
      <c r="C1076" s="259" t="s">
        <v>444</v>
      </c>
      <c r="D1076" s="262">
        <v>418</v>
      </c>
      <c r="E1076" s="262" t="s">
        <v>665</v>
      </c>
      <c r="F1076" s="265">
        <v>2</v>
      </c>
      <c r="G1076" s="144"/>
      <c r="H1076" s="159" t="s">
        <v>73</v>
      </c>
      <c r="I1076" s="158">
        <f>I1077+I1078</f>
        <v>168872</v>
      </c>
      <c r="J1076" s="158">
        <f>J1077+J1078</f>
        <v>404</v>
      </c>
      <c r="K1076" s="158">
        <f>K1077+K1078</f>
        <v>404</v>
      </c>
    </row>
    <row r="1077" spans="1:11" s="1" customFormat="1" ht="46.5" x14ac:dyDescent="0.3">
      <c r="A1077" s="257"/>
      <c r="B1077" s="257"/>
      <c r="C1077" s="260"/>
      <c r="D1077" s="351"/>
      <c r="E1077" s="351"/>
      <c r="F1077" s="352"/>
      <c r="G1077" s="256" t="s">
        <v>85</v>
      </c>
      <c r="H1077" s="178" t="s">
        <v>705</v>
      </c>
      <c r="I1077" s="158">
        <f>D1076*K1077</f>
        <v>95304</v>
      </c>
      <c r="J1077" s="158">
        <f>I1077/D1076</f>
        <v>228</v>
      </c>
      <c r="K1077" s="158">
        <f>210+18</f>
        <v>228</v>
      </c>
    </row>
    <row r="1078" spans="1:11" s="1" customFormat="1" ht="46.5" x14ac:dyDescent="0.3">
      <c r="A1078" s="257"/>
      <c r="B1078" s="258"/>
      <c r="C1078" s="260"/>
      <c r="D1078" s="263"/>
      <c r="E1078" s="263"/>
      <c r="F1078" s="266"/>
      <c r="G1078" s="258"/>
      <c r="H1078" s="159" t="s">
        <v>706</v>
      </c>
      <c r="I1078" s="158">
        <f>D1076*K1078</f>
        <v>73568</v>
      </c>
      <c r="J1078" s="158">
        <f>I1078/D1076</f>
        <v>176</v>
      </c>
      <c r="K1078" s="158">
        <f>162+14</f>
        <v>176</v>
      </c>
    </row>
    <row r="1079" spans="1:11" s="1" customFormat="1" ht="15.75" customHeight="1" x14ac:dyDescent="0.3">
      <c r="A1079" s="256">
        <f>A1076+1</f>
        <v>3</v>
      </c>
      <c r="B1079" s="256">
        <v>5408</v>
      </c>
      <c r="C1079" s="259" t="s">
        <v>445</v>
      </c>
      <c r="D1079" s="262">
        <v>280.60000000000002</v>
      </c>
      <c r="E1079" s="262" t="s">
        <v>665</v>
      </c>
      <c r="F1079" s="265">
        <v>2</v>
      </c>
      <c r="G1079" s="256" t="s">
        <v>72</v>
      </c>
      <c r="H1079" s="159" t="s">
        <v>73</v>
      </c>
      <c r="I1079" s="158">
        <f>SUM(I1080:I1081)</f>
        <v>668465.56000000006</v>
      </c>
      <c r="J1079" s="158">
        <f>SUM(J1080:J1081)</f>
        <v>2382.27</v>
      </c>
      <c r="K1079" s="158">
        <f>SUM(K1080:K1081)</f>
        <v>7558</v>
      </c>
    </row>
    <row r="1080" spans="1:11" s="1" customFormat="1" ht="46.5" x14ac:dyDescent="0.3">
      <c r="A1080" s="257"/>
      <c r="B1080" s="257"/>
      <c r="C1080" s="260"/>
      <c r="D1080" s="263"/>
      <c r="E1080" s="263"/>
      <c r="F1080" s="266"/>
      <c r="G1080" s="257"/>
      <c r="H1080" s="159" t="s">
        <v>705</v>
      </c>
      <c r="I1080" s="158">
        <f>43204.58+D1079*14</f>
        <v>47132.98</v>
      </c>
      <c r="J1080" s="158">
        <f>I1080/D1079</f>
        <v>167.97</v>
      </c>
      <c r="K1080" s="158">
        <f>163+14</f>
        <v>177</v>
      </c>
    </row>
    <row r="1081" spans="1:11" s="1" customFormat="1" x14ac:dyDescent="0.3">
      <c r="A1081" s="257"/>
      <c r="B1081" s="258"/>
      <c r="C1081" s="260"/>
      <c r="D1081" s="263"/>
      <c r="E1081" s="263"/>
      <c r="F1081" s="266"/>
      <c r="G1081" s="257"/>
      <c r="H1081" s="159" t="s">
        <v>74</v>
      </c>
      <c r="I1081" s="158">
        <f>D1079*K1081*30/100</f>
        <v>621332.57999999996</v>
      </c>
      <c r="J1081" s="158">
        <f>I1081/D1079</f>
        <v>2214.3000000000002</v>
      </c>
      <c r="K1081" s="158">
        <v>7381</v>
      </c>
    </row>
    <row r="1082" spans="1:11" s="1" customFormat="1" ht="15.75" customHeight="1" x14ac:dyDescent="0.3">
      <c r="A1082" s="256">
        <f>A1079+1</f>
        <v>4</v>
      </c>
      <c r="B1082" s="256">
        <v>5429</v>
      </c>
      <c r="C1082" s="259" t="s">
        <v>446</v>
      </c>
      <c r="D1082" s="262">
        <v>234.8</v>
      </c>
      <c r="E1082" s="262" t="s">
        <v>665</v>
      </c>
      <c r="F1082" s="265">
        <v>2</v>
      </c>
      <c r="G1082" s="256" t="s">
        <v>72</v>
      </c>
      <c r="H1082" s="159" t="s">
        <v>73</v>
      </c>
      <c r="I1082" s="158">
        <f>I1083+I1084</f>
        <v>1746650.18</v>
      </c>
      <c r="J1082" s="158">
        <f>J1083+J1084</f>
        <v>7438.88</v>
      </c>
      <c r="K1082" s="158">
        <f>K1083+K1084</f>
        <v>7539</v>
      </c>
    </row>
    <row r="1083" spans="1:11" s="1" customFormat="1" x14ac:dyDescent="0.3">
      <c r="A1083" s="257"/>
      <c r="B1083" s="257"/>
      <c r="C1083" s="260"/>
      <c r="D1083" s="263"/>
      <c r="E1083" s="263"/>
      <c r="F1083" s="266"/>
      <c r="G1083" s="257"/>
      <c r="H1083" s="159" t="s">
        <v>74</v>
      </c>
      <c r="I1083" s="158">
        <v>1724391.14</v>
      </c>
      <c r="J1083" s="158">
        <f>I1083/D1082</f>
        <v>7344.08</v>
      </c>
      <c r="K1083" s="158">
        <v>7381</v>
      </c>
    </row>
    <row r="1084" spans="1:11" s="1" customFormat="1" x14ac:dyDescent="0.3">
      <c r="A1084" s="257"/>
      <c r="B1084" s="258"/>
      <c r="C1084" s="261"/>
      <c r="D1084" s="264"/>
      <c r="E1084" s="264"/>
      <c r="F1084" s="267"/>
      <c r="G1084" s="258"/>
      <c r="H1084" s="159" t="s">
        <v>76</v>
      </c>
      <c r="I1084" s="158">
        <v>22259.040000000001</v>
      </c>
      <c r="J1084" s="158">
        <f>I1084/D1082</f>
        <v>94.8</v>
      </c>
      <c r="K1084" s="158">
        <v>158</v>
      </c>
    </row>
    <row r="1085" spans="1:11" s="1" customFormat="1" ht="15.75" customHeight="1" x14ac:dyDescent="0.3">
      <c r="A1085" s="256">
        <f>A1082+1</f>
        <v>5</v>
      </c>
      <c r="B1085" s="256">
        <v>5691</v>
      </c>
      <c r="C1085" s="259" t="s">
        <v>447</v>
      </c>
      <c r="D1085" s="262">
        <v>293.8</v>
      </c>
      <c r="E1085" s="262" t="s">
        <v>665</v>
      </c>
      <c r="F1085" s="265">
        <v>2</v>
      </c>
      <c r="G1085" s="256" t="s">
        <v>72</v>
      </c>
      <c r="H1085" s="159" t="s">
        <v>73</v>
      </c>
      <c r="I1085" s="158">
        <f>I1086+I1087</f>
        <v>1782747.18</v>
      </c>
      <c r="J1085" s="158">
        <f>J1086+J1087</f>
        <v>6067.89</v>
      </c>
      <c r="K1085" s="158">
        <f>K1086+K1087</f>
        <v>7539</v>
      </c>
    </row>
    <row r="1086" spans="1:11" s="1" customFormat="1" x14ac:dyDescent="0.3">
      <c r="A1086" s="257"/>
      <c r="B1086" s="257"/>
      <c r="C1086" s="260"/>
      <c r="D1086" s="263"/>
      <c r="E1086" s="263"/>
      <c r="F1086" s="266"/>
      <c r="G1086" s="257"/>
      <c r="H1086" s="159" t="s">
        <v>74</v>
      </c>
      <c r="I1086" s="158">
        <v>1760034.77</v>
      </c>
      <c r="J1086" s="158">
        <f>I1086/D1085-0.01</f>
        <v>5990.58</v>
      </c>
      <c r="K1086" s="158">
        <v>7381</v>
      </c>
    </row>
    <row r="1087" spans="1:11" s="1" customFormat="1" x14ac:dyDescent="0.3">
      <c r="A1087" s="257"/>
      <c r="B1087" s="258"/>
      <c r="C1087" s="261"/>
      <c r="D1087" s="264"/>
      <c r="E1087" s="264"/>
      <c r="F1087" s="267"/>
      <c r="G1087" s="258"/>
      <c r="H1087" s="159" t="s">
        <v>76</v>
      </c>
      <c r="I1087" s="158">
        <v>22712.41</v>
      </c>
      <c r="J1087" s="158">
        <f>I1087/D1085</f>
        <v>77.31</v>
      </c>
      <c r="K1087" s="158">
        <v>158</v>
      </c>
    </row>
    <row r="1088" spans="1:11" s="1" customFormat="1" ht="15.75" customHeight="1" x14ac:dyDescent="0.3">
      <c r="A1088" s="256">
        <f>A1085+1</f>
        <v>6</v>
      </c>
      <c r="B1088" s="256">
        <v>5617</v>
      </c>
      <c r="C1088" s="259" t="s">
        <v>448</v>
      </c>
      <c r="D1088" s="262">
        <v>201.7</v>
      </c>
      <c r="E1088" s="262" t="s">
        <v>665</v>
      </c>
      <c r="F1088" s="265">
        <v>1</v>
      </c>
      <c r="G1088" s="256" t="s">
        <v>72</v>
      </c>
      <c r="H1088" s="159" t="s">
        <v>73</v>
      </c>
      <c r="I1088" s="158">
        <f>I1089+I1090</f>
        <v>2206782.48</v>
      </c>
      <c r="J1088" s="158">
        <f>J1089+J1090</f>
        <v>10940.91</v>
      </c>
      <c r="K1088" s="158">
        <f>K1089+K1090</f>
        <v>11088</v>
      </c>
    </row>
    <row r="1089" spans="1:11" s="1" customFormat="1" x14ac:dyDescent="0.3">
      <c r="A1089" s="257"/>
      <c r="B1089" s="257"/>
      <c r="C1089" s="260"/>
      <c r="D1089" s="263"/>
      <c r="E1089" s="263"/>
      <c r="F1089" s="266"/>
      <c r="G1089" s="257"/>
      <c r="H1089" s="159" t="s">
        <v>74</v>
      </c>
      <c r="I1089" s="158">
        <v>2178705.84</v>
      </c>
      <c r="J1089" s="158">
        <f>I1089/D1088</f>
        <v>10801.71</v>
      </c>
      <c r="K1089" s="158">
        <v>10856</v>
      </c>
    </row>
    <row r="1090" spans="1:11" s="1" customFormat="1" x14ac:dyDescent="0.3">
      <c r="A1090" s="257"/>
      <c r="B1090" s="258"/>
      <c r="C1090" s="261"/>
      <c r="D1090" s="264"/>
      <c r="E1090" s="264"/>
      <c r="F1090" s="267"/>
      <c r="G1090" s="258"/>
      <c r="H1090" s="159" t="s">
        <v>76</v>
      </c>
      <c r="I1090" s="158">
        <v>28076.639999999999</v>
      </c>
      <c r="J1090" s="158">
        <f>I1090/D1088</f>
        <v>139.19999999999999</v>
      </c>
      <c r="K1090" s="158">
        <v>232</v>
      </c>
    </row>
    <row r="1091" spans="1:11" s="1" customFormat="1" ht="15.75" customHeight="1" x14ac:dyDescent="0.3">
      <c r="A1091" s="256">
        <f>A1088+1</f>
        <v>7</v>
      </c>
      <c r="B1091" s="256">
        <v>5440</v>
      </c>
      <c r="C1091" s="259" t="s">
        <v>449</v>
      </c>
      <c r="D1091" s="262">
        <v>331.9</v>
      </c>
      <c r="E1091" s="262" t="s">
        <v>665</v>
      </c>
      <c r="F1091" s="265">
        <v>2</v>
      </c>
      <c r="G1091" s="256" t="s">
        <v>72</v>
      </c>
      <c r="H1091" s="159" t="s">
        <v>73</v>
      </c>
      <c r="I1091" s="158">
        <f>SUM(I1092:I1093)</f>
        <v>780119.81</v>
      </c>
      <c r="J1091" s="158">
        <f>SUM(J1092:J1093)</f>
        <v>2350.4699999999998</v>
      </c>
      <c r="K1091" s="158">
        <f>SUM(K1092:K1093)</f>
        <v>7558</v>
      </c>
    </row>
    <row r="1092" spans="1:11" s="1" customFormat="1" ht="46.5" x14ac:dyDescent="0.3">
      <c r="A1092" s="257"/>
      <c r="B1092" s="257"/>
      <c r="C1092" s="260"/>
      <c r="D1092" s="263"/>
      <c r="E1092" s="263"/>
      <c r="F1092" s="266"/>
      <c r="G1092" s="257"/>
      <c r="H1092" s="159" t="s">
        <v>705</v>
      </c>
      <c r="I1092" s="158">
        <f>40547.04+D1091*14</f>
        <v>45193.64</v>
      </c>
      <c r="J1092" s="158">
        <f>I1092/D1091</f>
        <v>136.16999999999999</v>
      </c>
      <c r="K1092" s="158">
        <f>163+14</f>
        <v>177</v>
      </c>
    </row>
    <row r="1093" spans="1:11" s="1" customFormat="1" x14ac:dyDescent="0.3">
      <c r="A1093" s="257"/>
      <c r="B1093" s="258"/>
      <c r="C1093" s="260"/>
      <c r="D1093" s="263"/>
      <c r="E1093" s="263"/>
      <c r="F1093" s="266"/>
      <c r="G1093" s="257"/>
      <c r="H1093" s="159" t="s">
        <v>74</v>
      </c>
      <c r="I1093" s="158">
        <f>D1091*K1093*30/100</f>
        <v>734926.17</v>
      </c>
      <c r="J1093" s="158">
        <f>I1093/D1091</f>
        <v>2214.3000000000002</v>
      </c>
      <c r="K1093" s="158">
        <v>7381</v>
      </c>
    </row>
    <row r="1094" spans="1:11" s="1" customFormat="1" ht="15.75" customHeight="1" x14ac:dyDescent="0.3">
      <c r="A1094" s="256">
        <f>A1091+1</f>
        <v>8</v>
      </c>
      <c r="B1094" s="256">
        <v>5436</v>
      </c>
      <c r="C1094" s="259" t="s">
        <v>450</v>
      </c>
      <c r="D1094" s="262">
        <v>320.5</v>
      </c>
      <c r="E1094" s="262" t="s">
        <v>665</v>
      </c>
      <c r="F1094" s="265">
        <v>2</v>
      </c>
      <c r="G1094" s="256" t="s">
        <v>85</v>
      </c>
      <c r="H1094" s="159" t="s">
        <v>73</v>
      </c>
      <c r="I1094" s="158">
        <f>SUM(I1095:I1098)</f>
        <v>1023003.95</v>
      </c>
      <c r="J1094" s="158">
        <f>SUM(J1095:J1098)</f>
        <v>3191.9</v>
      </c>
      <c r="K1094" s="158">
        <f>SUM(K1095:K1098)</f>
        <v>9697</v>
      </c>
    </row>
    <row r="1095" spans="1:11" s="1" customFormat="1" ht="46.5" x14ac:dyDescent="0.3">
      <c r="A1095" s="257"/>
      <c r="B1095" s="257"/>
      <c r="C1095" s="260"/>
      <c r="D1095" s="263"/>
      <c r="E1095" s="263"/>
      <c r="F1095" s="266"/>
      <c r="G1095" s="257"/>
      <c r="H1095" s="159" t="s">
        <v>705</v>
      </c>
      <c r="I1095" s="158">
        <f>D1094*K1095</f>
        <v>73074</v>
      </c>
      <c r="J1095" s="158">
        <f>I1095/D1094</f>
        <v>228</v>
      </c>
      <c r="K1095" s="158">
        <f>210+18</f>
        <v>228</v>
      </c>
    </row>
    <row r="1096" spans="1:11" s="1" customFormat="1" x14ac:dyDescent="0.3">
      <c r="A1096" s="257"/>
      <c r="B1096" s="257"/>
      <c r="C1096" s="260"/>
      <c r="D1096" s="263"/>
      <c r="E1096" s="263"/>
      <c r="F1096" s="266"/>
      <c r="G1096" s="257"/>
      <c r="H1096" s="159" t="s">
        <v>74</v>
      </c>
      <c r="I1096" s="158">
        <f>K1096*D1094*30/100</f>
        <v>504595.20000000001</v>
      </c>
      <c r="J1096" s="158">
        <f>I1096/D1094</f>
        <v>1574.4</v>
      </c>
      <c r="K1096" s="158">
        <v>5248</v>
      </c>
    </row>
    <row r="1097" spans="1:11" s="1" customFormat="1" ht="46.5" x14ac:dyDescent="0.3">
      <c r="A1097" s="257"/>
      <c r="B1097" s="257"/>
      <c r="C1097" s="260"/>
      <c r="D1097" s="263"/>
      <c r="E1097" s="263"/>
      <c r="F1097" s="266"/>
      <c r="G1097" s="257"/>
      <c r="H1097" s="159" t="s">
        <v>706</v>
      </c>
      <c r="I1097" s="158">
        <f>D1094*K1097</f>
        <v>56408</v>
      </c>
      <c r="J1097" s="158">
        <f>I1097/D1094</f>
        <v>176</v>
      </c>
      <c r="K1097" s="158">
        <f>162+14</f>
        <v>176</v>
      </c>
    </row>
    <row r="1098" spans="1:11" s="1" customFormat="1" x14ac:dyDescent="0.3">
      <c r="A1098" s="257"/>
      <c r="B1098" s="258"/>
      <c r="C1098" s="260"/>
      <c r="D1098" s="263"/>
      <c r="E1098" s="263"/>
      <c r="F1098" s="266"/>
      <c r="G1098" s="257"/>
      <c r="H1098" s="159" t="s">
        <v>708</v>
      </c>
      <c r="I1098" s="158">
        <f>K1098*D1094*30/100</f>
        <v>388926.75</v>
      </c>
      <c r="J1098" s="158">
        <f>I1098/D1094</f>
        <v>1213.5</v>
      </c>
      <c r="K1098" s="158">
        <v>4045</v>
      </c>
    </row>
    <row r="1099" spans="1:11" s="1" customFormat="1" ht="15.75" customHeight="1" x14ac:dyDescent="0.3">
      <c r="A1099" s="256">
        <f>A1094+1</f>
        <v>9</v>
      </c>
      <c r="B1099" s="256">
        <v>5452</v>
      </c>
      <c r="C1099" s="259" t="s">
        <v>451</v>
      </c>
      <c r="D1099" s="262">
        <v>362</v>
      </c>
      <c r="E1099" s="262" t="s">
        <v>665</v>
      </c>
      <c r="F1099" s="265">
        <v>2</v>
      </c>
      <c r="G1099" s="256" t="s">
        <v>85</v>
      </c>
      <c r="H1099" s="159" t="s">
        <v>73</v>
      </c>
      <c r="I1099" s="158">
        <f>SUM(I1100:I1103)</f>
        <v>1155467.8</v>
      </c>
      <c r="J1099" s="158">
        <f>SUM(J1100:J1103)</f>
        <v>3191.9</v>
      </c>
      <c r="K1099" s="158">
        <f>SUM(K1100:K1103)</f>
        <v>9697</v>
      </c>
    </row>
    <row r="1100" spans="1:11" s="1" customFormat="1" ht="46.5" x14ac:dyDescent="0.3">
      <c r="A1100" s="257"/>
      <c r="B1100" s="257"/>
      <c r="C1100" s="260"/>
      <c r="D1100" s="263"/>
      <c r="E1100" s="263"/>
      <c r="F1100" s="266"/>
      <c r="G1100" s="257"/>
      <c r="H1100" s="159" t="s">
        <v>705</v>
      </c>
      <c r="I1100" s="158">
        <f>K1100*D1099</f>
        <v>82536</v>
      </c>
      <c r="J1100" s="158">
        <f>I1100/D1099</f>
        <v>228</v>
      </c>
      <c r="K1100" s="158">
        <f>210+18</f>
        <v>228</v>
      </c>
    </row>
    <row r="1101" spans="1:11" s="1" customFormat="1" x14ac:dyDescent="0.3">
      <c r="A1101" s="257"/>
      <c r="B1101" s="257"/>
      <c r="C1101" s="260"/>
      <c r="D1101" s="263"/>
      <c r="E1101" s="263"/>
      <c r="F1101" s="266"/>
      <c r="G1101" s="257"/>
      <c r="H1101" s="159" t="s">
        <v>74</v>
      </c>
      <c r="I1101" s="158">
        <f>K1101*D1099*30/100</f>
        <v>569932.80000000005</v>
      </c>
      <c r="J1101" s="158">
        <f>I1101/D1099</f>
        <v>1574.4</v>
      </c>
      <c r="K1101" s="158">
        <v>5248</v>
      </c>
    </row>
    <row r="1102" spans="1:11" s="1" customFormat="1" ht="46.5" x14ac:dyDescent="0.3">
      <c r="A1102" s="257"/>
      <c r="B1102" s="257"/>
      <c r="C1102" s="260"/>
      <c r="D1102" s="263"/>
      <c r="E1102" s="263"/>
      <c r="F1102" s="266"/>
      <c r="G1102" s="257"/>
      <c r="H1102" s="159" t="s">
        <v>706</v>
      </c>
      <c r="I1102" s="158">
        <f>D1099*K1102</f>
        <v>63712</v>
      </c>
      <c r="J1102" s="158">
        <f>I1102/D1099</f>
        <v>176</v>
      </c>
      <c r="K1102" s="158">
        <f>162+14</f>
        <v>176</v>
      </c>
    </row>
    <row r="1103" spans="1:11" s="1" customFormat="1" x14ac:dyDescent="0.3">
      <c r="A1103" s="257"/>
      <c r="B1103" s="258"/>
      <c r="C1103" s="261"/>
      <c r="D1103" s="264"/>
      <c r="E1103" s="264"/>
      <c r="F1103" s="267"/>
      <c r="G1103" s="258"/>
      <c r="H1103" s="159" t="s">
        <v>708</v>
      </c>
      <c r="I1103" s="158">
        <f>D1099*K1103*0.3</f>
        <v>439287</v>
      </c>
      <c r="J1103" s="158">
        <f>I1103/D1099</f>
        <v>1213.5</v>
      </c>
      <c r="K1103" s="158">
        <v>4045</v>
      </c>
    </row>
    <row r="1104" spans="1:11" s="1" customFormat="1" ht="15.75" customHeight="1" x14ac:dyDescent="0.3">
      <c r="A1104" s="256">
        <f>A1099+1</f>
        <v>10</v>
      </c>
      <c r="B1104" s="256">
        <v>5475</v>
      </c>
      <c r="C1104" s="259" t="s">
        <v>452</v>
      </c>
      <c r="D1104" s="262">
        <v>1750.1</v>
      </c>
      <c r="E1104" s="262" t="s">
        <v>75</v>
      </c>
      <c r="F1104" s="265">
        <v>5</v>
      </c>
      <c r="G1104" s="256" t="s">
        <v>72</v>
      </c>
      <c r="H1104" s="159" t="s">
        <v>73</v>
      </c>
      <c r="I1104" s="158">
        <f>SUM(I1105:I1106)</f>
        <v>1910340.3</v>
      </c>
      <c r="J1104" s="158">
        <f>SUM(J1105:J1106)</f>
        <v>1091.56</v>
      </c>
      <c r="K1104" s="158">
        <f>SUM(K1105:K1106)</f>
        <v>3416</v>
      </c>
    </row>
    <row r="1105" spans="1:11" s="1" customFormat="1" ht="46.5" x14ac:dyDescent="0.3">
      <c r="A1105" s="257"/>
      <c r="B1105" s="257"/>
      <c r="C1105" s="260"/>
      <c r="D1105" s="263"/>
      <c r="E1105" s="263"/>
      <c r="F1105" s="266"/>
      <c r="G1105" s="257"/>
      <c r="H1105" s="159" t="s">
        <v>796</v>
      </c>
      <c r="I1105" s="158">
        <f>172140.98+D1104*11</f>
        <v>191392.08</v>
      </c>
      <c r="J1105" s="158">
        <f>I1105/D1104</f>
        <v>109.36</v>
      </c>
      <c r="K1105" s="158">
        <f>131+11</f>
        <v>142</v>
      </c>
    </row>
    <row r="1106" spans="1:11" s="1" customFormat="1" ht="31" x14ac:dyDescent="0.3">
      <c r="A1106" s="257"/>
      <c r="B1106" s="258"/>
      <c r="C1106" s="260"/>
      <c r="D1106" s="263"/>
      <c r="E1106" s="263"/>
      <c r="F1106" s="266"/>
      <c r="G1106" s="257"/>
      <c r="H1106" s="159" t="s">
        <v>86</v>
      </c>
      <c r="I1106" s="158">
        <f>K1106*D1104*30/100</f>
        <v>1718948.22</v>
      </c>
      <c r="J1106" s="158">
        <f>I1106/D1104</f>
        <v>982.2</v>
      </c>
      <c r="K1106" s="158">
        <v>3274</v>
      </c>
    </row>
    <row r="1107" spans="1:11" s="1" customFormat="1" ht="15.75" customHeight="1" x14ac:dyDescent="0.3">
      <c r="A1107" s="256">
        <f>A1104+1</f>
        <v>11</v>
      </c>
      <c r="B1107" s="256">
        <v>5537</v>
      </c>
      <c r="C1107" s="259" t="s">
        <v>453</v>
      </c>
      <c r="D1107" s="262">
        <v>324.5</v>
      </c>
      <c r="E1107" s="262" t="s">
        <v>665</v>
      </c>
      <c r="F1107" s="265">
        <v>2</v>
      </c>
      <c r="G1107" s="256" t="s">
        <v>72</v>
      </c>
      <c r="H1107" s="159" t="s">
        <v>73</v>
      </c>
      <c r="I1107" s="158">
        <f>I1108+I1109</f>
        <v>1874159.16</v>
      </c>
      <c r="J1107" s="158">
        <f>J1108+J1109</f>
        <v>5775.53</v>
      </c>
      <c r="K1107" s="158">
        <f>K1108+K1109</f>
        <v>7539</v>
      </c>
    </row>
    <row r="1108" spans="1:11" s="1" customFormat="1" x14ac:dyDescent="0.3">
      <c r="A1108" s="257"/>
      <c r="B1108" s="257"/>
      <c r="C1108" s="260"/>
      <c r="D1108" s="263"/>
      <c r="E1108" s="263"/>
      <c r="F1108" s="266"/>
      <c r="G1108" s="257"/>
      <c r="H1108" s="159" t="s">
        <v>74</v>
      </c>
      <c r="I1108" s="158">
        <v>1850282.15</v>
      </c>
      <c r="J1108" s="158">
        <f>I1108/D1107</f>
        <v>5701.95</v>
      </c>
      <c r="K1108" s="158">
        <v>7381</v>
      </c>
    </row>
    <row r="1109" spans="1:11" s="1" customFormat="1" x14ac:dyDescent="0.3">
      <c r="A1109" s="257"/>
      <c r="B1109" s="258"/>
      <c r="C1109" s="261"/>
      <c r="D1109" s="264"/>
      <c r="E1109" s="264"/>
      <c r="F1109" s="267"/>
      <c r="G1109" s="258"/>
      <c r="H1109" s="159" t="s">
        <v>76</v>
      </c>
      <c r="I1109" s="158">
        <v>23877.01</v>
      </c>
      <c r="J1109" s="158">
        <f>I1109/D1107</f>
        <v>73.58</v>
      </c>
      <c r="K1109" s="158">
        <v>158</v>
      </c>
    </row>
    <row r="1110" spans="1:11" s="1" customFormat="1" ht="15.75" customHeight="1" x14ac:dyDescent="0.3">
      <c r="A1110" s="256">
        <f>A1107+1</f>
        <v>12</v>
      </c>
      <c r="B1110" s="256">
        <v>5547</v>
      </c>
      <c r="C1110" s="259" t="s">
        <v>454</v>
      </c>
      <c r="D1110" s="262">
        <v>394.4</v>
      </c>
      <c r="E1110" s="262" t="s">
        <v>665</v>
      </c>
      <c r="F1110" s="265">
        <v>2</v>
      </c>
      <c r="G1110" s="256" t="s">
        <v>72</v>
      </c>
      <c r="H1110" s="159" t="s">
        <v>73</v>
      </c>
      <c r="I1110" s="158">
        <f>SUM(I1111:I1112)</f>
        <v>927098.98</v>
      </c>
      <c r="J1110" s="158">
        <f>SUM(J1111:J1112)</f>
        <v>2350.66</v>
      </c>
      <c r="K1110" s="158">
        <f>SUM(K1111:K1112)</f>
        <v>7558</v>
      </c>
    </row>
    <row r="1111" spans="1:11" s="1" customFormat="1" ht="46.5" x14ac:dyDescent="0.3">
      <c r="A1111" s="257"/>
      <c r="B1111" s="257"/>
      <c r="C1111" s="260"/>
      <c r="D1111" s="263"/>
      <c r="E1111" s="263"/>
      <c r="F1111" s="266"/>
      <c r="G1111" s="257"/>
      <c r="H1111" s="159" t="s">
        <v>705</v>
      </c>
      <c r="I1111" s="158">
        <f>48257.46+D1110*14</f>
        <v>53779.06</v>
      </c>
      <c r="J1111" s="158">
        <f>I1111/D1110</f>
        <v>136.36000000000001</v>
      </c>
      <c r="K1111" s="158">
        <f>163+14</f>
        <v>177</v>
      </c>
    </row>
    <row r="1112" spans="1:11" s="1" customFormat="1" x14ac:dyDescent="0.3">
      <c r="A1112" s="257"/>
      <c r="B1112" s="258"/>
      <c r="C1112" s="260"/>
      <c r="D1112" s="263"/>
      <c r="E1112" s="263"/>
      <c r="F1112" s="266"/>
      <c r="G1112" s="257"/>
      <c r="H1112" s="159" t="s">
        <v>74</v>
      </c>
      <c r="I1112" s="158">
        <f>K1112*D1110*30/100</f>
        <v>873319.92</v>
      </c>
      <c r="J1112" s="158">
        <f>I1112/D1110</f>
        <v>2214.3000000000002</v>
      </c>
      <c r="K1112" s="158">
        <v>7381</v>
      </c>
    </row>
    <row r="1113" spans="1:11" s="1" customFormat="1" ht="15.75" customHeight="1" x14ac:dyDescent="0.3">
      <c r="A1113" s="256">
        <f>A1110+1</f>
        <v>13</v>
      </c>
      <c r="B1113" s="256">
        <v>5696</v>
      </c>
      <c r="C1113" s="259" t="s">
        <v>455</v>
      </c>
      <c r="D1113" s="262">
        <v>339.5</v>
      </c>
      <c r="E1113" s="262" t="s">
        <v>665</v>
      </c>
      <c r="F1113" s="265">
        <v>2</v>
      </c>
      <c r="G1113" s="256" t="s">
        <v>72</v>
      </c>
      <c r="H1113" s="159" t="s">
        <v>73</v>
      </c>
      <c r="I1113" s="158">
        <f>SUM(I1114:I1115)</f>
        <v>798058.47</v>
      </c>
      <c r="J1113" s="158">
        <f>SUM(J1114:J1115)</f>
        <v>2350.69</v>
      </c>
      <c r="K1113" s="158">
        <f>SUM(K1114:K1115)</f>
        <v>7558</v>
      </c>
    </row>
    <row r="1114" spans="1:11" s="1" customFormat="1" ht="46.5" x14ac:dyDescent="0.3">
      <c r="A1114" s="257"/>
      <c r="B1114" s="257"/>
      <c r="C1114" s="260"/>
      <c r="D1114" s="263"/>
      <c r="E1114" s="263"/>
      <c r="F1114" s="266"/>
      <c r="G1114" s="257"/>
      <c r="H1114" s="159" t="s">
        <v>705</v>
      </c>
      <c r="I1114" s="158">
        <f>41550.62+D1113*14</f>
        <v>46303.62</v>
      </c>
      <c r="J1114" s="158">
        <f>I1114/D1113</f>
        <v>136.38999999999999</v>
      </c>
      <c r="K1114" s="158">
        <f>163+14</f>
        <v>177</v>
      </c>
    </row>
    <row r="1115" spans="1:11" s="1" customFormat="1" x14ac:dyDescent="0.3">
      <c r="A1115" s="257"/>
      <c r="B1115" s="258"/>
      <c r="C1115" s="260"/>
      <c r="D1115" s="263"/>
      <c r="E1115" s="263"/>
      <c r="F1115" s="266"/>
      <c r="G1115" s="257"/>
      <c r="H1115" s="159" t="s">
        <v>74</v>
      </c>
      <c r="I1115" s="158">
        <f>D1113*K1115*30/100</f>
        <v>751754.85</v>
      </c>
      <c r="J1115" s="158">
        <f>I1115/D1113</f>
        <v>2214.3000000000002</v>
      </c>
      <c r="K1115" s="158">
        <v>7381</v>
      </c>
    </row>
    <row r="1116" spans="1:11" s="1" customFormat="1" ht="15.75" customHeight="1" x14ac:dyDescent="0.3">
      <c r="A1116" s="256">
        <f>A1113+1</f>
        <v>14</v>
      </c>
      <c r="B1116" s="256">
        <v>5763</v>
      </c>
      <c r="C1116" s="259" t="s">
        <v>456</v>
      </c>
      <c r="D1116" s="262">
        <v>294.10000000000002</v>
      </c>
      <c r="E1116" s="262" t="s">
        <v>665</v>
      </c>
      <c r="F1116" s="265">
        <v>1</v>
      </c>
      <c r="G1116" s="256" t="s">
        <v>72</v>
      </c>
      <c r="H1116" s="159" t="s">
        <v>73</v>
      </c>
      <c r="I1116" s="158">
        <f>I1117+I1118</f>
        <v>3228860.58</v>
      </c>
      <c r="J1116" s="158">
        <f>J1117+J1118</f>
        <v>10978.78</v>
      </c>
      <c r="K1116" s="158">
        <f>K1117+K1118</f>
        <v>11088</v>
      </c>
    </row>
    <row r="1117" spans="1:11" s="1" customFormat="1" x14ac:dyDescent="0.3">
      <c r="A1117" s="257"/>
      <c r="B1117" s="257"/>
      <c r="C1117" s="260"/>
      <c r="D1117" s="263"/>
      <c r="E1117" s="263"/>
      <c r="F1117" s="266"/>
      <c r="G1117" s="257"/>
      <c r="H1117" s="159" t="s">
        <v>74</v>
      </c>
      <c r="I1117" s="158">
        <v>3176785.64</v>
      </c>
      <c r="J1117" s="158">
        <f>I1117/D1116-0.01</f>
        <v>10801.71</v>
      </c>
      <c r="K1117" s="158">
        <v>10856</v>
      </c>
    </row>
    <row r="1118" spans="1:11" s="1" customFormat="1" x14ac:dyDescent="0.3">
      <c r="A1118" s="257"/>
      <c r="B1118" s="258"/>
      <c r="C1118" s="261"/>
      <c r="D1118" s="264"/>
      <c r="E1118" s="264"/>
      <c r="F1118" s="267"/>
      <c r="G1118" s="258"/>
      <c r="H1118" s="159" t="s">
        <v>76</v>
      </c>
      <c r="I1118" s="158">
        <v>52074.94</v>
      </c>
      <c r="J1118" s="158">
        <f>I1118/D1116</f>
        <v>177.07</v>
      </c>
      <c r="K1118" s="158">
        <v>232</v>
      </c>
    </row>
    <row r="1119" spans="1:11" s="1" customFormat="1" ht="15.75" customHeight="1" x14ac:dyDescent="0.3">
      <c r="A1119" s="256">
        <f>A1116+1</f>
        <v>15</v>
      </c>
      <c r="B1119" s="256">
        <v>5749</v>
      </c>
      <c r="C1119" s="259" t="s">
        <v>457</v>
      </c>
      <c r="D1119" s="262">
        <v>408.6</v>
      </c>
      <c r="E1119" s="262" t="s">
        <v>665</v>
      </c>
      <c r="F1119" s="265">
        <v>2</v>
      </c>
      <c r="G1119" s="256" t="s">
        <v>72</v>
      </c>
      <c r="H1119" s="159" t="s">
        <v>73</v>
      </c>
      <c r="I1119" s="158">
        <f>I1120+I1121</f>
        <v>2598754.61</v>
      </c>
      <c r="J1119" s="158">
        <f>J1120+J1121</f>
        <v>6360.14</v>
      </c>
      <c r="K1119" s="158">
        <f>K1120+K1121</f>
        <v>7539</v>
      </c>
    </row>
    <row r="1120" spans="1:11" s="1" customFormat="1" x14ac:dyDescent="0.3">
      <c r="A1120" s="257"/>
      <c r="B1120" s="257"/>
      <c r="C1120" s="260"/>
      <c r="D1120" s="263"/>
      <c r="E1120" s="263"/>
      <c r="F1120" s="266"/>
      <c r="G1120" s="257"/>
      <c r="H1120" s="159" t="s">
        <v>74</v>
      </c>
      <c r="I1120" s="158">
        <v>2560720.13</v>
      </c>
      <c r="J1120" s="158">
        <f>I1120/D1119</f>
        <v>6267.06</v>
      </c>
      <c r="K1120" s="158">
        <v>7381</v>
      </c>
    </row>
    <row r="1121" spans="1:223" s="1" customFormat="1" x14ac:dyDescent="0.3">
      <c r="A1121" s="257"/>
      <c r="B1121" s="258"/>
      <c r="C1121" s="261"/>
      <c r="D1121" s="264"/>
      <c r="E1121" s="264"/>
      <c r="F1121" s="267"/>
      <c r="G1121" s="258"/>
      <c r="H1121" s="159" t="s">
        <v>76</v>
      </c>
      <c r="I1121" s="158">
        <v>38034.480000000003</v>
      </c>
      <c r="J1121" s="158">
        <f>I1121/D1119</f>
        <v>93.08</v>
      </c>
      <c r="K1121" s="158">
        <v>158</v>
      </c>
    </row>
    <row r="1122" spans="1:223" s="1" customFormat="1" ht="15.75" customHeight="1" x14ac:dyDescent="0.3">
      <c r="A1122" s="256">
        <f>A1119+1</f>
        <v>16</v>
      </c>
      <c r="B1122" s="256">
        <v>5796</v>
      </c>
      <c r="C1122" s="259" t="s">
        <v>458</v>
      </c>
      <c r="D1122" s="262">
        <v>354.2</v>
      </c>
      <c r="E1122" s="262" t="s">
        <v>75</v>
      </c>
      <c r="F1122" s="265">
        <v>2</v>
      </c>
      <c r="G1122" s="256" t="s">
        <v>72</v>
      </c>
      <c r="H1122" s="159" t="s">
        <v>73</v>
      </c>
      <c r="I1122" s="158">
        <f>SUM(I1123:I1124)</f>
        <v>831735.43</v>
      </c>
      <c r="J1122" s="158">
        <f>SUM(J1123:J1124)</f>
        <v>2348.21</v>
      </c>
      <c r="K1122" s="158">
        <f>SUM(K1123:K1124)</f>
        <v>7548</v>
      </c>
    </row>
    <row r="1123" spans="1:223" s="1" customFormat="1" ht="46.5" x14ac:dyDescent="0.3">
      <c r="A1123" s="257"/>
      <c r="B1123" s="257"/>
      <c r="C1123" s="260"/>
      <c r="D1123" s="263"/>
      <c r="E1123" s="263"/>
      <c r="F1123" s="266"/>
      <c r="G1123" s="257"/>
      <c r="H1123" s="159" t="s">
        <v>705</v>
      </c>
      <c r="I1123" s="158">
        <f>42825.77+D1122*13</f>
        <v>47430.37</v>
      </c>
      <c r="J1123" s="158">
        <f>I1123/D1122</f>
        <v>133.91</v>
      </c>
      <c r="K1123" s="158">
        <f>154+13</f>
        <v>167</v>
      </c>
    </row>
    <row r="1124" spans="1:223" s="1" customFormat="1" x14ac:dyDescent="0.3">
      <c r="A1124" s="257"/>
      <c r="B1124" s="258"/>
      <c r="C1124" s="260"/>
      <c r="D1124" s="263"/>
      <c r="E1124" s="263"/>
      <c r="F1124" s="266"/>
      <c r="G1124" s="257"/>
      <c r="H1124" s="159" t="s">
        <v>74</v>
      </c>
      <c r="I1124" s="158">
        <f>D1122*K1124*30/100</f>
        <v>784305.06</v>
      </c>
      <c r="J1124" s="158">
        <f>I1124/D1122</f>
        <v>2214.3000000000002</v>
      </c>
      <c r="K1124" s="158">
        <v>7381</v>
      </c>
    </row>
    <row r="1125" spans="1:223" s="1" customFormat="1" ht="15.75" customHeight="1" x14ac:dyDescent="0.3">
      <c r="A1125" s="256">
        <f>A1122+1</f>
        <v>17</v>
      </c>
      <c r="B1125" s="256">
        <v>5798</v>
      </c>
      <c r="C1125" s="259" t="s">
        <v>459</v>
      </c>
      <c r="D1125" s="262">
        <v>361.8</v>
      </c>
      <c r="E1125" s="262" t="s">
        <v>75</v>
      </c>
      <c r="F1125" s="265">
        <v>2</v>
      </c>
      <c r="G1125" s="256" t="s">
        <v>72</v>
      </c>
      <c r="H1125" s="159" t="s">
        <v>73</v>
      </c>
      <c r="I1125" s="158">
        <f>I1126+I1127</f>
        <v>2478900.4700000002</v>
      </c>
      <c r="J1125" s="158">
        <f>J1126+J1127</f>
        <v>6851.58</v>
      </c>
      <c r="K1125" s="158">
        <f>K1126+K1127</f>
        <v>7539</v>
      </c>
    </row>
    <row r="1126" spans="1:223" s="1" customFormat="1" x14ac:dyDescent="0.3">
      <c r="A1126" s="257"/>
      <c r="B1126" s="257"/>
      <c r="C1126" s="260"/>
      <c r="D1126" s="263"/>
      <c r="E1126" s="263"/>
      <c r="F1126" s="266"/>
      <c r="G1126" s="257"/>
      <c r="H1126" s="159" t="s">
        <v>74</v>
      </c>
      <c r="I1126" s="158">
        <v>2441855.33</v>
      </c>
      <c r="J1126" s="158">
        <f>I1126/D1125</f>
        <v>6749.19</v>
      </c>
      <c r="K1126" s="158">
        <v>7381</v>
      </c>
    </row>
    <row r="1127" spans="1:223" s="1" customFormat="1" x14ac:dyDescent="0.3">
      <c r="A1127" s="257"/>
      <c r="B1127" s="258"/>
      <c r="C1127" s="261"/>
      <c r="D1127" s="264"/>
      <c r="E1127" s="264"/>
      <c r="F1127" s="267"/>
      <c r="G1127" s="258"/>
      <c r="H1127" s="159" t="s">
        <v>76</v>
      </c>
      <c r="I1127" s="158">
        <v>37045.14</v>
      </c>
      <c r="J1127" s="158">
        <f>I1127/D1125</f>
        <v>102.39</v>
      </c>
      <c r="K1127" s="158">
        <v>158</v>
      </c>
    </row>
    <row r="1128" spans="1:223" s="1" customFormat="1" ht="15.75" customHeight="1" x14ac:dyDescent="0.3">
      <c r="A1128" s="256">
        <f>A1125+1</f>
        <v>18</v>
      </c>
      <c r="B1128" s="256">
        <v>5800</v>
      </c>
      <c r="C1128" s="259" t="s">
        <v>460</v>
      </c>
      <c r="D1128" s="262">
        <v>347.9</v>
      </c>
      <c r="E1128" s="262" t="s">
        <v>75</v>
      </c>
      <c r="F1128" s="265">
        <v>2</v>
      </c>
      <c r="G1128" s="256" t="s">
        <v>72</v>
      </c>
      <c r="H1128" s="159" t="s">
        <v>73</v>
      </c>
      <c r="I1128" s="158">
        <f>SUM(I1129:I1130)</f>
        <v>816941.73</v>
      </c>
      <c r="J1128" s="158">
        <f>SUM(J1129:J1130)</f>
        <v>2348.21</v>
      </c>
      <c r="K1128" s="158">
        <f>SUM(K1129:K1130)</f>
        <v>7548</v>
      </c>
    </row>
    <row r="1129" spans="1:223" s="1" customFormat="1" ht="46.5" x14ac:dyDescent="0.3">
      <c r="A1129" s="257"/>
      <c r="B1129" s="257"/>
      <c r="C1129" s="260"/>
      <c r="D1129" s="263"/>
      <c r="E1129" s="263"/>
      <c r="F1129" s="266"/>
      <c r="G1129" s="257"/>
      <c r="H1129" s="159" t="s">
        <v>705</v>
      </c>
      <c r="I1129" s="158">
        <f>42064.06+D1128*13</f>
        <v>46586.76</v>
      </c>
      <c r="J1129" s="158">
        <f>I1129/D1128</f>
        <v>133.91</v>
      </c>
      <c r="K1129" s="158">
        <f>154+13</f>
        <v>167</v>
      </c>
    </row>
    <row r="1130" spans="1:223" s="1" customFormat="1" x14ac:dyDescent="0.3">
      <c r="A1130" s="257"/>
      <c r="B1130" s="258"/>
      <c r="C1130" s="260"/>
      <c r="D1130" s="263"/>
      <c r="E1130" s="263"/>
      <c r="F1130" s="266"/>
      <c r="G1130" s="257"/>
      <c r="H1130" s="159" t="s">
        <v>74</v>
      </c>
      <c r="I1130" s="158">
        <f>D1128*K1130*30/100</f>
        <v>770354.97</v>
      </c>
      <c r="J1130" s="158">
        <f>I1130/D1128</f>
        <v>2214.3000000000002</v>
      </c>
      <c r="K1130" s="158">
        <v>7381</v>
      </c>
    </row>
    <row r="1131" spans="1:223" s="1" customFormat="1" ht="15.75" customHeight="1" x14ac:dyDescent="0.35">
      <c r="A1131" s="153" t="s">
        <v>41</v>
      </c>
      <c r="B1131" s="147"/>
      <c r="C1131" s="73"/>
      <c r="D1131" s="142">
        <f>D1132+D1134</f>
        <v>788.3</v>
      </c>
      <c r="E1131" s="142"/>
      <c r="F1131" s="142"/>
      <c r="G1131" s="125"/>
      <c r="H1131" s="162"/>
      <c r="I1131" s="158">
        <f>I1132+I1134</f>
        <v>800506.45</v>
      </c>
      <c r="J1131" s="158"/>
      <c r="K1131" s="158"/>
      <c r="L1131" s="9"/>
      <c r="M1131" s="9"/>
      <c r="N1131" s="9"/>
      <c r="O1131" s="9"/>
      <c r="P1131" s="9"/>
      <c r="Q1131" s="9"/>
      <c r="R1131" s="9"/>
      <c r="S1131" s="9"/>
      <c r="T1131" s="9"/>
      <c r="U1131" s="9"/>
      <c r="V1131" s="9"/>
      <c r="W1131" s="9"/>
      <c r="X1131" s="7"/>
      <c r="Y1131" s="7"/>
      <c r="Z1131" s="7"/>
      <c r="AA1131" s="7"/>
      <c r="AB1131" s="7"/>
      <c r="AC1131" s="7"/>
      <c r="AD1131" s="7"/>
      <c r="AE1131" s="7"/>
      <c r="AF1131" s="7"/>
      <c r="AG1131" s="7"/>
      <c r="AH1131" s="7"/>
      <c r="AI1131" s="7"/>
      <c r="AJ1131" s="7"/>
      <c r="AK1131" s="7"/>
      <c r="AL1131" s="7"/>
      <c r="AM1131" s="7"/>
      <c r="AN1131" s="7"/>
      <c r="AO1131" s="7"/>
      <c r="AP1131" s="7"/>
      <c r="AQ1131" s="7"/>
      <c r="AR1131" s="7"/>
      <c r="AS1131" s="7"/>
      <c r="AT1131" s="7"/>
      <c r="AU1131" s="7"/>
      <c r="AV1131" s="7"/>
      <c r="AW1131" s="7"/>
      <c r="AX1131" s="7"/>
      <c r="AY1131" s="7"/>
      <c r="AZ1131" s="7"/>
      <c r="BA1131" s="7"/>
      <c r="BB1131" s="7"/>
      <c r="BC1131" s="7"/>
      <c r="BD1131" s="7"/>
      <c r="BE1131" s="7"/>
      <c r="BF1131" s="7"/>
      <c r="BG1131" s="7"/>
      <c r="BH1131" s="7"/>
      <c r="BI1131" s="7"/>
      <c r="BJ1131" s="7"/>
      <c r="BK1131" s="7"/>
      <c r="BL1131" s="7"/>
      <c r="BM1131" s="7"/>
      <c r="BN1131" s="7"/>
      <c r="BO1131" s="7"/>
      <c r="BP1131" s="7"/>
      <c r="BQ1131" s="7"/>
      <c r="BR1131" s="7"/>
      <c r="BS1131" s="7"/>
      <c r="BT1131" s="7"/>
      <c r="BU1131" s="7"/>
      <c r="BV1131" s="7"/>
      <c r="BW1131" s="7"/>
      <c r="BX1131" s="7"/>
      <c r="BY1131" s="7"/>
      <c r="BZ1131" s="7"/>
      <c r="CA1131" s="7"/>
      <c r="CB1131" s="7"/>
      <c r="CC1131" s="7"/>
      <c r="CD1131" s="7"/>
      <c r="CE1131" s="7"/>
      <c r="CF1131" s="7"/>
      <c r="CG1131" s="7"/>
      <c r="CH1131" s="7"/>
      <c r="CI1131" s="7"/>
      <c r="CJ1131" s="7"/>
      <c r="CK1131" s="7"/>
      <c r="CL1131" s="7"/>
      <c r="CM1131" s="7"/>
      <c r="CN1131" s="7"/>
      <c r="CO1131" s="7"/>
      <c r="CP1131" s="7"/>
      <c r="CQ1131" s="7"/>
      <c r="CR1131" s="7"/>
      <c r="CS1131" s="7"/>
      <c r="CT1131" s="7"/>
      <c r="CU1131" s="7"/>
      <c r="CV1131" s="7"/>
      <c r="CW1131" s="7"/>
      <c r="CX1131" s="7"/>
      <c r="CY1131" s="7"/>
      <c r="CZ1131" s="7"/>
      <c r="DA1131" s="7"/>
      <c r="DB1131" s="7"/>
      <c r="DC1131" s="7"/>
      <c r="DD1131" s="7"/>
      <c r="DE1131" s="7"/>
      <c r="DF1131" s="7"/>
      <c r="DG1131" s="7"/>
      <c r="DH1131" s="7"/>
      <c r="DI1131" s="7"/>
      <c r="DJ1131" s="7"/>
      <c r="DK1131" s="7"/>
      <c r="DL1131" s="7"/>
      <c r="DM1131" s="7"/>
      <c r="DN1131" s="7"/>
      <c r="DO1131" s="7"/>
      <c r="DP1131" s="7"/>
      <c r="DQ1131" s="7"/>
      <c r="DR1131" s="7"/>
      <c r="DS1131" s="7"/>
      <c r="DT1131" s="7"/>
      <c r="DU1131" s="7"/>
      <c r="DV1131" s="7"/>
      <c r="DW1131" s="7"/>
      <c r="DX1131" s="7"/>
      <c r="DY1131" s="7"/>
      <c r="DZ1131" s="7"/>
      <c r="EA1131" s="7"/>
      <c r="EB1131" s="7"/>
      <c r="EC1131" s="7"/>
      <c r="ED1131" s="7"/>
      <c r="EE1131" s="7"/>
      <c r="EF1131" s="7"/>
      <c r="EG1131" s="7"/>
      <c r="EH1131" s="7"/>
      <c r="EI1131" s="7"/>
      <c r="EJ1131" s="7"/>
      <c r="EK1131" s="7"/>
      <c r="EL1131" s="7"/>
      <c r="EM1131" s="7"/>
      <c r="EN1131" s="7"/>
      <c r="EO1131" s="7"/>
      <c r="EP1131" s="7"/>
      <c r="EQ1131" s="7"/>
      <c r="ER1131" s="7"/>
      <c r="ES1131" s="7"/>
      <c r="ET1131" s="7"/>
      <c r="EU1131" s="7"/>
      <c r="EV1131" s="7"/>
      <c r="EW1131" s="7"/>
      <c r="EX1131" s="7"/>
      <c r="EY1131" s="7"/>
      <c r="EZ1131" s="7"/>
      <c r="FA1131" s="7"/>
      <c r="FB1131" s="7"/>
      <c r="FC1131" s="7"/>
      <c r="FD1131" s="7"/>
      <c r="FE1131" s="7"/>
      <c r="FF1131" s="7"/>
      <c r="FG1131" s="7"/>
      <c r="FH1131" s="7"/>
      <c r="FI1131" s="7"/>
      <c r="FJ1131" s="7"/>
      <c r="FK1131" s="7"/>
      <c r="FL1131" s="7"/>
      <c r="FM1131" s="7"/>
      <c r="FN1131" s="7"/>
      <c r="FO1131" s="7"/>
      <c r="FP1131" s="7"/>
      <c r="FQ1131" s="7"/>
      <c r="FR1131" s="7"/>
      <c r="FS1131" s="7"/>
      <c r="FT1131" s="7"/>
      <c r="FU1131" s="7"/>
      <c r="FV1131" s="7"/>
      <c r="FW1131" s="7"/>
      <c r="FX1131" s="7"/>
      <c r="FY1131" s="7"/>
      <c r="FZ1131" s="7"/>
      <c r="GA1131" s="7"/>
      <c r="GB1131" s="7"/>
      <c r="GC1131" s="7"/>
      <c r="GD1131" s="7"/>
      <c r="GE1131" s="7"/>
      <c r="GF1131" s="7"/>
      <c r="GG1131" s="7"/>
      <c r="GH1131" s="7"/>
      <c r="GI1131" s="7"/>
      <c r="GJ1131" s="7"/>
      <c r="GK1131" s="7"/>
      <c r="GL1131" s="7"/>
      <c r="GM1131" s="7"/>
      <c r="GN1131" s="7"/>
      <c r="GO1131" s="7"/>
      <c r="GP1131" s="7"/>
      <c r="GQ1131" s="7"/>
      <c r="GR1131" s="7"/>
      <c r="GS1131" s="7"/>
      <c r="GT1131" s="7"/>
      <c r="GU1131" s="7"/>
      <c r="GV1131" s="7"/>
      <c r="GW1131" s="7"/>
      <c r="GX1131" s="7"/>
      <c r="GY1131" s="7"/>
      <c r="GZ1131" s="7"/>
      <c r="HA1131" s="7"/>
      <c r="HB1131" s="7"/>
      <c r="HC1131" s="7"/>
      <c r="HD1131" s="7"/>
      <c r="HE1131" s="7"/>
      <c r="HF1131" s="7"/>
      <c r="HG1131" s="7"/>
      <c r="HH1131" s="7"/>
      <c r="HI1131" s="7"/>
      <c r="HJ1131" s="7"/>
      <c r="HK1131" s="7"/>
      <c r="HL1131" s="7"/>
      <c r="HM1131" s="7"/>
      <c r="HN1131" s="7"/>
      <c r="HO1131" s="7"/>
    </row>
    <row r="1132" spans="1:223" s="1" customFormat="1" ht="15.75" customHeight="1" x14ac:dyDescent="0.3">
      <c r="A1132" s="256">
        <v>1</v>
      </c>
      <c r="B1132" s="256">
        <v>4886</v>
      </c>
      <c r="C1132" s="259" t="s">
        <v>461</v>
      </c>
      <c r="D1132" s="262">
        <v>482.1</v>
      </c>
      <c r="E1132" s="265" t="s">
        <v>75</v>
      </c>
      <c r="F1132" s="265">
        <v>2</v>
      </c>
      <c r="G1132" s="256" t="s">
        <v>72</v>
      </c>
      <c r="H1132" s="159" t="s">
        <v>704</v>
      </c>
      <c r="I1132" s="158">
        <f>I1133</f>
        <v>79929.89</v>
      </c>
      <c r="J1132" s="158">
        <f>J1133</f>
        <v>165.8</v>
      </c>
      <c r="K1132" s="158">
        <f>K1133</f>
        <v>167</v>
      </c>
    </row>
    <row r="1133" spans="1:223" s="1" customFormat="1" ht="46.5" x14ac:dyDescent="0.3">
      <c r="A1133" s="257">
        <v>2457.6666666666702</v>
      </c>
      <c r="B1133" s="258"/>
      <c r="C1133" s="260"/>
      <c r="D1133" s="263"/>
      <c r="E1133" s="266"/>
      <c r="F1133" s="266"/>
      <c r="G1133" s="257"/>
      <c r="H1133" s="159" t="s">
        <v>705</v>
      </c>
      <c r="I1133" s="158">
        <f>73662.59+D1132*13</f>
        <v>79929.89</v>
      </c>
      <c r="J1133" s="158">
        <f>I1133/D1132</f>
        <v>165.8</v>
      </c>
      <c r="K1133" s="158">
        <f>154+13</f>
        <v>167</v>
      </c>
    </row>
    <row r="1134" spans="1:223" s="1" customFormat="1" ht="15.75" customHeight="1" x14ac:dyDescent="0.3">
      <c r="A1134" s="256">
        <v>2</v>
      </c>
      <c r="B1134" s="256">
        <v>4932</v>
      </c>
      <c r="C1134" s="259" t="s">
        <v>710</v>
      </c>
      <c r="D1134" s="262">
        <v>306.2</v>
      </c>
      <c r="E1134" s="265" t="s">
        <v>665</v>
      </c>
      <c r="F1134" s="265">
        <v>2</v>
      </c>
      <c r="G1134" s="256" t="s">
        <v>72</v>
      </c>
      <c r="H1134" s="159" t="s">
        <v>73</v>
      </c>
      <c r="I1134" s="158">
        <f>I1135+I1136</f>
        <v>720576.56</v>
      </c>
      <c r="J1134" s="158">
        <f>J1135+J1136</f>
        <v>2353.29</v>
      </c>
      <c r="K1134" s="158">
        <f>K1135+K1136</f>
        <v>7539</v>
      </c>
    </row>
    <row r="1135" spans="1:223" s="1" customFormat="1" x14ac:dyDescent="0.3">
      <c r="A1135" s="257">
        <v>1134</v>
      </c>
      <c r="B1135" s="257"/>
      <c r="C1135" s="260"/>
      <c r="D1135" s="263"/>
      <c r="E1135" s="266"/>
      <c r="F1135" s="266"/>
      <c r="G1135" s="257"/>
      <c r="H1135" s="159" t="s">
        <v>74</v>
      </c>
      <c r="I1135" s="158">
        <v>705479.3</v>
      </c>
      <c r="J1135" s="158">
        <f>I1135/D1134</f>
        <v>2303.98</v>
      </c>
      <c r="K1135" s="158">
        <v>7381</v>
      </c>
    </row>
    <row r="1136" spans="1:223" s="1" customFormat="1" x14ac:dyDescent="0.3">
      <c r="A1136" s="258">
        <v>1135</v>
      </c>
      <c r="B1136" s="258"/>
      <c r="C1136" s="261"/>
      <c r="D1136" s="264"/>
      <c r="E1136" s="267"/>
      <c r="F1136" s="267"/>
      <c r="G1136" s="258"/>
      <c r="H1136" s="159" t="s">
        <v>76</v>
      </c>
      <c r="I1136" s="158">
        <v>15097.26</v>
      </c>
      <c r="J1136" s="158">
        <f>I1136/D1134</f>
        <v>49.31</v>
      </c>
      <c r="K1136" s="158">
        <v>158</v>
      </c>
    </row>
    <row r="1137" spans="1:223" s="92" customFormat="1" x14ac:dyDescent="0.35">
      <c r="A1137" s="153" t="s">
        <v>42</v>
      </c>
      <c r="B1137" s="147"/>
      <c r="C1137" s="73"/>
      <c r="D1137" s="142">
        <f>D1138+D1140</f>
        <v>800</v>
      </c>
      <c r="E1137" s="142"/>
      <c r="F1137" s="142"/>
      <c r="G1137" s="125"/>
      <c r="H1137" s="162"/>
      <c r="I1137" s="158">
        <f>I1138+I1140</f>
        <v>1195935.53</v>
      </c>
      <c r="J1137" s="158"/>
      <c r="K1137" s="158"/>
      <c r="L1137" s="9"/>
      <c r="M1137" s="9"/>
      <c r="N1137" s="9"/>
      <c r="O1137" s="9"/>
      <c r="P1137" s="9"/>
      <c r="Q1137" s="9"/>
      <c r="R1137" s="9"/>
      <c r="S1137" s="9"/>
      <c r="T1137" s="9"/>
      <c r="U1137" s="9"/>
      <c r="V1137" s="9"/>
      <c r="W1137" s="9"/>
      <c r="X1137" s="7"/>
      <c r="Y1137" s="7"/>
      <c r="Z1137" s="7"/>
      <c r="AA1137" s="7"/>
      <c r="AB1137" s="7"/>
      <c r="AC1137" s="7"/>
      <c r="AD1137" s="7"/>
      <c r="AE1137" s="7"/>
      <c r="AF1137" s="7"/>
      <c r="AG1137" s="7"/>
      <c r="AH1137" s="7"/>
      <c r="AI1137" s="7"/>
      <c r="AJ1137" s="7"/>
      <c r="AK1137" s="7"/>
      <c r="AL1137" s="7"/>
      <c r="AM1137" s="7"/>
      <c r="AN1137" s="7"/>
      <c r="AO1137" s="7"/>
      <c r="AP1137" s="7"/>
      <c r="AQ1137" s="7"/>
      <c r="AR1137" s="7"/>
      <c r="AS1137" s="7"/>
      <c r="AT1137" s="7"/>
      <c r="AU1137" s="7"/>
      <c r="AV1137" s="7"/>
      <c r="AW1137" s="7"/>
      <c r="AX1137" s="7"/>
      <c r="AY1137" s="7"/>
      <c r="AZ1137" s="7"/>
      <c r="BA1137" s="7"/>
      <c r="BB1137" s="7"/>
      <c r="BC1137" s="7"/>
      <c r="BD1137" s="7"/>
      <c r="BE1137" s="7"/>
      <c r="BF1137" s="7"/>
      <c r="BG1137" s="7"/>
      <c r="BH1137" s="7"/>
      <c r="BI1137" s="7"/>
      <c r="BJ1137" s="7"/>
      <c r="BK1137" s="7"/>
      <c r="BL1137" s="7"/>
      <c r="BM1137" s="7"/>
      <c r="BN1137" s="7"/>
      <c r="BO1137" s="7"/>
      <c r="BP1137" s="7"/>
      <c r="BQ1137" s="7"/>
      <c r="BR1137" s="7"/>
      <c r="BS1137" s="7"/>
      <c r="BT1137" s="7"/>
      <c r="BU1137" s="7"/>
      <c r="BV1137" s="7"/>
      <c r="BW1137" s="7"/>
      <c r="BX1137" s="7"/>
      <c r="BY1137" s="7"/>
      <c r="BZ1137" s="7"/>
      <c r="CA1137" s="7"/>
      <c r="CB1137" s="7"/>
      <c r="CC1137" s="7"/>
      <c r="CD1137" s="7"/>
      <c r="CE1137" s="7"/>
      <c r="CF1137" s="7"/>
      <c r="CG1137" s="7"/>
      <c r="CH1137" s="7"/>
      <c r="CI1137" s="7"/>
      <c r="CJ1137" s="7"/>
      <c r="CK1137" s="7"/>
      <c r="CL1137" s="7"/>
      <c r="CM1137" s="7"/>
      <c r="CN1137" s="7"/>
      <c r="CO1137" s="7"/>
      <c r="CP1137" s="7"/>
      <c r="CQ1137" s="7"/>
      <c r="CR1137" s="7"/>
      <c r="CS1137" s="7"/>
      <c r="CT1137" s="7"/>
      <c r="CU1137" s="7"/>
      <c r="CV1137" s="7"/>
      <c r="CW1137" s="7"/>
      <c r="CX1137" s="7"/>
      <c r="CY1137" s="7"/>
      <c r="CZ1137" s="7"/>
      <c r="DA1137" s="7"/>
      <c r="DB1137" s="7"/>
      <c r="DC1137" s="7"/>
      <c r="DD1137" s="7"/>
      <c r="DE1137" s="7"/>
      <c r="DF1137" s="7"/>
      <c r="DG1137" s="7"/>
      <c r="DH1137" s="7"/>
      <c r="DI1137" s="7"/>
      <c r="DJ1137" s="7"/>
      <c r="DK1137" s="7"/>
      <c r="DL1137" s="7"/>
      <c r="DM1137" s="7"/>
      <c r="DN1137" s="7"/>
      <c r="DO1137" s="7"/>
      <c r="DP1137" s="7"/>
      <c r="DQ1137" s="7"/>
      <c r="DR1137" s="7"/>
      <c r="DS1137" s="7"/>
      <c r="DT1137" s="7"/>
      <c r="DU1137" s="7"/>
      <c r="DV1137" s="7"/>
      <c r="DW1137" s="7"/>
      <c r="DX1137" s="7"/>
      <c r="DY1137" s="7"/>
      <c r="DZ1137" s="7"/>
      <c r="EA1137" s="7"/>
      <c r="EB1137" s="7"/>
      <c r="EC1137" s="7"/>
      <c r="ED1137" s="7"/>
      <c r="EE1137" s="7"/>
      <c r="EF1137" s="7"/>
      <c r="EG1137" s="7"/>
      <c r="EH1137" s="7"/>
      <c r="EI1137" s="7"/>
      <c r="EJ1137" s="7"/>
      <c r="EK1137" s="7"/>
      <c r="EL1137" s="7"/>
      <c r="EM1137" s="7"/>
      <c r="EN1137" s="7"/>
      <c r="EO1137" s="7"/>
      <c r="EP1137" s="7"/>
      <c r="EQ1137" s="7"/>
      <c r="ER1137" s="7"/>
      <c r="ES1137" s="7"/>
      <c r="ET1137" s="7"/>
      <c r="EU1137" s="7"/>
      <c r="EV1137" s="7"/>
      <c r="EW1137" s="7"/>
      <c r="EX1137" s="7"/>
      <c r="EY1137" s="7"/>
      <c r="EZ1137" s="7"/>
      <c r="FA1137" s="7"/>
      <c r="FB1137" s="7"/>
      <c r="FC1137" s="7"/>
      <c r="FD1137" s="7"/>
      <c r="FE1137" s="7"/>
      <c r="FF1137" s="7"/>
      <c r="FG1137" s="7"/>
      <c r="FH1137" s="7"/>
      <c r="FI1137" s="7"/>
      <c r="FJ1137" s="7"/>
      <c r="FK1137" s="7"/>
      <c r="FL1137" s="7"/>
      <c r="FM1137" s="7"/>
      <c r="FN1137" s="7"/>
      <c r="FO1137" s="7"/>
      <c r="FP1137" s="7"/>
      <c r="FQ1137" s="7"/>
      <c r="FR1137" s="7"/>
      <c r="FS1137" s="7"/>
      <c r="FT1137" s="7"/>
      <c r="FU1137" s="7"/>
      <c r="FV1137" s="7"/>
      <c r="FW1137" s="7"/>
      <c r="FX1137" s="7"/>
      <c r="FY1137" s="7"/>
      <c r="FZ1137" s="7"/>
      <c r="GA1137" s="7"/>
      <c r="GB1137" s="7"/>
      <c r="GC1137" s="7"/>
      <c r="GD1137" s="7"/>
      <c r="GE1137" s="7"/>
      <c r="GF1137" s="7"/>
      <c r="GG1137" s="7"/>
      <c r="GH1137" s="7"/>
      <c r="GI1137" s="7"/>
      <c r="GJ1137" s="7"/>
      <c r="GK1137" s="7"/>
      <c r="GL1137" s="7"/>
      <c r="GM1137" s="7"/>
      <c r="GN1137" s="7"/>
      <c r="GO1137" s="7"/>
      <c r="GP1137" s="7"/>
      <c r="GQ1137" s="7"/>
      <c r="GR1137" s="7"/>
      <c r="GS1137" s="7"/>
      <c r="GT1137" s="7"/>
      <c r="GU1137" s="7"/>
      <c r="GV1137" s="7"/>
      <c r="GW1137" s="7"/>
      <c r="GX1137" s="7"/>
      <c r="GY1137" s="7"/>
      <c r="GZ1137" s="7"/>
      <c r="HA1137" s="7"/>
      <c r="HB1137" s="7"/>
      <c r="HC1137" s="7"/>
      <c r="HD1137" s="7"/>
      <c r="HE1137" s="7"/>
      <c r="HF1137" s="7"/>
      <c r="HG1137" s="7"/>
      <c r="HH1137" s="7"/>
      <c r="HI1137" s="7"/>
      <c r="HJ1137" s="7"/>
      <c r="HK1137" s="7"/>
      <c r="HL1137" s="7"/>
      <c r="HM1137" s="7"/>
      <c r="HN1137" s="7"/>
      <c r="HO1137" s="7"/>
    </row>
    <row r="1138" spans="1:223" s="1" customFormat="1" ht="15.75" customHeight="1" x14ac:dyDescent="0.3">
      <c r="A1138" s="256">
        <v>1</v>
      </c>
      <c r="B1138" s="302">
        <v>6813</v>
      </c>
      <c r="C1138" s="259" t="s">
        <v>711</v>
      </c>
      <c r="D1138" s="262">
        <v>400</v>
      </c>
      <c r="E1138" s="265" t="s">
        <v>665</v>
      </c>
      <c r="F1138" s="265">
        <v>2</v>
      </c>
      <c r="G1138" s="256" t="s">
        <v>72</v>
      </c>
      <c r="H1138" s="159" t="s">
        <v>73</v>
      </c>
      <c r="I1138" s="158">
        <f>I1139</f>
        <v>70355.789999999994</v>
      </c>
      <c r="J1138" s="158">
        <f>J1139</f>
        <v>175.89</v>
      </c>
      <c r="K1138" s="158">
        <f>K1139</f>
        <v>177</v>
      </c>
    </row>
    <row r="1139" spans="1:223" s="1" customFormat="1" ht="46.5" x14ac:dyDescent="0.3">
      <c r="A1139" s="257">
        <v>1134</v>
      </c>
      <c r="B1139" s="303"/>
      <c r="C1139" s="260"/>
      <c r="D1139" s="263"/>
      <c r="E1139" s="266"/>
      <c r="F1139" s="266"/>
      <c r="G1139" s="257"/>
      <c r="H1139" s="159" t="s">
        <v>705</v>
      </c>
      <c r="I1139" s="158">
        <f>64755.79+D1138*14</f>
        <v>70355.789999999994</v>
      </c>
      <c r="J1139" s="158">
        <f>I1139/D1138</f>
        <v>175.89</v>
      </c>
      <c r="K1139" s="158">
        <f>163+14</f>
        <v>177</v>
      </c>
    </row>
    <row r="1140" spans="1:223" s="1" customFormat="1" ht="15.75" customHeight="1" x14ac:dyDescent="0.3">
      <c r="A1140" s="256">
        <f>A1138+1</f>
        <v>2</v>
      </c>
      <c r="B1140" s="302">
        <v>6814</v>
      </c>
      <c r="C1140" s="259" t="s">
        <v>712</v>
      </c>
      <c r="D1140" s="262">
        <v>400</v>
      </c>
      <c r="E1140" s="265" t="s">
        <v>665</v>
      </c>
      <c r="F1140" s="265">
        <v>2</v>
      </c>
      <c r="G1140" s="256" t="s">
        <v>72</v>
      </c>
      <c r="H1140" s="159" t="s">
        <v>73</v>
      </c>
      <c r="I1140" s="158">
        <f>I1141+I1142</f>
        <v>1125579.74</v>
      </c>
      <c r="J1140" s="158">
        <f>J1141+J1142</f>
        <v>2813.95</v>
      </c>
      <c r="K1140" s="158">
        <f>K1141+K1142</f>
        <v>7539</v>
      </c>
    </row>
    <row r="1141" spans="1:223" s="1" customFormat="1" x14ac:dyDescent="0.3">
      <c r="A1141" s="257">
        <v>1134</v>
      </c>
      <c r="B1141" s="303"/>
      <c r="C1141" s="260"/>
      <c r="D1141" s="263"/>
      <c r="E1141" s="266"/>
      <c r="F1141" s="266"/>
      <c r="G1141" s="257"/>
      <c r="H1141" s="159" t="s">
        <v>74</v>
      </c>
      <c r="I1141" s="158">
        <v>1101997</v>
      </c>
      <c r="J1141" s="158">
        <f>I1141/D1140</f>
        <v>2754.99</v>
      </c>
      <c r="K1141" s="158">
        <v>7381</v>
      </c>
    </row>
    <row r="1142" spans="1:223" s="1" customFormat="1" ht="18" customHeight="1" x14ac:dyDescent="0.3">
      <c r="A1142" s="258">
        <v>1135</v>
      </c>
      <c r="B1142" s="304"/>
      <c r="C1142" s="261"/>
      <c r="D1142" s="264"/>
      <c r="E1142" s="267"/>
      <c r="F1142" s="267"/>
      <c r="G1142" s="258"/>
      <c r="H1142" s="159" t="s">
        <v>76</v>
      </c>
      <c r="I1142" s="158">
        <v>23582.74</v>
      </c>
      <c r="J1142" s="158">
        <f>I1142/D1140</f>
        <v>58.96</v>
      </c>
      <c r="K1142" s="158">
        <v>158</v>
      </c>
    </row>
    <row r="1143" spans="1:223" s="92" customFormat="1" x14ac:dyDescent="0.35">
      <c r="A1143" s="153" t="s">
        <v>43</v>
      </c>
      <c r="B1143" s="147"/>
      <c r="C1143" s="73"/>
      <c r="D1143" s="142">
        <f>D1144+D1146</f>
        <v>1876.54</v>
      </c>
      <c r="E1143" s="142"/>
      <c r="F1143" s="142"/>
      <c r="G1143" s="125"/>
      <c r="H1143" s="162"/>
      <c r="I1143" s="158">
        <f>I1144+I1146</f>
        <v>4729249.04</v>
      </c>
      <c r="J1143" s="158"/>
      <c r="K1143" s="158"/>
      <c r="L1143" s="9"/>
      <c r="M1143" s="9"/>
      <c r="N1143" s="9"/>
      <c r="O1143" s="9"/>
      <c r="P1143" s="9"/>
      <c r="Q1143" s="9"/>
      <c r="R1143" s="9"/>
      <c r="S1143" s="9"/>
      <c r="T1143" s="9"/>
      <c r="U1143" s="9"/>
      <c r="V1143" s="9"/>
      <c r="W1143" s="9"/>
      <c r="X1143" s="7"/>
      <c r="Y1143" s="7"/>
      <c r="Z1143" s="7"/>
      <c r="AA1143" s="7"/>
      <c r="AB1143" s="7"/>
      <c r="AC1143" s="7"/>
      <c r="AD1143" s="7"/>
      <c r="AE1143" s="7"/>
      <c r="AF1143" s="7"/>
      <c r="AG1143" s="7"/>
      <c r="AH1143" s="7"/>
      <c r="AI1143" s="7"/>
      <c r="AJ1143" s="7"/>
      <c r="AK1143" s="7"/>
      <c r="AL1143" s="7"/>
      <c r="AM1143" s="7"/>
      <c r="AN1143" s="7"/>
      <c r="AO1143" s="7"/>
      <c r="AP1143" s="7"/>
      <c r="AQ1143" s="7"/>
      <c r="AR1143" s="7"/>
      <c r="AS1143" s="7"/>
      <c r="AT1143" s="7"/>
      <c r="AU1143" s="7"/>
      <c r="AV1143" s="7"/>
      <c r="AW1143" s="7"/>
      <c r="AX1143" s="7"/>
      <c r="AY1143" s="7"/>
      <c r="AZ1143" s="7"/>
      <c r="BA1143" s="7"/>
      <c r="BB1143" s="7"/>
      <c r="BC1143" s="7"/>
      <c r="BD1143" s="7"/>
      <c r="BE1143" s="7"/>
      <c r="BF1143" s="7"/>
      <c r="BG1143" s="7"/>
      <c r="BH1143" s="7"/>
      <c r="BI1143" s="7"/>
      <c r="BJ1143" s="7"/>
      <c r="BK1143" s="7"/>
      <c r="BL1143" s="7"/>
      <c r="BM1143" s="7"/>
      <c r="BN1143" s="7"/>
      <c r="BO1143" s="7"/>
      <c r="BP1143" s="7"/>
      <c r="BQ1143" s="7"/>
      <c r="BR1143" s="7"/>
      <c r="BS1143" s="7"/>
      <c r="BT1143" s="7"/>
      <c r="BU1143" s="7"/>
      <c r="BV1143" s="7"/>
      <c r="BW1143" s="7"/>
      <c r="BX1143" s="7"/>
      <c r="BY1143" s="7"/>
      <c r="BZ1143" s="7"/>
      <c r="CA1143" s="7"/>
      <c r="CB1143" s="7"/>
      <c r="CC1143" s="7"/>
      <c r="CD1143" s="7"/>
      <c r="CE1143" s="7"/>
      <c r="CF1143" s="7"/>
      <c r="CG1143" s="7"/>
      <c r="CH1143" s="7"/>
      <c r="CI1143" s="7"/>
      <c r="CJ1143" s="7"/>
      <c r="CK1143" s="7"/>
      <c r="CL1143" s="7"/>
      <c r="CM1143" s="7"/>
      <c r="CN1143" s="7"/>
      <c r="CO1143" s="7"/>
      <c r="CP1143" s="7"/>
      <c r="CQ1143" s="7"/>
      <c r="CR1143" s="7"/>
      <c r="CS1143" s="7"/>
      <c r="CT1143" s="7"/>
      <c r="CU1143" s="7"/>
      <c r="CV1143" s="7"/>
      <c r="CW1143" s="7"/>
      <c r="CX1143" s="7"/>
      <c r="CY1143" s="7"/>
      <c r="CZ1143" s="7"/>
      <c r="DA1143" s="7"/>
      <c r="DB1143" s="7"/>
      <c r="DC1143" s="7"/>
      <c r="DD1143" s="7"/>
      <c r="DE1143" s="7"/>
      <c r="DF1143" s="7"/>
      <c r="DG1143" s="7"/>
      <c r="DH1143" s="7"/>
      <c r="DI1143" s="7"/>
      <c r="DJ1143" s="7"/>
      <c r="DK1143" s="7"/>
      <c r="DL1143" s="7"/>
      <c r="DM1143" s="7"/>
      <c r="DN1143" s="7"/>
      <c r="DO1143" s="7"/>
      <c r="DP1143" s="7"/>
      <c r="DQ1143" s="7"/>
      <c r="DR1143" s="7"/>
      <c r="DS1143" s="7"/>
      <c r="DT1143" s="7"/>
      <c r="DU1143" s="7"/>
      <c r="DV1143" s="7"/>
      <c r="DW1143" s="7"/>
      <c r="DX1143" s="7"/>
      <c r="DY1143" s="7"/>
      <c r="DZ1143" s="7"/>
      <c r="EA1143" s="7"/>
      <c r="EB1143" s="7"/>
      <c r="EC1143" s="7"/>
      <c r="ED1143" s="7"/>
      <c r="EE1143" s="7"/>
      <c r="EF1143" s="7"/>
      <c r="EG1143" s="7"/>
      <c r="EH1143" s="7"/>
      <c r="EI1143" s="7"/>
      <c r="EJ1143" s="7"/>
      <c r="EK1143" s="7"/>
      <c r="EL1143" s="7"/>
      <c r="EM1143" s="7"/>
      <c r="EN1143" s="7"/>
      <c r="EO1143" s="7"/>
      <c r="EP1143" s="7"/>
      <c r="EQ1143" s="7"/>
      <c r="ER1143" s="7"/>
      <c r="ES1143" s="7"/>
      <c r="ET1143" s="7"/>
      <c r="EU1143" s="7"/>
      <c r="EV1143" s="7"/>
      <c r="EW1143" s="7"/>
      <c r="EX1143" s="7"/>
      <c r="EY1143" s="7"/>
      <c r="EZ1143" s="7"/>
      <c r="FA1143" s="7"/>
      <c r="FB1143" s="7"/>
      <c r="FC1143" s="7"/>
      <c r="FD1143" s="7"/>
      <c r="FE1143" s="7"/>
      <c r="FF1143" s="7"/>
      <c r="FG1143" s="7"/>
      <c r="FH1143" s="7"/>
      <c r="FI1143" s="7"/>
      <c r="FJ1143" s="7"/>
      <c r="FK1143" s="7"/>
      <c r="FL1143" s="7"/>
      <c r="FM1143" s="7"/>
      <c r="FN1143" s="7"/>
      <c r="FO1143" s="7"/>
      <c r="FP1143" s="7"/>
      <c r="FQ1143" s="7"/>
      <c r="FR1143" s="7"/>
      <c r="FS1143" s="7"/>
      <c r="FT1143" s="7"/>
      <c r="FU1143" s="7"/>
      <c r="FV1143" s="7"/>
      <c r="FW1143" s="7"/>
      <c r="FX1143" s="7"/>
      <c r="FY1143" s="7"/>
      <c r="FZ1143" s="7"/>
      <c r="GA1143" s="7"/>
      <c r="GB1143" s="7"/>
      <c r="GC1143" s="7"/>
      <c r="GD1143" s="7"/>
      <c r="GE1143" s="7"/>
      <c r="GF1143" s="7"/>
      <c r="GG1143" s="7"/>
      <c r="GH1143" s="7"/>
      <c r="GI1143" s="7"/>
      <c r="GJ1143" s="7"/>
      <c r="GK1143" s="7"/>
      <c r="GL1143" s="7"/>
      <c r="GM1143" s="7"/>
      <c r="GN1143" s="7"/>
      <c r="GO1143" s="7"/>
      <c r="GP1143" s="7"/>
      <c r="GQ1143" s="7"/>
      <c r="GR1143" s="7"/>
      <c r="GS1143" s="7"/>
      <c r="GT1143" s="7"/>
      <c r="GU1143" s="7"/>
      <c r="GV1143" s="7"/>
      <c r="GW1143" s="7"/>
      <c r="GX1143" s="7"/>
      <c r="GY1143" s="7"/>
      <c r="GZ1143" s="7"/>
      <c r="HA1143" s="7"/>
      <c r="HB1143" s="7"/>
      <c r="HC1143" s="7"/>
      <c r="HD1143" s="7"/>
      <c r="HE1143" s="7"/>
      <c r="HF1143" s="7"/>
      <c r="HG1143" s="7"/>
      <c r="HH1143" s="7"/>
      <c r="HI1143" s="7"/>
      <c r="HJ1143" s="7"/>
      <c r="HK1143" s="7"/>
      <c r="HL1143" s="7"/>
      <c r="HM1143" s="7"/>
      <c r="HN1143" s="7"/>
      <c r="HO1143" s="7"/>
    </row>
    <row r="1144" spans="1:223" s="1" customFormat="1" ht="15.75" customHeight="1" x14ac:dyDescent="0.3">
      <c r="A1144" s="256">
        <v>1</v>
      </c>
      <c r="B1144" s="256">
        <v>4967</v>
      </c>
      <c r="C1144" s="259" t="s">
        <v>465</v>
      </c>
      <c r="D1144" s="262">
        <v>351.8</v>
      </c>
      <c r="E1144" s="265" t="s">
        <v>75</v>
      </c>
      <c r="F1144" s="265">
        <v>2</v>
      </c>
      <c r="G1144" s="256" t="s">
        <v>72</v>
      </c>
      <c r="H1144" s="159" t="s">
        <v>73</v>
      </c>
      <c r="I1144" s="158">
        <f>I1145</f>
        <v>58356.6</v>
      </c>
      <c r="J1144" s="158">
        <f>J1145</f>
        <v>165.88</v>
      </c>
      <c r="K1144" s="158">
        <f>K1145</f>
        <v>167</v>
      </c>
    </row>
    <row r="1145" spans="1:223" s="1" customFormat="1" ht="46.5" x14ac:dyDescent="0.3">
      <c r="A1145" s="257">
        <v>1142</v>
      </c>
      <c r="B1145" s="257"/>
      <c r="C1145" s="260"/>
      <c r="D1145" s="263"/>
      <c r="E1145" s="266"/>
      <c r="F1145" s="266"/>
      <c r="G1145" s="257"/>
      <c r="H1145" s="159" t="s">
        <v>705</v>
      </c>
      <c r="I1145" s="158">
        <f>53783.2+D1144*13</f>
        <v>58356.6</v>
      </c>
      <c r="J1145" s="158">
        <f>I1145/D1144</f>
        <v>165.88</v>
      </c>
      <c r="K1145" s="158">
        <f>154+13</f>
        <v>167</v>
      </c>
    </row>
    <row r="1146" spans="1:223" s="1" customFormat="1" ht="15.75" customHeight="1" x14ac:dyDescent="0.3">
      <c r="A1146" s="256">
        <f>A1144+1</f>
        <v>2</v>
      </c>
      <c r="B1146" s="256">
        <v>4968</v>
      </c>
      <c r="C1146" s="259" t="s">
        <v>466</v>
      </c>
      <c r="D1146" s="262">
        <v>1524.74</v>
      </c>
      <c r="E1146" s="265" t="s">
        <v>75</v>
      </c>
      <c r="F1146" s="265">
        <v>3</v>
      </c>
      <c r="G1146" s="256" t="s">
        <v>72</v>
      </c>
      <c r="H1146" s="159" t="s">
        <v>73</v>
      </c>
      <c r="I1146" s="158">
        <f>I1147+I1148</f>
        <v>4670892.4400000004</v>
      </c>
      <c r="J1146" s="158">
        <f>J1147+J1148</f>
        <v>3063.4</v>
      </c>
      <c r="K1146" s="158">
        <f>K1147+K1148</f>
        <v>5354</v>
      </c>
    </row>
    <row r="1147" spans="1:223" s="1" customFormat="1" x14ac:dyDescent="0.3">
      <c r="A1147" s="257">
        <v>1142</v>
      </c>
      <c r="B1147" s="257"/>
      <c r="C1147" s="260"/>
      <c r="D1147" s="263"/>
      <c r="E1147" s="266"/>
      <c r="F1147" s="266"/>
      <c r="G1147" s="257"/>
      <c r="H1147" s="159" t="s">
        <v>74</v>
      </c>
      <c r="I1147" s="158">
        <v>4614930.09</v>
      </c>
      <c r="J1147" s="158">
        <f>I1147/D1146</f>
        <v>3026.7</v>
      </c>
      <c r="K1147" s="158">
        <v>5242</v>
      </c>
    </row>
    <row r="1148" spans="1:223" s="1" customFormat="1" x14ac:dyDescent="0.3">
      <c r="A1148" s="258">
        <v>1143</v>
      </c>
      <c r="B1148" s="258"/>
      <c r="C1148" s="261"/>
      <c r="D1148" s="264"/>
      <c r="E1148" s="267"/>
      <c r="F1148" s="267"/>
      <c r="G1148" s="258"/>
      <c r="H1148" s="159" t="s">
        <v>76</v>
      </c>
      <c r="I1148" s="158">
        <v>55962.35</v>
      </c>
      <c r="J1148" s="158">
        <f>I1148/D1146</f>
        <v>36.700000000000003</v>
      </c>
      <c r="K1148" s="158">
        <v>112</v>
      </c>
    </row>
    <row r="1149" spans="1:223" s="92" customFormat="1" x14ac:dyDescent="0.35">
      <c r="A1149" s="155" t="s">
        <v>44</v>
      </c>
      <c r="B1149" s="213"/>
      <c r="C1149" s="156"/>
      <c r="D1149" s="125">
        <f>D1150+D1153</f>
        <v>1912.15</v>
      </c>
      <c r="E1149" s="133"/>
      <c r="F1149" s="133"/>
      <c r="G1149" s="125"/>
      <c r="H1149" s="162"/>
      <c r="I1149" s="158">
        <f>I1150+I1153</f>
        <v>2206538</v>
      </c>
      <c r="J1149" s="158"/>
      <c r="K1149" s="158"/>
      <c r="L1149" s="9"/>
      <c r="M1149" s="9"/>
      <c r="N1149" s="9"/>
      <c r="O1149" s="9"/>
      <c r="P1149" s="9"/>
      <c r="Q1149" s="9"/>
      <c r="R1149" s="9"/>
      <c r="S1149" s="9"/>
      <c r="T1149" s="9"/>
      <c r="U1149" s="9"/>
      <c r="V1149" s="9"/>
      <c r="W1149" s="9"/>
      <c r="X1149" s="7"/>
      <c r="Y1149" s="7"/>
      <c r="Z1149" s="7"/>
      <c r="AA1149" s="7"/>
      <c r="AB1149" s="7"/>
      <c r="AC1149" s="7"/>
      <c r="AD1149" s="7"/>
      <c r="AE1149" s="7"/>
      <c r="AF1149" s="7"/>
      <c r="AG1149" s="7"/>
      <c r="AH1149" s="7"/>
      <c r="AI1149" s="7"/>
      <c r="AJ1149" s="7"/>
      <c r="AK1149" s="7"/>
      <c r="AL1149" s="7"/>
      <c r="AM1149" s="7"/>
      <c r="AN1149" s="7"/>
      <c r="AO1149" s="7"/>
      <c r="AP1149" s="7"/>
      <c r="AQ1149" s="7"/>
      <c r="AR1149" s="7"/>
      <c r="AS1149" s="7"/>
      <c r="AT1149" s="7"/>
      <c r="AU1149" s="7"/>
      <c r="AV1149" s="7"/>
      <c r="AW1149" s="7"/>
      <c r="AX1149" s="7"/>
      <c r="AY1149" s="7"/>
      <c r="AZ1149" s="7"/>
      <c r="BA1149" s="7"/>
      <c r="BB1149" s="7"/>
      <c r="BC1149" s="7"/>
      <c r="BD1149" s="7"/>
      <c r="BE1149" s="7"/>
      <c r="BF1149" s="7"/>
      <c r="BG1149" s="7"/>
      <c r="BH1149" s="7"/>
      <c r="BI1149" s="7"/>
      <c r="BJ1149" s="7"/>
      <c r="BK1149" s="7"/>
      <c r="BL1149" s="7"/>
      <c r="BM1149" s="7"/>
      <c r="BN1149" s="7"/>
      <c r="BO1149" s="7"/>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CO1149" s="7"/>
      <c r="CP1149" s="7"/>
      <c r="CQ1149" s="7"/>
      <c r="CR1149" s="7"/>
      <c r="CS1149" s="7"/>
      <c r="CT1149" s="7"/>
      <c r="CU1149" s="7"/>
      <c r="CV1149" s="7"/>
      <c r="CW1149" s="7"/>
      <c r="CX1149" s="7"/>
      <c r="CY1149" s="7"/>
      <c r="CZ1149" s="7"/>
      <c r="DA1149" s="7"/>
      <c r="DB1149" s="7"/>
      <c r="DC1149" s="7"/>
      <c r="DD1149" s="7"/>
      <c r="DE1149" s="7"/>
      <c r="DF1149" s="7"/>
      <c r="DG1149" s="7"/>
      <c r="DH1149" s="7"/>
      <c r="DI1149" s="7"/>
      <c r="DJ1149" s="7"/>
      <c r="DK1149" s="7"/>
      <c r="DL1149" s="7"/>
      <c r="DM1149" s="7"/>
      <c r="DN1149" s="7"/>
      <c r="DO1149" s="7"/>
      <c r="DP1149" s="7"/>
      <c r="DQ1149" s="7"/>
      <c r="DR1149" s="7"/>
      <c r="DS1149" s="7"/>
      <c r="DT1149" s="7"/>
      <c r="DU1149" s="7"/>
      <c r="DV1149" s="7"/>
      <c r="DW1149" s="7"/>
      <c r="DX1149" s="7"/>
      <c r="DY1149" s="7"/>
      <c r="DZ1149" s="7"/>
      <c r="EA1149" s="7"/>
      <c r="EB1149" s="7"/>
      <c r="EC1149" s="7"/>
      <c r="ED1149" s="7"/>
      <c r="EE1149" s="7"/>
      <c r="EF1149" s="7"/>
      <c r="EG1149" s="7"/>
      <c r="EH1149" s="7"/>
      <c r="EI1149" s="7"/>
      <c r="EJ1149" s="7"/>
      <c r="EK1149" s="7"/>
      <c r="EL1149" s="7"/>
      <c r="EM1149" s="7"/>
      <c r="EN1149" s="7"/>
      <c r="EO1149" s="7"/>
      <c r="EP1149" s="7"/>
      <c r="EQ1149" s="7"/>
      <c r="ER1149" s="7"/>
      <c r="ES1149" s="7"/>
      <c r="ET1149" s="7"/>
      <c r="EU1149" s="7"/>
      <c r="EV1149" s="7"/>
      <c r="EW1149" s="7"/>
      <c r="EX1149" s="7"/>
      <c r="EY1149" s="7"/>
      <c r="EZ1149" s="7"/>
      <c r="FA1149" s="7"/>
      <c r="FB1149" s="7"/>
      <c r="FC1149" s="7"/>
      <c r="FD1149" s="7"/>
      <c r="FE1149" s="7"/>
      <c r="FF1149" s="7"/>
      <c r="FG1149" s="7"/>
      <c r="FH1149" s="7"/>
      <c r="FI1149" s="7"/>
      <c r="FJ1149" s="7"/>
      <c r="FK1149" s="7"/>
      <c r="FL1149" s="7"/>
      <c r="FM1149" s="7"/>
      <c r="FN1149" s="7"/>
      <c r="FO1149" s="7"/>
      <c r="FP1149" s="7"/>
      <c r="FQ1149" s="7"/>
      <c r="FR1149" s="7"/>
      <c r="FS1149" s="7"/>
      <c r="FT1149" s="7"/>
      <c r="FU1149" s="7"/>
      <c r="FV1149" s="7"/>
      <c r="FW1149" s="7"/>
      <c r="FX1149" s="7"/>
      <c r="FY1149" s="7"/>
      <c r="FZ1149" s="7"/>
      <c r="GA1149" s="7"/>
      <c r="GB1149" s="7"/>
      <c r="GC1149" s="7"/>
      <c r="GD1149" s="7"/>
      <c r="GE1149" s="7"/>
      <c r="GF1149" s="7"/>
      <c r="GG1149" s="7"/>
      <c r="GH1149" s="7"/>
      <c r="GI1149" s="7"/>
      <c r="GJ1149" s="7"/>
      <c r="GK1149" s="7"/>
      <c r="GL1149" s="7"/>
      <c r="GM1149" s="7"/>
      <c r="GN1149" s="7"/>
      <c r="GO1149" s="7"/>
      <c r="GP1149" s="7"/>
      <c r="GQ1149" s="7"/>
      <c r="GR1149" s="7"/>
      <c r="GS1149" s="7"/>
      <c r="GT1149" s="7"/>
      <c r="GU1149" s="7"/>
      <c r="GV1149" s="7"/>
      <c r="GW1149" s="7"/>
      <c r="GX1149" s="7"/>
      <c r="GY1149" s="7"/>
      <c r="GZ1149" s="7"/>
      <c r="HA1149" s="7"/>
      <c r="HB1149" s="7"/>
      <c r="HC1149" s="7"/>
      <c r="HD1149" s="7"/>
      <c r="HE1149" s="7"/>
      <c r="HF1149" s="7"/>
      <c r="HG1149" s="7"/>
      <c r="HH1149" s="7"/>
      <c r="HI1149" s="7"/>
      <c r="HJ1149" s="7"/>
      <c r="HK1149" s="7"/>
      <c r="HL1149" s="7"/>
      <c r="HM1149" s="7"/>
      <c r="HN1149" s="7"/>
      <c r="HO1149" s="7"/>
    </row>
    <row r="1150" spans="1:223" s="1" customFormat="1" ht="15.75" customHeight="1" x14ac:dyDescent="0.3">
      <c r="A1150" s="251">
        <v>1</v>
      </c>
      <c r="B1150" s="256">
        <v>7435</v>
      </c>
      <c r="C1150" s="252" t="s">
        <v>713</v>
      </c>
      <c r="D1150" s="253">
        <v>370.6</v>
      </c>
      <c r="E1150" s="255" t="s">
        <v>665</v>
      </c>
      <c r="F1150" s="255">
        <v>2</v>
      </c>
      <c r="G1150" s="251" t="s">
        <v>72</v>
      </c>
      <c r="H1150" s="159" t="s">
        <v>73</v>
      </c>
      <c r="I1150" s="158">
        <f>I1151+I1152</f>
        <v>2072417.11</v>
      </c>
      <c r="J1150" s="158">
        <f>J1151+J1152</f>
        <v>5592.06</v>
      </c>
      <c r="K1150" s="158">
        <f>K1151+K1152</f>
        <v>7066</v>
      </c>
    </row>
    <row r="1151" spans="1:223" s="1" customFormat="1" x14ac:dyDescent="0.3">
      <c r="A1151" s="251">
        <v>1146</v>
      </c>
      <c r="B1151" s="257"/>
      <c r="C1151" s="252"/>
      <c r="D1151" s="253"/>
      <c r="E1151" s="255"/>
      <c r="F1151" s="255"/>
      <c r="G1151" s="251"/>
      <c r="H1151" s="159" t="s">
        <v>74</v>
      </c>
      <c r="I1151" s="158">
        <v>2044928.75</v>
      </c>
      <c r="J1151" s="158">
        <f>I1151/D1150</f>
        <v>5517.89</v>
      </c>
      <c r="K1151" s="158">
        <v>6918</v>
      </c>
    </row>
    <row r="1152" spans="1:223" s="1" customFormat="1" ht="19.5" customHeight="1" x14ac:dyDescent="0.3">
      <c r="A1152" s="251">
        <v>1147</v>
      </c>
      <c r="B1152" s="258"/>
      <c r="C1152" s="252"/>
      <c r="D1152" s="253"/>
      <c r="E1152" s="255"/>
      <c r="F1152" s="255"/>
      <c r="G1152" s="251"/>
      <c r="H1152" s="159" t="s">
        <v>76</v>
      </c>
      <c r="I1152" s="158">
        <v>27488.36</v>
      </c>
      <c r="J1152" s="158">
        <f>I1152/D1150</f>
        <v>74.17</v>
      </c>
      <c r="K1152" s="158">
        <v>148</v>
      </c>
    </row>
    <row r="1153" spans="1:223" s="1" customFormat="1" ht="15.75" customHeight="1" x14ac:dyDescent="0.3">
      <c r="A1153" s="251">
        <v>2</v>
      </c>
      <c r="B1153" s="256">
        <v>7383</v>
      </c>
      <c r="C1153" s="252" t="s">
        <v>468</v>
      </c>
      <c r="D1153" s="253">
        <v>1541.55</v>
      </c>
      <c r="E1153" s="255" t="s">
        <v>75</v>
      </c>
      <c r="F1153" s="255">
        <v>3</v>
      </c>
      <c r="G1153" s="251" t="s">
        <v>72</v>
      </c>
      <c r="H1153" s="159" t="s">
        <v>73</v>
      </c>
      <c r="I1153" s="158">
        <f>I1154</f>
        <v>134120.89000000001</v>
      </c>
      <c r="J1153" s="158">
        <f>J1154</f>
        <v>87</v>
      </c>
      <c r="K1153" s="158">
        <f>K1154</f>
        <v>164</v>
      </c>
    </row>
    <row r="1154" spans="1:223" s="1" customFormat="1" ht="46.5" x14ac:dyDescent="0.3">
      <c r="A1154" s="251">
        <v>1144</v>
      </c>
      <c r="B1154" s="258"/>
      <c r="C1154" s="252"/>
      <c r="D1154" s="253"/>
      <c r="E1154" s="255"/>
      <c r="F1154" s="255"/>
      <c r="G1154" s="251"/>
      <c r="H1154" s="159" t="s">
        <v>705</v>
      </c>
      <c r="I1154" s="158">
        <f>114080.74+D1153*13</f>
        <v>134120.89000000001</v>
      </c>
      <c r="J1154" s="158">
        <f>I1154/D1153</f>
        <v>87</v>
      </c>
      <c r="K1154" s="158">
        <f>151+13</f>
        <v>164</v>
      </c>
    </row>
    <row r="1155" spans="1:223" s="92" customFormat="1" x14ac:dyDescent="0.35">
      <c r="A1155" s="153" t="s">
        <v>48</v>
      </c>
      <c r="B1155" s="72"/>
      <c r="C1155" s="73"/>
      <c r="D1155" s="142">
        <f>D1156+D1159+D1162+D1165+D1168+D1171+D1174+D1177+D1180+D1185</f>
        <v>22282.240000000002</v>
      </c>
      <c r="E1155" s="142"/>
      <c r="F1155" s="51"/>
      <c r="G1155" s="125"/>
      <c r="H1155" s="162"/>
      <c r="I1155" s="158">
        <f>I1156+I1159+I1162+I1165+I1168+I1171+I1174+I1177+I1180+I1185</f>
        <v>31131819.309999999</v>
      </c>
      <c r="J1155" s="158"/>
      <c r="K1155" s="158"/>
      <c r="L1155" s="9"/>
      <c r="M1155" s="9"/>
      <c r="N1155" s="9"/>
      <c r="O1155" s="9"/>
      <c r="P1155" s="9"/>
      <c r="Q1155" s="9"/>
      <c r="R1155" s="9"/>
      <c r="S1155" s="9"/>
      <c r="T1155" s="9"/>
      <c r="U1155" s="9"/>
      <c r="V1155" s="9"/>
      <c r="W1155" s="9"/>
      <c r="X1155" s="7"/>
      <c r="Y1155" s="7"/>
      <c r="Z1155" s="7"/>
      <c r="AA1155" s="7"/>
      <c r="AB1155" s="7"/>
      <c r="AC1155" s="7"/>
      <c r="AD1155" s="7"/>
      <c r="AE1155" s="7"/>
      <c r="AF1155" s="7"/>
      <c r="AG1155" s="7"/>
      <c r="AH1155" s="7"/>
      <c r="AI1155" s="7"/>
      <c r="AJ1155" s="7"/>
      <c r="AK1155" s="7"/>
      <c r="AL1155" s="7"/>
      <c r="AM1155" s="7"/>
      <c r="AN1155" s="7"/>
      <c r="AO1155" s="7"/>
      <c r="AP1155" s="7"/>
      <c r="AQ1155" s="7"/>
      <c r="AR1155" s="7"/>
      <c r="AS1155" s="7"/>
      <c r="AT1155" s="7"/>
      <c r="AU1155" s="7"/>
      <c r="AV1155" s="7"/>
      <c r="AW1155" s="7"/>
      <c r="AX1155" s="7"/>
      <c r="AY1155" s="7"/>
      <c r="AZ1155" s="7"/>
      <c r="BA1155" s="7"/>
      <c r="BB1155" s="7"/>
      <c r="BC1155" s="7"/>
      <c r="BD1155" s="7"/>
      <c r="BE1155" s="7"/>
      <c r="BF1155" s="7"/>
      <c r="BG1155" s="7"/>
      <c r="BH1155" s="7"/>
      <c r="BI1155" s="7"/>
      <c r="BJ1155" s="7"/>
      <c r="BK1155" s="7"/>
      <c r="BL1155" s="7"/>
      <c r="BM1155" s="7"/>
      <c r="BN1155" s="7"/>
      <c r="BO1155" s="7"/>
      <c r="BP1155" s="7"/>
      <c r="BQ1155" s="7"/>
      <c r="BR1155" s="7"/>
      <c r="BS1155" s="7"/>
      <c r="BT1155" s="7"/>
      <c r="BU1155" s="7"/>
      <c r="BV1155" s="7"/>
      <c r="BW1155" s="7"/>
      <c r="BX1155" s="7"/>
      <c r="BY1155" s="7"/>
      <c r="BZ1155" s="7"/>
      <c r="CA1155" s="7"/>
      <c r="CB1155" s="7"/>
      <c r="CC1155" s="7"/>
      <c r="CD1155" s="7"/>
      <c r="CE1155" s="7"/>
      <c r="CF1155" s="7"/>
      <c r="CG1155" s="7"/>
      <c r="CH1155" s="7"/>
      <c r="CI1155" s="7"/>
      <c r="CJ1155" s="7"/>
      <c r="CK1155" s="7"/>
      <c r="CL1155" s="7"/>
      <c r="CM1155" s="7"/>
      <c r="CN1155" s="7"/>
      <c r="CO1155" s="7"/>
      <c r="CP1155" s="7"/>
      <c r="CQ1155" s="7"/>
      <c r="CR1155" s="7"/>
      <c r="CS1155" s="7"/>
      <c r="CT1155" s="7"/>
      <c r="CU1155" s="7"/>
      <c r="CV1155" s="7"/>
      <c r="CW1155" s="7"/>
      <c r="CX1155" s="7"/>
      <c r="CY1155" s="7"/>
      <c r="CZ1155" s="7"/>
      <c r="DA1155" s="7"/>
      <c r="DB1155" s="7"/>
      <c r="DC1155" s="7"/>
      <c r="DD1155" s="7"/>
      <c r="DE1155" s="7"/>
      <c r="DF1155" s="7"/>
      <c r="DG1155" s="7"/>
      <c r="DH1155" s="7"/>
      <c r="DI1155" s="7"/>
      <c r="DJ1155" s="7"/>
      <c r="DK1155" s="7"/>
      <c r="DL1155" s="7"/>
      <c r="DM1155" s="7"/>
      <c r="DN1155" s="7"/>
      <c r="DO1155" s="7"/>
      <c r="DP1155" s="7"/>
      <c r="DQ1155" s="7"/>
      <c r="DR1155" s="7"/>
      <c r="DS1155" s="7"/>
      <c r="DT1155" s="7"/>
      <c r="DU1155" s="7"/>
      <c r="DV1155" s="7"/>
      <c r="DW1155" s="7"/>
      <c r="DX1155" s="7"/>
      <c r="DY1155" s="7"/>
      <c r="DZ1155" s="7"/>
      <c r="EA1155" s="7"/>
      <c r="EB1155" s="7"/>
      <c r="EC1155" s="7"/>
      <c r="ED1155" s="7"/>
      <c r="EE1155" s="7"/>
      <c r="EF1155" s="7"/>
      <c r="EG1155" s="7"/>
      <c r="EH1155" s="7"/>
      <c r="EI1155" s="7"/>
      <c r="EJ1155" s="7"/>
      <c r="EK1155" s="7"/>
      <c r="EL1155" s="7"/>
      <c r="EM1155" s="7"/>
      <c r="EN1155" s="7"/>
      <c r="EO1155" s="7"/>
      <c r="EP1155" s="7"/>
      <c r="EQ1155" s="7"/>
      <c r="ER1155" s="7"/>
      <c r="ES1155" s="7"/>
      <c r="ET1155" s="7"/>
      <c r="EU1155" s="7"/>
      <c r="EV1155" s="7"/>
      <c r="EW1155" s="7"/>
      <c r="EX1155" s="7"/>
      <c r="EY1155" s="7"/>
      <c r="EZ1155" s="7"/>
      <c r="FA1155" s="7"/>
      <c r="FB1155" s="7"/>
      <c r="FC1155" s="7"/>
      <c r="FD1155" s="7"/>
      <c r="FE1155" s="7"/>
      <c r="FF1155" s="7"/>
      <c r="FG1155" s="7"/>
      <c r="FH1155" s="7"/>
      <c r="FI1155" s="7"/>
      <c r="FJ1155" s="7"/>
      <c r="FK1155" s="7"/>
      <c r="FL1155" s="7"/>
      <c r="FM1155" s="7"/>
      <c r="FN1155" s="7"/>
      <c r="FO1155" s="7"/>
      <c r="FP1155" s="7"/>
      <c r="FQ1155" s="7"/>
      <c r="FR1155" s="7"/>
      <c r="FS1155" s="7"/>
      <c r="FT1155" s="7"/>
      <c r="FU1155" s="7"/>
      <c r="FV1155" s="7"/>
      <c r="FW1155" s="7"/>
      <c r="FX1155" s="7"/>
      <c r="FY1155" s="7"/>
      <c r="FZ1155" s="7"/>
      <c r="GA1155" s="7"/>
      <c r="GB1155" s="7"/>
      <c r="GC1155" s="7"/>
      <c r="GD1155" s="7"/>
      <c r="GE1155" s="7"/>
      <c r="GF1155" s="7"/>
      <c r="GG1155" s="7"/>
      <c r="GH1155" s="7"/>
      <c r="GI1155" s="7"/>
      <c r="GJ1155" s="7"/>
      <c r="GK1155" s="7"/>
      <c r="GL1155" s="7"/>
      <c r="GM1155" s="7"/>
      <c r="GN1155" s="7"/>
      <c r="GO1155" s="7"/>
      <c r="GP1155" s="7"/>
      <c r="GQ1155" s="7"/>
      <c r="GR1155" s="7"/>
      <c r="GS1155" s="7"/>
      <c r="GT1155" s="7"/>
      <c r="GU1155" s="7"/>
      <c r="GV1155" s="7"/>
      <c r="GW1155" s="7"/>
      <c r="GX1155" s="7"/>
      <c r="GY1155" s="7"/>
      <c r="GZ1155" s="7"/>
      <c r="HA1155" s="7"/>
      <c r="HB1155" s="7"/>
      <c r="HC1155" s="7"/>
      <c r="HD1155" s="7"/>
      <c r="HE1155" s="7"/>
      <c r="HF1155" s="7"/>
      <c r="HG1155" s="7"/>
      <c r="HH1155" s="7"/>
      <c r="HI1155" s="7"/>
      <c r="HJ1155" s="7"/>
      <c r="HK1155" s="7"/>
      <c r="HL1155" s="7"/>
      <c r="HM1155" s="7"/>
      <c r="HN1155" s="7"/>
      <c r="HO1155" s="7"/>
    </row>
    <row r="1156" spans="1:223" s="1" customFormat="1" ht="15.75" customHeight="1" x14ac:dyDescent="0.3">
      <c r="A1156" s="305">
        <v>1</v>
      </c>
      <c r="B1156" s="305">
        <v>6977</v>
      </c>
      <c r="C1156" s="288" t="s">
        <v>469</v>
      </c>
      <c r="D1156" s="262">
        <v>966.8</v>
      </c>
      <c r="E1156" s="262" t="s">
        <v>75</v>
      </c>
      <c r="F1156" s="265">
        <v>3</v>
      </c>
      <c r="G1156" s="256" t="s">
        <v>72</v>
      </c>
      <c r="H1156" s="163" t="s">
        <v>73</v>
      </c>
      <c r="I1156" s="219">
        <f>I1157+I1158</f>
        <v>2654687.9900000002</v>
      </c>
      <c r="J1156" s="219">
        <f>J1157+J1158</f>
        <v>2745.85</v>
      </c>
      <c r="K1156" s="158">
        <f>K1157+K1158</f>
        <v>4728</v>
      </c>
    </row>
    <row r="1157" spans="1:223" s="1" customFormat="1" ht="15.75" customHeight="1" x14ac:dyDescent="0.3">
      <c r="A1157" s="306"/>
      <c r="B1157" s="306"/>
      <c r="C1157" s="289"/>
      <c r="D1157" s="263"/>
      <c r="E1157" s="263"/>
      <c r="F1157" s="266"/>
      <c r="G1157" s="257"/>
      <c r="H1157" s="159" t="s">
        <v>74</v>
      </c>
      <c r="I1157" s="219">
        <v>2585201.86</v>
      </c>
      <c r="J1157" s="219">
        <f>I1157/D1156</f>
        <v>2673.98</v>
      </c>
      <c r="K1157" s="158">
        <v>4629</v>
      </c>
    </row>
    <row r="1158" spans="1:223" s="1" customFormat="1" x14ac:dyDescent="0.3">
      <c r="A1158" s="321"/>
      <c r="B1158" s="321"/>
      <c r="C1158" s="290"/>
      <c r="D1158" s="264"/>
      <c r="E1158" s="264"/>
      <c r="F1158" s="267"/>
      <c r="G1158" s="258"/>
      <c r="H1158" s="159" t="s">
        <v>76</v>
      </c>
      <c r="I1158" s="219">
        <v>69486.13</v>
      </c>
      <c r="J1158" s="219">
        <f>I1158/D1156</f>
        <v>71.87</v>
      </c>
      <c r="K1158" s="158">
        <v>99</v>
      </c>
    </row>
    <row r="1159" spans="1:223" s="1" customFormat="1" ht="15.75" customHeight="1" x14ac:dyDescent="0.3">
      <c r="A1159" s="305">
        <f>A1156+1</f>
        <v>2</v>
      </c>
      <c r="B1159" s="305">
        <v>6958</v>
      </c>
      <c r="C1159" s="288" t="s">
        <v>470</v>
      </c>
      <c r="D1159" s="262">
        <v>1377.29</v>
      </c>
      <c r="E1159" s="262" t="s">
        <v>75</v>
      </c>
      <c r="F1159" s="265">
        <v>3</v>
      </c>
      <c r="G1159" s="256" t="s">
        <v>72</v>
      </c>
      <c r="H1159" s="163" t="s">
        <v>73</v>
      </c>
      <c r="I1159" s="219">
        <f>I1160+I1161</f>
        <v>3825540.56</v>
      </c>
      <c r="J1159" s="219">
        <f>J1160+J1161</f>
        <v>2777.59</v>
      </c>
      <c r="K1159" s="158">
        <f>K1160+K1161</f>
        <v>4728</v>
      </c>
    </row>
    <row r="1160" spans="1:223" s="1" customFormat="1" x14ac:dyDescent="0.3">
      <c r="A1160" s="306"/>
      <c r="B1160" s="306"/>
      <c r="C1160" s="289"/>
      <c r="D1160" s="263"/>
      <c r="E1160" s="263"/>
      <c r="F1160" s="266"/>
      <c r="G1160" s="257"/>
      <c r="H1160" s="163" t="s">
        <v>74</v>
      </c>
      <c r="I1160" s="219">
        <v>3745389.23</v>
      </c>
      <c r="J1160" s="219">
        <f>I1160/D1159+0.01</f>
        <v>2719.4</v>
      </c>
      <c r="K1160" s="158">
        <v>4629</v>
      </c>
    </row>
    <row r="1161" spans="1:223" s="1" customFormat="1" x14ac:dyDescent="0.3">
      <c r="A1161" s="321"/>
      <c r="B1161" s="321"/>
      <c r="C1161" s="290"/>
      <c r="D1161" s="264"/>
      <c r="E1161" s="264"/>
      <c r="F1161" s="267"/>
      <c r="G1161" s="258"/>
      <c r="H1161" s="163" t="s">
        <v>76</v>
      </c>
      <c r="I1161" s="219">
        <v>80151.33</v>
      </c>
      <c r="J1161" s="219">
        <f>I1161/D1159</f>
        <v>58.19</v>
      </c>
      <c r="K1161" s="158">
        <v>99</v>
      </c>
    </row>
    <row r="1162" spans="1:223" s="1" customFormat="1" ht="15.75" customHeight="1" x14ac:dyDescent="0.3">
      <c r="A1162" s="305">
        <f>A1159+1</f>
        <v>3</v>
      </c>
      <c r="B1162" s="305">
        <v>7002</v>
      </c>
      <c r="C1162" s="288" t="s">
        <v>471</v>
      </c>
      <c r="D1162" s="262">
        <v>2657.4</v>
      </c>
      <c r="E1162" s="262" t="s">
        <v>71</v>
      </c>
      <c r="F1162" s="265">
        <v>5</v>
      </c>
      <c r="G1162" s="256" t="s">
        <v>72</v>
      </c>
      <c r="H1162" s="163" t="s">
        <v>73</v>
      </c>
      <c r="I1162" s="219">
        <f>SUM(I1163:I1164)</f>
        <v>2643222.7599999998</v>
      </c>
      <c r="J1162" s="219">
        <f>SUM(J1163:J1164)</f>
        <v>994.66</v>
      </c>
      <c r="K1162" s="158">
        <f>SUM(K1163:K1164)</f>
        <v>2936</v>
      </c>
    </row>
    <row r="1163" spans="1:223" s="1" customFormat="1" ht="46.5" x14ac:dyDescent="0.3">
      <c r="A1163" s="306"/>
      <c r="B1163" s="306"/>
      <c r="C1163" s="289"/>
      <c r="D1163" s="263"/>
      <c r="E1163" s="263"/>
      <c r="F1163" s="266"/>
      <c r="G1163" s="257"/>
      <c r="H1163" s="159" t="s">
        <v>705</v>
      </c>
      <c r="I1163" s="219">
        <f>398782.72+D1162*13</f>
        <v>433328.92</v>
      </c>
      <c r="J1163" s="219">
        <f>I1163/D1162</f>
        <v>163.06</v>
      </c>
      <c r="K1163" s="158">
        <f>151+13</f>
        <v>164</v>
      </c>
    </row>
    <row r="1164" spans="1:223" s="1" customFormat="1" x14ac:dyDescent="0.3">
      <c r="A1164" s="306"/>
      <c r="B1164" s="306"/>
      <c r="C1164" s="289"/>
      <c r="D1164" s="263"/>
      <c r="E1164" s="263"/>
      <c r="F1164" s="266"/>
      <c r="G1164" s="257"/>
      <c r="H1164" s="163" t="s">
        <v>74</v>
      </c>
      <c r="I1164" s="219">
        <f>D1162*K1164*30/100</f>
        <v>2209893.84</v>
      </c>
      <c r="J1164" s="219">
        <f>I1164/D1162</f>
        <v>831.6</v>
      </c>
      <c r="K1164" s="158">
        <v>2772</v>
      </c>
    </row>
    <row r="1165" spans="1:223" s="1" customFormat="1" ht="15.75" customHeight="1" x14ac:dyDescent="0.3">
      <c r="A1165" s="305">
        <f>A1162+1</f>
        <v>4</v>
      </c>
      <c r="B1165" s="305">
        <v>7003</v>
      </c>
      <c r="C1165" s="288" t="s">
        <v>472</v>
      </c>
      <c r="D1165" s="262">
        <v>2665.8</v>
      </c>
      <c r="E1165" s="262" t="s">
        <v>71</v>
      </c>
      <c r="F1165" s="265">
        <v>5</v>
      </c>
      <c r="G1165" s="256" t="s">
        <v>72</v>
      </c>
      <c r="H1165" s="163" t="s">
        <v>73</v>
      </c>
      <c r="I1165" s="219">
        <f>SUM(I1166:I1167)</f>
        <v>2652802.0699999998</v>
      </c>
      <c r="J1165" s="219">
        <f>SUM(J1166:J1167)</f>
        <v>995.12</v>
      </c>
      <c r="K1165" s="158">
        <f>SUM(K1166:K1167)</f>
        <v>2936</v>
      </c>
    </row>
    <row r="1166" spans="1:223" s="1" customFormat="1" ht="46.5" x14ac:dyDescent="0.3">
      <c r="A1166" s="306"/>
      <c r="B1166" s="306"/>
      <c r="C1166" s="289"/>
      <c r="D1166" s="263"/>
      <c r="E1166" s="263"/>
      <c r="F1166" s="266"/>
      <c r="G1166" s="257"/>
      <c r="H1166" s="159" t="s">
        <v>705</v>
      </c>
      <c r="I1166" s="219">
        <f>401267.39+D1165*13</f>
        <v>435922.79</v>
      </c>
      <c r="J1166" s="219">
        <f>I1166/D1165</f>
        <v>163.52000000000001</v>
      </c>
      <c r="K1166" s="158">
        <f>151+13</f>
        <v>164</v>
      </c>
    </row>
    <row r="1167" spans="1:223" s="1" customFormat="1" x14ac:dyDescent="0.3">
      <c r="A1167" s="321"/>
      <c r="B1167" s="321"/>
      <c r="C1167" s="289"/>
      <c r="D1167" s="263"/>
      <c r="E1167" s="263"/>
      <c r="F1167" s="266"/>
      <c r="G1167" s="257"/>
      <c r="H1167" s="163" t="s">
        <v>74</v>
      </c>
      <c r="I1167" s="219">
        <f>D1165*K1167*30/100</f>
        <v>2216879.2799999998</v>
      </c>
      <c r="J1167" s="219">
        <f>I1167/D1165</f>
        <v>831.6</v>
      </c>
      <c r="K1167" s="158">
        <v>2772</v>
      </c>
    </row>
    <row r="1168" spans="1:223" s="1" customFormat="1" ht="15.75" customHeight="1" x14ac:dyDescent="0.3">
      <c r="A1168" s="305">
        <f>A1165+1</f>
        <v>5</v>
      </c>
      <c r="B1168" s="305">
        <v>6933</v>
      </c>
      <c r="C1168" s="288" t="s">
        <v>473</v>
      </c>
      <c r="D1168" s="262">
        <v>3603</v>
      </c>
      <c r="E1168" s="262" t="s">
        <v>71</v>
      </c>
      <c r="F1168" s="265">
        <v>5</v>
      </c>
      <c r="G1168" s="256" t="s">
        <v>72</v>
      </c>
      <c r="H1168" s="159" t="s">
        <v>73</v>
      </c>
      <c r="I1168" s="158">
        <f>SUM(I1169:I1170)</f>
        <v>3577652.4</v>
      </c>
      <c r="J1168" s="158">
        <f>SUM(J1169:J1170)</f>
        <v>992.96</v>
      </c>
      <c r="K1168" s="158">
        <f>SUM(K1169:K1170)</f>
        <v>2936</v>
      </c>
    </row>
    <row r="1169" spans="1:11" s="1" customFormat="1" ht="46.5" x14ac:dyDescent="0.3">
      <c r="A1169" s="306"/>
      <c r="B1169" s="306"/>
      <c r="C1169" s="289"/>
      <c r="D1169" s="263"/>
      <c r="E1169" s="263"/>
      <c r="F1169" s="266"/>
      <c r="G1169" s="257"/>
      <c r="H1169" s="159" t="s">
        <v>705</v>
      </c>
      <c r="I1169" s="219">
        <f>539747.78+D1168*13</f>
        <v>586586.78</v>
      </c>
      <c r="J1169" s="219">
        <f>I1169/D1168</f>
        <v>162.81</v>
      </c>
      <c r="K1169" s="158">
        <f>151+13</f>
        <v>164</v>
      </c>
    </row>
    <row r="1170" spans="1:11" s="1" customFormat="1" x14ac:dyDescent="0.3">
      <c r="A1170" s="306"/>
      <c r="B1170" s="306"/>
      <c r="C1170" s="289"/>
      <c r="D1170" s="264"/>
      <c r="E1170" s="264"/>
      <c r="F1170" s="267"/>
      <c r="G1170" s="257"/>
      <c r="H1170" s="163" t="s">
        <v>74</v>
      </c>
      <c r="I1170" s="219">
        <v>2991065.62</v>
      </c>
      <c r="J1170" s="219">
        <f>I1170/D1168-0.01</f>
        <v>830.15</v>
      </c>
      <c r="K1170" s="158">
        <v>2772</v>
      </c>
    </row>
    <row r="1171" spans="1:11" s="1" customFormat="1" ht="15.75" customHeight="1" x14ac:dyDescent="0.3">
      <c r="A1171" s="305">
        <f>A1168+1</f>
        <v>6</v>
      </c>
      <c r="B1171" s="305">
        <v>6942</v>
      </c>
      <c r="C1171" s="288" t="s">
        <v>474</v>
      </c>
      <c r="D1171" s="262">
        <v>751.3</v>
      </c>
      <c r="E1171" s="262" t="s">
        <v>75</v>
      </c>
      <c r="F1171" s="265">
        <v>4</v>
      </c>
      <c r="G1171" s="256" t="s">
        <v>72</v>
      </c>
      <c r="H1171" s="159" t="s">
        <v>73</v>
      </c>
      <c r="I1171" s="158">
        <f>SUM(I1172:I1173)</f>
        <v>1165824.2</v>
      </c>
      <c r="J1171" s="158">
        <f>SUM(J1172:J1173)</f>
        <v>1551.74</v>
      </c>
      <c r="K1171" s="158">
        <f>SUM(K1172:K1173)</f>
        <v>4793</v>
      </c>
    </row>
    <row r="1172" spans="1:11" s="1" customFormat="1" ht="46.5" x14ac:dyDescent="0.3">
      <c r="A1172" s="306"/>
      <c r="B1172" s="306"/>
      <c r="C1172" s="289"/>
      <c r="D1172" s="263"/>
      <c r="E1172" s="263"/>
      <c r="F1172" s="266"/>
      <c r="G1172" s="257"/>
      <c r="H1172" s="159" t="s">
        <v>705</v>
      </c>
      <c r="I1172" s="219">
        <f>112726.99+D1171*13</f>
        <v>122493.89</v>
      </c>
      <c r="J1172" s="219">
        <f>I1172/D1171</f>
        <v>163.04</v>
      </c>
      <c r="K1172" s="158">
        <f>151+13</f>
        <v>164</v>
      </c>
    </row>
    <row r="1173" spans="1:11" s="1" customFormat="1" x14ac:dyDescent="0.3">
      <c r="A1173" s="306"/>
      <c r="B1173" s="306"/>
      <c r="C1173" s="289"/>
      <c r="D1173" s="263"/>
      <c r="E1173" s="263"/>
      <c r="F1173" s="266"/>
      <c r="G1173" s="257"/>
      <c r="H1173" s="163" t="s">
        <v>74</v>
      </c>
      <c r="I1173" s="219">
        <f>D1171*K1173*30/100</f>
        <v>1043330.31</v>
      </c>
      <c r="J1173" s="219">
        <f>I1173/D1171</f>
        <v>1388.7</v>
      </c>
      <c r="K1173" s="158">
        <v>4629</v>
      </c>
    </row>
    <row r="1174" spans="1:11" s="1" customFormat="1" ht="15.75" customHeight="1" x14ac:dyDescent="0.3">
      <c r="A1174" s="305">
        <f>A1171+1</f>
        <v>7</v>
      </c>
      <c r="B1174" s="305">
        <v>6831</v>
      </c>
      <c r="C1174" s="288" t="s">
        <v>475</v>
      </c>
      <c r="D1174" s="262">
        <v>3997.52</v>
      </c>
      <c r="E1174" s="262" t="s">
        <v>71</v>
      </c>
      <c r="F1174" s="265">
        <v>5</v>
      </c>
      <c r="G1174" s="256" t="s">
        <v>72</v>
      </c>
      <c r="H1174" s="163" t="s">
        <v>73</v>
      </c>
      <c r="I1174" s="219">
        <f>SUM(I1175:I1176)</f>
        <v>3976193.22</v>
      </c>
      <c r="J1174" s="219">
        <f>SUM(J1175:J1176)</f>
        <v>994.66</v>
      </c>
      <c r="K1174" s="158">
        <f>SUM(K1175:K1176)</f>
        <v>2936</v>
      </c>
    </row>
    <row r="1175" spans="1:11" s="1" customFormat="1" ht="46.5" x14ac:dyDescent="0.3">
      <c r="A1175" s="306"/>
      <c r="B1175" s="306"/>
      <c r="C1175" s="289"/>
      <c r="D1175" s="263"/>
      <c r="E1175" s="263"/>
      <c r="F1175" s="266"/>
      <c r="G1175" s="257"/>
      <c r="H1175" s="159" t="s">
        <v>705</v>
      </c>
      <c r="I1175" s="219">
        <f>599887.83+D1174*13</f>
        <v>651855.59</v>
      </c>
      <c r="J1175" s="219">
        <f>I1175/D1174</f>
        <v>163.06</v>
      </c>
      <c r="K1175" s="158">
        <f>151+13</f>
        <v>164</v>
      </c>
    </row>
    <row r="1176" spans="1:11" s="1" customFormat="1" x14ac:dyDescent="0.3">
      <c r="A1176" s="306"/>
      <c r="B1176" s="306"/>
      <c r="C1176" s="290"/>
      <c r="D1176" s="263"/>
      <c r="E1176" s="263"/>
      <c r="F1176" s="266"/>
      <c r="G1176" s="257"/>
      <c r="H1176" s="163" t="s">
        <v>74</v>
      </c>
      <c r="I1176" s="219">
        <f>D1174*K1176*30/100</f>
        <v>3324337.63</v>
      </c>
      <c r="J1176" s="219">
        <f>I1176/D1174</f>
        <v>831.6</v>
      </c>
      <c r="K1176" s="158">
        <v>2772</v>
      </c>
    </row>
    <row r="1177" spans="1:11" s="1" customFormat="1" ht="15.75" customHeight="1" x14ac:dyDescent="0.3">
      <c r="A1177" s="305">
        <f>A1174+1</f>
        <v>8</v>
      </c>
      <c r="B1177" s="305">
        <v>6832</v>
      </c>
      <c r="C1177" s="288" t="s">
        <v>476</v>
      </c>
      <c r="D1177" s="262">
        <v>2867.33</v>
      </c>
      <c r="E1177" s="262" t="s">
        <v>75</v>
      </c>
      <c r="F1177" s="265">
        <v>5</v>
      </c>
      <c r="G1177" s="256" t="s">
        <v>72</v>
      </c>
      <c r="H1177" s="163" t="s">
        <v>73</v>
      </c>
      <c r="I1177" s="219">
        <f>SUM(I1178:I1179)</f>
        <v>2854713.75</v>
      </c>
      <c r="J1177" s="219">
        <f>SUM(J1178:J1179)</f>
        <v>995.6</v>
      </c>
      <c r="K1177" s="158">
        <f>SUM(K1178:K1179)</f>
        <v>2936</v>
      </c>
    </row>
    <row r="1178" spans="1:11" s="1" customFormat="1" ht="46.5" x14ac:dyDescent="0.3">
      <c r="A1178" s="306"/>
      <c r="B1178" s="306"/>
      <c r="C1178" s="289"/>
      <c r="D1178" s="263"/>
      <c r="E1178" s="263"/>
      <c r="F1178" s="266"/>
      <c r="G1178" s="257"/>
      <c r="H1178" s="159" t="s">
        <v>705</v>
      </c>
      <c r="I1178" s="219">
        <f>432966.83+D1177*13</f>
        <v>470242.12</v>
      </c>
      <c r="J1178" s="219">
        <f>I1178/D1177</f>
        <v>164</v>
      </c>
      <c r="K1178" s="158">
        <f>151+13</f>
        <v>164</v>
      </c>
    </row>
    <row r="1179" spans="1:11" s="1" customFormat="1" x14ac:dyDescent="0.3">
      <c r="A1179" s="321"/>
      <c r="B1179" s="321"/>
      <c r="C1179" s="290"/>
      <c r="D1179" s="264"/>
      <c r="E1179" s="264"/>
      <c r="F1179" s="267"/>
      <c r="G1179" s="121"/>
      <c r="H1179" s="163" t="s">
        <v>74</v>
      </c>
      <c r="I1179" s="158">
        <f>D1177*K1179*30/100</f>
        <v>2384471.63</v>
      </c>
      <c r="J1179" s="158">
        <f>I1179/D1177</f>
        <v>831.6</v>
      </c>
      <c r="K1179" s="158">
        <v>2772</v>
      </c>
    </row>
    <row r="1180" spans="1:11" s="1" customFormat="1" ht="15.75" customHeight="1" x14ac:dyDescent="0.3">
      <c r="A1180" s="305">
        <f>A1177+1</f>
        <v>9</v>
      </c>
      <c r="B1180" s="305">
        <v>7021</v>
      </c>
      <c r="C1180" s="288" t="s">
        <v>477</v>
      </c>
      <c r="D1180" s="262">
        <v>871.7</v>
      </c>
      <c r="E1180" s="262" t="s">
        <v>71</v>
      </c>
      <c r="F1180" s="265">
        <v>2</v>
      </c>
      <c r="G1180" s="123"/>
      <c r="H1180" s="159" t="s">
        <v>73</v>
      </c>
      <c r="I1180" s="158">
        <f>SUM(I1181:I1184)</f>
        <v>226642</v>
      </c>
      <c r="J1180" s="158">
        <f>SUM(J1181:J1184)</f>
        <v>260</v>
      </c>
      <c r="K1180" s="158">
        <f>SUM(K1181:K1184)</f>
        <v>260</v>
      </c>
    </row>
    <row r="1181" spans="1:11" s="1" customFormat="1" ht="31" x14ac:dyDescent="0.3">
      <c r="A1181" s="306"/>
      <c r="B1181" s="306"/>
      <c r="C1181" s="289"/>
      <c r="D1181" s="263"/>
      <c r="E1181" s="263"/>
      <c r="F1181" s="266"/>
      <c r="G1181" s="120" t="s">
        <v>77</v>
      </c>
      <c r="H1181" s="159" t="s">
        <v>666</v>
      </c>
      <c r="I1181" s="158">
        <f>D1180*K1181</f>
        <v>101988.9</v>
      </c>
      <c r="J1181" s="158">
        <f>I1181/D1180</f>
        <v>117</v>
      </c>
      <c r="K1181" s="158">
        <f>108+9</f>
        <v>117</v>
      </c>
    </row>
    <row r="1182" spans="1:11" s="1" customFormat="1" ht="46.5" x14ac:dyDescent="0.3">
      <c r="A1182" s="306"/>
      <c r="B1182" s="306"/>
      <c r="C1182" s="289"/>
      <c r="D1182" s="263"/>
      <c r="E1182" s="263"/>
      <c r="F1182" s="266"/>
      <c r="G1182" s="120" t="s">
        <v>78</v>
      </c>
      <c r="H1182" s="159" t="s">
        <v>666</v>
      </c>
      <c r="I1182" s="158">
        <f>D1180*K1182</f>
        <v>18305.7</v>
      </c>
      <c r="J1182" s="158">
        <f>I1182/D1180</f>
        <v>21</v>
      </c>
      <c r="K1182" s="158">
        <f>19+2</f>
        <v>21</v>
      </c>
    </row>
    <row r="1183" spans="1:11" s="1" customFormat="1" ht="155" x14ac:dyDescent="0.3">
      <c r="A1183" s="306"/>
      <c r="B1183" s="306"/>
      <c r="C1183" s="289"/>
      <c r="D1183" s="263"/>
      <c r="E1183" s="263"/>
      <c r="F1183" s="266"/>
      <c r="G1183" s="120" t="s">
        <v>714</v>
      </c>
      <c r="H1183" s="159" t="s">
        <v>666</v>
      </c>
      <c r="I1183" s="158">
        <f>D1180*K1183</f>
        <v>88913.4</v>
      </c>
      <c r="J1183" s="158">
        <f>I1183/D1180</f>
        <v>102</v>
      </c>
      <c r="K1183" s="158">
        <f>(47+4)*2</f>
        <v>102</v>
      </c>
    </row>
    <row r="1184" spans="1:11" s="1" customFormat="1" ht="31" x14ac:dyDescent="0.3">
      <c r="A1184" s="306"/>
      <c r="B1184" s="306"/>
      <c r="C1184" s="289"/>
      <c r="D1184" s="263"/>
      <c r="E1184" s="263"/>
      <c r="F1184" s="266"/>
      <c r="G1184" s="120" t="s">
        <v>90</v>
      </c>
      <c r="H1184" s="220" t="s">
        <v>666</v>
      </c>
      <c r="I1184" s="221">
        <f>D1180*K1184</f>
        <v>17434</v>
      </c>
      <c r="J1184" s="221">
        <f>I1184/D1180</f>
        <v>20</v>
      </c>
      <c r="K1184" s="221">
        <f>18+2</f>
        <v>20</v>
      </c>
    </row>
    <row r="1185" spans="1:223" s="222" customFormat="1" ht="15.75" customHeight="1" x14ac:dyDescent="0.3">
      <c r="A1185" s="230">
        <f>A1180+1</f>
        <v>10</v>
      </c>
      <c r="B1185" s="230">
        <v>6925</v>
      </c>
      <c r="C1185" s="309" t="s">
        <v>478</v>
      </c>
      <c r="D1185" s="253">
        <v>2524.1</v>
      </c>
      <c r="E1185" s="253" t="s">
        <v>75</v>
      </c>
      <c r="F1185" s="255">
        <v>4</v>
      </c>
      <c r="G1185" s="251" t="s">
        <v>72</v>
      </c>
      <c r="H1185" s="159" t="s">
        <v>73</v>
      </c>
      <c r="I1185" s="158">
        <f>I1186+I1187</f>
        <v>7554540.3600000003</v>
      </c>
      <c r="J1185" s="158">
        <f>J1186+J1187</f>
        <v>2992.96</v>
      </c>
      <c r="K1185" s="158">
        <f>K1186+K1187</f>
        <v>4728</v>
      </c>
    </row>
    <row r="1186" spans="1:223" s="222" customFormat="1" x14ac:dyDescent="0.3">
      <c r="A1186" s="343"/>
      <c r="B1186" s="343"/>
      <c r="C1186" s="309"/>
      <c r="D1186" s="253"/>
      <c r="E1186" s="253"/>
      <c r="F1186" s="255"/>
      <c r="G1186" s="251"/>
      <c r="H1186" s="159" t="s">
        <v>74</v>
      </c>
      <c r="I1186" s="158">
        <v>7387156.0999999996</v>
      </c>
      <c r="J1186" s="158">
        <f>I1186/D1185</f>
        <v>2926.65</v>
      </c>
      <c r="K1186" s="158">
        <v>4629</v>
      </c>
    </row>
    <row r="1187" spans="1:223" s="222" customFormat="1" x14ac:dyDescent="0.3">
      <c r="A1187" s="343"/>
      <c r="B1187" s="343"/>
      <c r="C1187" s="309"/>
      <c r="D1187" s="253"/>
      <c r="E1187" s="253"/>
      <c r="F1187" s="255"/>
      <c r="G1187" s="251"/>
      <c r="H1187" s="159" t="s">
        <v>76</v>
      </c>
      <c r="I1187" s="158">
        <v>167384.26</v>
      </c>
      <c r="J1187" s="158">
        <f>I1187/D1185</f>
        <v>66.31</v>
      </c>
      <c r="K1187" s="158">
        <v>99</v>
      </c>
    </row>
    <row r="1188" spans="1:223" s="92" customFormat="1" x14ac:dyDescent="0.35">
      <c r="A1188" s="153" t="s">
        <v>49</v>
      </c>
      <c r="B1188" s="153"/>
      <c r="C1188" s="73"/>
      <c r="D1188" s="142">
        <f>D1189</f>
        <v>885.8</v>
      </c>
      <c r="E1188" s="51"/>
      <c r="F1188" s="51"/>
      <c r="G1188" s="202"/>
      <c r="H1188" s="162"/>
      <c r="I1188" s="158">
        <f>I1189</f>
        <v>3770301.99</v>
      </c>
      <c r="J1188" s="158"/>
      <c r="K1188" s="158"/>
      <c r="L1188" s="9"/>
      <c r="M1188" s="9"/>
      <c r="N1188" s="9"/>
      <c r="O1188" s="9"/>
      <c r="P1188" s="9"/>
      <c r="Q1188" s="9"/>
      <c r="R1188" s="9"/>
      <c r="S1188" s="9"/>
      <c r="T1188" s="9"/>
      <c r="U1188" s="9"/>
      <c r="V1188" s="9"/>
      <c r="W1188" s="9"/>
      <c r="X1188" s="7"/>
      <c r="Y1188" s="7"/>
      <c r="Z1188" s="7"/>
      <c r="AA1188" s="7"/>
      <c r="AB1188" s="7"/>
      <c r="AC1188" s="7"/>
      <c r="AD1188" s="7"/>
      <c r="AE1188" s="7"/>
      <c r="AF1188" s="7"/>
      <c r="AG1188" s="7"/>
      <c r="AH1188" s="7"/>
      <c r="AI1188" s="7"/>
      <c r="AJ1188" s="7"/>
      <c r="AK1188" s="7"/>
      <c r="AL1188" s="7"/>
      <c r="AM1188" s="7"/>
      <c r="AN1188" s="7"/>
      <c r="AO1188" s="7"/>
      <c r="AP1188" s="7"/>
      <c r="AQ1188" s="7"/>
      <c r="AR1188" s="7"/>
      <c r="AS1188" s="7"/>
      <c r="AT1188" s="7"/>
      <c r="AU1188" s="7"/>
      <c r="AV1188" s="7"/>
      <c r="AW1188" s="7"/>
      <c r="AX1188" s="7"/>
      <c r="AY1188" s="7"/>
      <c r="AZ1188" s="7"/>
      <c r="BA1188" s="7"/>
      <c r="BB1188" s="7"/>
      <c r="BC1188" s="7"/>
      <c r="BD1188" s="7"/>
      <c r="BE1188" s="7"/>
      <c r="BF1188" s="7"/>
      <c r="BG1188" s="7"/>
      <c r="BH1188" s="7"/>
      <c r="BI1188" s="7"/>
      <c r="BJ1188" s="7"/>
      <c r="BK1188" s="7"/>
      <c r="BL1188" s="7"/>
      <c r="BM1188" s="7"/>
      <c r="BN1188" s="7"/>
      <c r="BO1188" s="7"/>
      <c r="BP1188" s="7"/>
      <c r="BQ1188" s="7"/>
      <c r="BR1188" s="7"/>
      <c r="BS1188" s="7"/>
      <c r="BT1188" s="7"/>
      <c r="BU1188" s="7"/>
      <c r="BV1188" s="7"/>
      <c r="BW1188" s="7"/>
      <c r="BX1188" s="7"/>
      <c r="BY1188" s="7"/>
      <c r="BZ1188" s="7"/>
      <c r="CA1188" s="7"/>
      <c r="CB1188" s="7"/>
      <c r="CC1188" s="7"/>
      <c r="CD1188" s="7"/>
      <c r="CE1188" s="7"/>
      <c r="CF1188" s="7"/>
      <c r="CG1188" s="7"/>
      <c r="CH1188" s="7"/>
      <c r="CI1188" s="7"/>
      <c r="CJ1188" s="7"/>
      <c r="CK1188" s="7"/>
      <c r="CL1188" s="7"/>
      <c r="CM1188" s="7"/>
      <c r="CN1188" s="7"/>
      <c r="CO1188" s="7"/>
      <c r="CP1188" s="7"/>
      <c r="CQ1188" s="7"/>
      <c r="CR1188" s="7"/>
      <c r="CS1188" s="7"/>
      <c r="CT1188" s="7"/>
      <c r="CU1188" s="7"/>
      <c r="CV1188" s="7"/>
      <c r="CW1188" s="7"/>
      <c r="CX1188" s="7"/>
      <c r="CY1188" s="7"/>
      <c r="CZ1188" s="7"/>
      <c r="DA1188" s="7"/>
      <c r="DB1188" s="7"/>
      <c r="DC1188" s="7"/>
      <c r="DD1188" s="7"/>
      <c r="DE1188" s="7"/>
      <c r="DF1188" s="7"/>
      <c r="DG1188" s="7"/>
      <c r="DH1188" s="7"/>
      <c r="DI1188" s="7"/>
      <c r="DJ1188" s="7"/>
      <c r="DK1188" s="7"/>
      <c r="DL1188" s="7"/>
      <c r="DM1188" s="7"/>
      <c r="DN1188" s="7"/>
      <c r="DO1188" s="7"/>
      <c r="DP1188" s="7"/>
      <c r="DQ1188" s="7"/>
      <c r="DR1188" s="7"/>
      <c r="DS1188" s="7"/>
      <c r="DT1188" s="7"/>
      <c r="DU1188" s="7"/>
      <c r="DV1188" s="7"/>
      <c r="DW1188" s="7"/>
      <c r="DX1188" s="7"/>
      <c r="DY1188" s="7"/>
      <c r="DZ1188" s="7"/>
      <c r="EA1188" s="7"/>
      <c r="EB1188" s="7"/>
      <c r="EC1188" s="7"/>
      <c r="ED1188" s="7"/>
      <c r="EE1188" s="7"/>
      <c r="EF1188" s="7"/>
      <c r="EG1188" s="7"/>
      <c r="EH1188" s="7"/>
      <c r="EI1188" s="7"/>
      <c r="EJ1188" s="7"/>
      <c r="EK1188" s="7"/>
      <c r="EL1188" s="7"/>
      <c r="EM1188" s="7"/>
      <c r="EN1188" s="7"/>
      <c r="EO1188" s="7"/>
      <c r="EP1188" s="7"/>
      <c r="EQ1188" s="7"/>
      <c r="ER1188" s="7"/>
      <c r="ES1188" s="7"/>
      <c r="ET1188" s="7"/>
      <c r="EU1188" s="7"/>
      <c r="EV1188" s="7"/>
      <c r="EW1188" s="7"/>
      <c r="EX1188" s="7"/>
      <c r="EY1188" s="7"/>
      <c r="EZ1188" s="7"/>
      <c r="FA1188" s="7"/>
      <c r="FB1188" s="7"/>
      <c r="FC1188" s="7"/>
      <c r="FD1188" s="7"/>
      <c r="FE1188" s="7"/>
      <c r="FF1188" s="7"/>
      <c r="FG1188" s="7"/>
      <c r="FH1188" s="7"/>
      <c r="FI1188" s="7"/>
      <c r="FJ1188" s="7"/>
      <c r="FK1188" s="7"/>
      <c r="FL1188" s="7"/>
      <c r="FM1188" s="7"/>
      <c r="FN1188" s="7"/>
      <c r="FO1188" s="7"/>
      <c r="FP1188" s="7"/>
      <c r="FQ1188" s="7"/>
      <c r="FR1188" s="7"/>
      <c r="FS1188" s="7"/>
      <c r="FT1188" s="7"/>
      <c r="FU1188" s="7"/>
      <c r="FV1188" s="7"/>
      <c r="FW1188" s="7"/>
      <c r="FX1188" s="7"/>
      <c r="FY1188" s="7"/>
      <c r="FZ1188" s="7"/>
      <c r="GA1188" s="7"/>
      <c r="GB1188" s="7"/>
      <c r="GC1188" s="7"/>
      <c r="GD1188" s="7"/>
      <c r="GE1188" s="7"/>
      <c r="GF1188" s="7"/>
      <c r="GG1188" s="7"/>
      <c r="GH1188" s="7"/>
      <c r="GI1188" s="7"/>
      <c r="GJ1188" s="7"/>
      <c r="GK1188" s="7"/>
      <c r="GL1188" s="7"/>
      <c r="GM1188" s="7"/>
      <c r="GN1188" s="7"/>
      <c r="GO1188" s="7"/>
      <c r="GP1188" s="7"/>
      <c r="GQ1188" s="7"/>
      <c r="GR1188" s="7"/>
      <c r="GS1188" s="7"/>
      <c r="GT1188" s="7"/>
      <c r="GU1188" s="7"/>
      <c r="GV1188" s="7"/>
      <c r="GW1188" s="7"/>
      <c r="GX1188" s="7"/>
      <c r="GY1188" s="7"/>
      <c r="GZ1188" s="7"/>
      <c r="HA1188" s="7"/>
      <c r="HB1188" s="7"/>
      <c r="HC1188" s="7"/>
      <c r="HD1188" s="7"/>
      <c r="HE1188" s="7"/>
      <c r="HF1188" s="7"/>
      <c r="HG1188" s="7"/>
      <c r="HH1188" s="7"/>
      <c r="HI1188" s="7"/>
      <c r="HJ1188" s="7"/>
      <c r="HK1188" s="7"/>
      <c r="HL1188" s="7"/>
      <c r="HM1188" s="7"/>
      <c r="HN1188" s="7"/>
      <c r="HO1188" s="7"/>
    </row>
    <row r="1189" spans="1:223" s="1" customFormat="1" ht="15.75" customHeight="1" x14ac:dyDescent="0.3">
      <c r="A1189" s="256">
        <v>1</v>
      </c>
      <c r="B1189" s="256">
        <v>4997</v>
      </c>
      <c r="C1189" s="259" t="s">
        <v>715</v>
      </c>
      <c r="D1189" s="262">
        <v>885.8</v>
      </c>
      <c r="E1189" s="265" t="s">
        <v>75</v>
      </c>
      <c r="F1189" s="265">
        <v>2</v>
      </c>
      <c r="G1189" s="256" t="s">
        <v>72</v>
      </c>
      <c r="H1189" s="159" t="s">
        <v>73</v>
      </c>
      <c r="I1189" s="158">
        <f>I1190+I1191</f>
        <v>3770301.99</v>
      </c>
      <c r="J1189" s="158">
        <f>J1190+J1191</f>
        <v>4256.38</v>
      </c>
      <c r="K1189" s="158">
        <f>K1190+K1191</f>
        <v>7539</v>
      </c>
    </row>
    <row r="1190" spans="1:223" s="1" customFormat="1" x14ac:dyDescent="0.3">
      <c r="A1190" s="257">
        <v>1174</v>
      </c>
      <c r="B1190" s="257"/>
      <c r="C1190" s="260"/>
      <c r="D1190" s="263"/>
      <c r="E1190" s="266"/>
      <c r="F1190" s="266"/>
      <c r="G1190" s="257"/>
      <c r="H1190" s="159" t="s">
        <v>74</v>
      </c>
      <c r="I1190" s="158">
        <v>3730070.33</v>
      </c>
      <c r="J1190" s="158">
        <f>I1190/D1189</f>
        <v>4210.96</v>
      </c>
      <c r="K1190" s="158">
        <v>7381</v>
      </c>
    </row>
    <row r="1191" spans="1:223" s="1" customFormat="1" x14ac:dyDescent="0.3">
      <c r="A1191" s="258">
        <v>1175</v>
      </c>
      <c r="B1191" s="258"/>
      <c r="C1191" s="261"/>
      <c r="D1191" s="264"/>
      <c r="E1191" s="267"/>
      <c r="F1191" s="267"/>
      <c r="G1191" s="258"/>
      <c r="H1191" s="159" t="s">
        <v>76</v>
      </c>
      <c r="I1191" s="158">
        <v>40231.660000000003</v>
      </c>
      <c r="J1191" s="158">
        <f>I1191/D1189</f>
        <v>45.42</v>
      </c>
      <c r="K1191" s="158">
        <v>158</v>
      </c>
    </row>
    <row r="1192" spans="1:223" s="92" customFormat="1" x14ac:dyDescent="0.35">
      <c r="A1192" s="155" t="s">
        <v>50</v>
      </c>
      <c r="B1192" s="213"/>
      <c r="C1192" s="156"/>
      <c r="D1192" s="125">
        <f>D1193</f>
        <v>988.9</v>
      </c>
      <c r="E1192" s="133"/>
      <c r="F1192" s="133"/>
      <c r="G1192" s="125"/>
      <c r="H1192" s="162"/>
      <c r="I1192" s="158">
        <f>I1193</f>
        <v>5360773.6500000004</v>
      </c>
      <c r="J1192" s="158"/>
      <c r="K1192" s="158"/>
      <c r="L1192" s="9"/>
      <c r="M1192" s="9"/>
      <c r="N1192" s="9"/>
      <c r="O1192" s="9"/>
      <c r="P1192" s="9"/>
      <c r="Q1192" s="9"/>
      <c r="R1192" s="9"/>
      <c r="S1192" s="9"/>
      <c r="T1192" s="9"/>
      <c r="U1192" s="9"/>
      <c r="V1192" s="9"/>
      <c r="W1192" s="9"/>
      <c r="X1192" s="7"/>
      <c r="Y1192" s="7"/>
      <c r="Z1192" s="7"/>
      <c r="AA1192" s="7"/>
      <c r="AB1192" s="7"/>
      <c r="AC1192" s="7"/>
      <c r="AD1192" s="7"/>
      <c r="AE1192" s="7"/>
      <c r="AF1192" s="7"/>
      <c r="AG1192" s="7"/>
      <c r="AH1192" s="7"/>
      <c r="AI1192" s="7"/>
      <c r="AJ1192" s="7"/>
      <c r="AK1192" s="7"/>
      <c r="AL1192" s="7"/>
      <c r="AM1192" s="7"/>
      <c r="AN1192" s="7"/>
      <c r="AO1192" s="7"/>
      <c r="AP1192" s="7"/>
      <c r="AQ1192" s="7"/>
      <c r="AR1192" s="7"/>
      <c r="AS1192" s="7"/>
      <c r="AT1192" s="7"/>
      <c r="AU1192" s="7"/>
      <c r="AV1192" s="7"/>
      <c r="AW1192" s="7"/>
      <c r="AX1192" s="7"/>
      <c r="AY1192" s="7"/>
      <c r="AZ1192" s="7"/>
      <c r="BA1192" s="7"/>
      <c r="BB1192" s="7"/>
      <c r="BC1192" s="7"/>
      <c r="BD1192" s="7"/>
      <c r="BE1192" s="7"/>
      <c r="BF1192" s="7"/>
      <c r="BG1192" s="7"/>
      <c r="BH1192" s="7"/>
      <c r="BI1192" s="7"/>
      <c r="BJ1192" s="7"/>
      <c r="BK1192" s="7"/>
      <c r="BL1192" s="7"/>
      <c r="BM1192" s="7"/>
      <c r="BN1192" s="7"/>
      <c r="BO1192" s="7"/>
      <c r="BP1192" s="7"/>
      <c r="BQ1192" s="7"/>
      <c r="BR1192" s="7"/>
      <c r="BS1192" s="7"/>
      <c r="BT1192" s="7"/>
      <c r="BU1192" s="7"/>
      <c r="BV1192" s="7"/>
      <c r="BW1192" s="7"/>
      <c r="BX1192" s="7"/>
      <c r="BY1192" s="7"/>
      <c r="BZ1192" s="7"/>
      <c r="CA1192" s="7"/>
      <c r="CB1192" s="7"/>
      <c r="CC1192" s="7"/>
      <c r="CD1192" s="7"/>
      <c r="CE1192" s="7"/>
      <c r="CF1192" s="7"/>
      <c r="CG1192" s="7"/>
      <c r="CH1192" s="7"/>
      <c r="CI1192" s="7"/>
      <c r="CJ1192" s="7"/>
      <c r="CK1192" s="7"/>
      <c r="CL1192" s="7"/>
      <c r="CM1192" s="7"/>
      <c r="CN1192" s="7"/>
      <c r="CO1192" s="7"/>
      <c r="CP1192" s="7"/>
      <c r="CQ1192" s="7"/>
      <c r="CR1192" s="7"/>
      <c r="CS1192" s="7"/>
      <c r="CT1192" s="7"/>
      <c r="CU1192" s="7"/>
      <c r="CV1192" s="7"/>
      <c r="CW1192" s="7"/>
      <c r="CX1192" s="7"/>
      <c r="CY1192" s="7"/>
      <c r="CZ1192" s="7"/>
      <c r="DA1192" s="7"/>
      <c r="DB1192" s="7"/>
      <c r="DC1192" s="7"/>
      <c r="DD1192" s="7"/>
      <c r="DE1192" s="7"/>
      <c r="DF1192" s="7"/>
      <c r="DG1192" s="7"/>
      <c r="DH1192" s="7"/>
      <c r="DI1192" s="7"/>
      <c r="DJ1192" s="7"/>
      <c r="DK1192" s="7"/>
      <c r="DL1192" s="7"/>
      <c r="DM1192" s="7"/>
      <c r="DN1192" s="7"/>
      <c r="DO1192" s="7"/>
      <c r="DP1192" s="7"/>
      <c r="DQ1192" s="7"/>
      <c r="DR1192" s="7"/>
      <c r="DS1192" s="7"/>
      <c r="DT1192" s="7"/>
      <c r="DU1192" s="7"/>
      <c r="DV1192" s="7"/>
      <c r="DW1192" s="7"/>
      <c r="DX1192" s="7"/>
      <c r="DY1192" s="7"/>
      <c r="DZ1192" s="7"/>
      <c r="EA1192" s="7"/>
      <c r="EB1192" s="7"/>
      <c r="EC1192" s="7"/>
      <c r="ED1192" s="7"/>
      <c r="EE1192" s="7"/>
      <c r="EF1192" s="7"/>
      <c r="EG1192" s="7"/>
      <c r="EH1192" s="7"/>
      <c r="EI1192" s="7"/>
      <c r="EJ1192" s="7"/>
      <c r="EK1192" s="7"/>
      <c r="EL1192" s="7"/>
      <c r="EM1192" s="7"/>
      <c r="EN1192" s="7"/>
      <c r="EO1192" s="7"/>
      <c r="EP1192" s="7"/>
      <c r="EQ1192" s="7"/>
      <c r="ER1192" s="7"/>
      <c r="ES1192" s="7"/>
      <c r="ET1192" s="7"/>
      <c r="EU1192" s="7"/>
      <c r="EV1192" s="7"/>
      <c r="EW1192" s="7"/>
      <c r="EX1192" s="7"/>
      <c r="EY1192" s="7"/>
      <c r="EZ1192" s="7"/>
      <c r="FA1192" s="7"/>
      <c r="FB1192" s="7"/>
      <c r="FC1192" s="7"/>
      <c r="FD1192" s="7"/>
      <c r="FE1192" s="7"/>
      <c r="FF1192" s="7"/>
      <c r="FG1192" s="7"/>
      <c r="FH1192" s="7"/>
      <c r="FI1192" s="7"/>
      <c r="FJ1192" s="7"/>
      <c r="FK1192" s="7"/>
      <c r="FL1192" s="7"/>
      <c r="FM1192" s="7"/>
      <c r="FN1192" s="7"/>
      <c r="FO1192" s="7"/>
      <c r="FP1192" s="7"/>
      <c r="FQ1192" s="7"/>
      <c r="FR1192" s="7"/>
      <c r="FS1192" s="7"/>
      <c r="FT1192" s="7"/>
      <c r="FU1192" s="7"/>
      <c r="FV1192" s="7"/>
      <c r="FW1192" s="7"/>
      <c r="FX1192" s="7"/>
      <c r="FY1192" s="7"/>
      <c r="FZ1192" s="7"/>
      <c r="GA1192" s="7"/>
      <c r="GB1192" s="7"/>
      <c r="GC1192" s="7"/>
      <c r="GD1192" s="7"/>
      <c r="GE1192" s="7"/>
      <c r="GF1192" s="7"/>
      <c r="GG1192" s="7"/>
      <c r="GH1192" s="7"/>
      <c r="GI1192" s="7"/>
      <c r="GJ1192" s="7"/>
      <c r="GK1192" s="7"/>
      <c r="GL1192" s="7"/>
      <c r="GM1192" s="7"/>
      <c r="GN1192" s="7"/>
      <c r="GO1192" s="7"/>
      <c r="GP1192" s="7"/>
      <c r="GQ1192" s="7"/>
      <c r="GR1192" s="7"/>
      <c r="GS1192" s="7"/>
      <c r="GT1192" s="7"/>
      <c r="GU1192" s="7"/>
      <c r="GV1192" s="7"/>
      <c r="GW1192" s="7"/>
      <c r="GX1192" s="7"/>
      <c r="GY1192" s="7"/>
      <c r="GZ1192" s="7"/>
      <c r="HA1192" s="7"/>
      <c r="HB1192" s="7"/>
      <c r="HC1192" s="7"/>
      <c r="HD1192" s="7"/>
      <c r="HE1192" s="7"/>
      <c r="HF1192" s="7"/>
      <c r="HG1192" s="7"/>
      <c r="HH1192" s="7"/>
      <c r="HI1192" s="7"/>
      <c r="HJ1192" s="7"/>
      <c r="HK1192" s="7"/>
      <c r="HL1192" s="7"/>
      <c r="HM1192" s="7"/>
      <c r="HN1192" s="7"/>
      <c r="HO1192" s="7"/>
    </row>
    <row r="1193" spans="1:223" s="1" customFormat="1" ht="15.75" customHeight="1" x14ac:dyDescent="0.3">
      <c r="A1193" s="343">
        <f>1</f>
        <v>1</v>
      </c>
      <c r="B1193" s="343">
        <v>7164</v>
      </c>
      <c r="C1193" s="252" t="s">
        <v>480</v>
      </c>
      <c r="D1193" s="253">
        <v>988.9</v>
      </c>
      <c r="E1193" s="255" t="s">
        <v>75</v>
      </c>
      <c r="F1193" s="255">
        <v>2</v>
      </c>
      <c r="G1193" s="256" t="s">
        <v>72</v>
      </c>
      <c r="H1193" s="159" t="s">
        <v>73</v>
      </c>
      <c r="I1193" s="158">
        <f>I1194+I1195</f>
        <v>5360773.6500000004</v>
      </c>
      <c r="J1193" s="158">
        <f>J1194+J1195</f>
        <v>5420.95</v>
      </c>
      <c r="K1193" s="158">
        <f>K1194+K1195</f>
        <v>7066</v>
      </c>
    </row>
    <row r="1194" spans="1:223" s="1" customFormat="1" x14ac:dyDescent="0.3">
      <c r="A1194" s="343"/>
      <c r="B1194" s="343"/>
      <c r="C1194" s="252"/>
      <c r="D1194" s="253"/>
      <c r="E1194" s="255"/>
      <c r="F1194" s="255"/>
      <c r="G1194" s="257"/>
      <c r="H1194" s="159" t="s">
        <v>74</v>
      </c>
      <c r="I1194" s="158">
        <v>5248456.68</v>
      </c>
      <c r="J1194" s="158">
        <f>I1194/D1193</f>
        <v>5307.37</v>
      </c>
      <c r="K1194" s="158">
        <v>6918</v>
      </c>
    </row>
    <row r="1195" spans="1:223" s="1" customFormat="1" x14ac:dyDescent="0.3">
      <c r="A1195" s="343"/>
      <c r="B1195" s="343"/>
      <c r="C1195" s="252"/>
      <c r="D1195" s="253"/>
      <c r="E1195" s="255"/>
      <c r="F1195" s="255"/>
      <c r="G1195" s="258"/>
      <c r="H1195" s="159" t="s">
        <v>76</v>
      </c>
      <c r="I1195" s="158">
        <f>I1194*0.0214</f>
        <v>112316.97</v>
      </c>
      <c r="J1195" s="158">
        <f>I1195/D1193</f>
        <v>113.58</v>
      </c>
      <c r="K1195" s="158">
        <v>148</v>
      </c>
    </row>
    <row r="1196" spans="1:223" s="92" customFormat="1" ht="15.75" customHeight="1" x14ac:dyDescent="0.35">
      <c r="A1196" s="209" t="s">
        <v>29</v>
      </c>
      <c r="B1196" s="210"/>
      <c r="C1196" s="211"/>
      <c r="D1196" s="125">
        <f>D1197+D1202+D1242+D1246+D1252+D1516+D1609+D2411+D2414+D2426+D2436+D2505+D2509+D2517+D2524+D2569+D2572</f>
        <v>1260803.49</v>
      </c>
      <c r="E1196" s="122"/>
      <c r="F1196" s="122"/>
      <c r="G1196" s="123"/>
      <c r="H1196" s="157"/>
      <c r="I1196" s="158">
        <f>I1197+I1202+I1242+I1246+I1252+I1516+'Форма 2'!I1609+I2411+I2414+I2426+I2436+I2505+I2509+I2517+I2524+I2569+I2572</f>
        <v>1132768922.49</v>
      </c>
      <c r="J1196" s="157"/>
      <c r="K1196" s="157"/>
      <c r="L1196" s="9"/>
      <c r="M1196" s="9"/>
      <c r="N1196" s="9"/>
      <c r="O1196" s="9"/>
      <c r="P1196" s="9"/>
      <c r="Q1196" s="9"/>
      <c r="R1196" s="9"/>
      <c r="S1196" s="9"/>
      <c r="T1196" s="9"/>
      <c r="U1196" s="9"/>
      <c r="V1196" s="9"/>
      <c r="W1196" s="9"/>
      <c r="X1196" s="7"/>
      <c r="Y1196" s="7"/>
      <c r="Z1196" s="7"/>
      <c r="AA1196" s="7"/>
      <c r="AB1196" s="7"/>
      <c r="AC1196" s="7"/>
      <c r="AD1196" s="7"/>
      <c r="AE1196" s="7"/>
      <c r="AF1196" s="7"/>
      <c r="AG1196" s="7"/>
      <c r="AH1196" s="7"/>
      <c r="AI1196" s="7"/>
      <c r="AJ1196" s="7"/>
      <c r="AK1196" s="7"/>
      <c r="AL1196" s="7"/>
      <c r="AM1196" s="7"/>
      <c r="AN1196" s="7"/>
      <c r="AO1196" s="7"/>
      <c r="AP1196" s="7"/>
      <c r="AQ1196" s="7"/>
      <c r="AR1196" s="7"/>
      <c r="AS1196" s="7"/>
      <c r="AT1196" s="7"/>
      <c r="AU1196" s="7"/>
      <c r="AV1196" s="7"/>
      <c r="AW1196" s="7"/>
      <c r="AX1196" s="7"/>
      <c r="AY1196" s="7"/>
      <c r="AZ1196" s="7"/>
      <c r="BA1196" s="7"/>
      <c r="BB1196" s="7"/>
      <c r="BC1196" s="7"/>
      <c r="BD1196" s="7"/>
      <c r="BE1196" s="7"/>
      <c r="BF1196" s="7"/>
      <c r="BG1196" s="7"/>
      <c r="BH1196" s="7"/>
      <c r="BI1196" s="7"/>
      <c r="BJ1196" s="7"/>
      <c r="BK1196" s="7"/>
      <c r="BL1196" s="7"/>
      <c r="BM1196" s="7"/>
      <c r="BN1196" s="7"/>
      <c r="BO1196" s="7"/>
      <c r="BP1196" s="7"/>
      <c r="BQ1196" s="7"/>
      <c r="BR1196" s="7"/>
      <c r="BS1196" s="7"/>
      <c r="BT1196" s="7"/>
      <c r="BU1196" s="7"/>
      <c r="BV1196" s="7"/>
      <c r="BW1196" s="7"/>
      <c r="BX1196" s="7"/>
      <c r="BY1196" s="7"/>
      <c r="BZ1196" s="7"/>
      <c r="CA1196" s="7"/>
      <c r="CB1196" s="7"/>
      <c r="CC1196" s="7"/>
      <c r="CD1196" s="7"/>
      <c r="CE1196" s="7"/>
      <c r="CF1196" s="7"/>
      <c r="CG1196" s="7"/>
      <c r="CH1196" s="7"/>
      <c r="CI1196" s="7"/>
      <c r="CJ1196" s="7"/>
      <c r="CK1196" s="7"/>
      <c r="CL1196" s="7"/>
      <c r="CM1196" s="7"/>
      <c r="CN1196" s="7"/>
      <c r="CO1196" s="7"/>
      <c r="CP1196" s="7"/>
      <c r="CQ1196" s="7"/>
      <c r="CR1196" s="7"/>
      <c r="CS1196" s="7"/>
      <c r="CT1196" s="7"/>
      <c r="CU1196" s="7"/>
      <c r="CV1196" s="7"/>
      <c r="CW1196" s="7"/>
      <c r="CX1196" s="7"/>
      <c r="CY1196" s="7"/>
      <c r="CZ1196" s="7"/>
      <c r="DA1196" s="7"/>
      <c r="DB1196" s="7"/>
      <c r="DC1196" s="7"/>
      <c r="DD1196" s="7"/>
      <c r="DE1196" s="7"/>
      <c r="DF1196" s="7"/>
      <c r="DG1196" s="7"/>
      <c r="DH1196" s="7"/>
      <c r="DI1196" s="7"/>
      <c r="DJ1196" s="7"/>
      <c r="DK1196" s="7"/>
      <c r="DL1196" s="7"/>
      <c r="DM1196" s="7"/>
      <c r="DN1196" s="7"/>
      <c r="DO1196" s="7"/>
      <c r="DP1196" s="7"/>
      <c r="DQ1196" s="7"/>
      <c r="DR1196" s="7"/>
      <c r="DS1196" s="7"/>
      <c r="DT1196" s="7"/>
      <c r="DU1196" s="7"/>
      <c r="DV1196" s="7"/>
      <c r="DW1196" s="7"/>
      <c r="DX1196" s="7"/>
      <c r="DY1196" s="7"/>
      <c r="DZ1196" s="7"/>
      <c r="EA1196" s="7"/>
      <c r="EB1196" s="7"/>
      <c r="EC1196" s="7"/>
      <c r="ED1196" s="7"/>
      <c r="EE1196" s="7"/>
      <c r="EF1196" s="7"/>
      <c r="EG1196" s="7"/>
      <c r="EH1196" s="7"/>
      <c r="EI1196" s="7"/>
      <c r="EJ1196" s="7"/>
      <c r="EK1196" s="7"/>
      <c r="EL1196" s="7"/>
      <c r="EM1196" s="7"/>
      <c r="EN1196" s="7"/>
      <c r="EO1196" s="7"/>
      <c r="EP1196" s="7"/>
      <c r="EQ1196" s="7"/>
      <c r="ER1196" s="7"/>
      <c r="ES1196" s="7"/>
      <c r="ET1196" s="7"/>
      <c r="EU1196" s="7"/>
      <c r="EV1196" s="7"/>
      <c r="EW1196" s="7"/>
      <c r="EX1196" s="7"/>
      <c r="EY1196" s="7"/>
      <c r="EZ1196" s="7"/>
      <c r="FA1196" s="7"/>
      <c r="FB1196" s="7"/>
      <c r="FC1196" s="7"/>
      <c r="FD1196" s="7"/>
      <c r="FE1196" s="7"/>
      <c r="FF1196" s="7"/>
      <c r="FG1196" s="7"/>
      <c r="FH1196" s="7"/>
      <c r="FI1196" s="7"/>
      <c r="FJ1196" s="7"/>
      <c r="FK1196" s="7"/>
      <c r="FL1196" s="7"/>
      <c r="FM1196" s="7"/>
      <c r="FN1196" s="7"/>
      <c r="FO1196" s="7"/>
      <c r="FP1196" s="7"/>
      <c r="FQ1196" s="7"/>
      <c r="FR1196" s="7"/>
      <c r="FS1196" s="7"/>
      <c r="FT1196" s="7"/>
      <c r="FU1196" s="7"/>
      <c r="FV1196" s="7"/>
      <c r="FW1196" s="7"/>
      <c r="FX1196" s="7"/>
      <c r="FY1196" s="7"/>
      <c r="FZ1196" s="7"/>
      <c r="GA1196" s="7"/>
      <c r="GB1196" s="7"/>
      <c r="GC1196" s="7"/>
      <c r="GD1196" s="7"/>
      <c r="GE1196" s="7"/>
      <c r="GF1196" s="7"/>
      <c r="GG1196" s="7"/>
      <c r="GH1196" s="7"/>
      <c r="GI1196" s="7"/>
      <c r="GJ1196" s="7"/>
      <c r="GK1196" s="7"/>
      <c r="GL1196" s="7"/>
      <c r="GM1196" s="7"/>
      <c r="GN1196" s="7"/>
      <c r="GO1196" s="7"/>
      <c r="GP1196" s="7"/>
      <c r="GQ1196" s="7"/>
      <c r="GR1196" s="7"/>
      <c r="GS1196" s="7"/>
      <c r="GT1196" s="7"/>
      <c r="GU1196" s="7"/>
      <c r="GV1196" s="7"/>
      <c r="GW1196" s="7"/>
      <c r="GX1196" s="7"/>
      <c r="GY1196" s="7"/>
      <c r="GZ1196" s="7"/>
      <c r="HA1196" s="7"/>
      <c r="HB1196" s="7"/>
      <c r="HC1196" s="7"/>
      <c r="HD1196" s="7"/>
      <c r="HE1196" s="7"/>
      <c r="HF1196" s="7"/>
      <c r="HG1196" s="7"/>
      <c r="HH1196" s="7"/>
      <c r="HI1196" s="7"/>
      <c r="HJ1196" s="7"/>
      <c r="HK1196" s="7"/>
      <c r="HL1196" s="7"/>
      <c r="HM1196" s="7"/>
      <c r="HN1196" s="7"/>
      <c r="HO1196" s="7"/>
    </row>
    <row r="1197" spans="1:223" s="92" customFormat="1" ht="15.75" customHeight="1" x14ac:dyDescent="0.35">
      <c r="A1197" s="209" t="s">
        <v>16</v>
      </c>
      <c r="B1197" s="207"/>
      <c r="C1197" s="208"/>
      <c r="D1197" s="125">
        <f>D1198+D1200</f>
        <v>624.1</v>
      </c>
      <c r="E1197" s="125"/>
      <c r="F1197" s="125"/>
      <c r="G1197" s="123"/>
      <c r="H1197" s="157"/>
      <c r="I1197" s="158">
        <f>I1198+I1200</f>
        <v>127069.7</v>
      </c>
      <c r="J1197" s="157"/>
      <c r="K1197" s="157"/>
      <c r="L1197" s="9"/>
      <c r="M1197" s="9"/>
      <c r="N1197" s="9"/>
      <c r="O1197" s="9"/>
      <c r="P1197" s="9"/>
      <c r="Q1197" s="9"/>
      <c r="R1197" s="9"/>
      <c r="S1197" s="9"/>
      <c r="T1197" s="9"/>
      <c r="U1197" s="9"/>
      <c r="V1197" s="9"/>
      <c r="W1197" s="9"/>
      <c r="X1197" s="7"/>
      <c r="Y1197" s="7"/>
      <c r="Z1197" s="7"/>
      <c r="AA1197" s="7"/>
      <c r="AB1197" s="7"/>
      <c r="AC1197" s="7"/>
      <c r="AD1197" s="7"/>
      <c r="AE1197" s="7"/>
      <c r="AF1197" s="7"/>
      <c r="AG1197" s="7"/>
      <c r="AH1197" s="7"/>
      <c r="AI1197" s="7"/>
      <c r="AJ1197" s="7"/>
      <c r="AK1197" s="7"/>
      <c r="AL1197" s="7"/>
      <c r="AM1197" s="7"/>
      <c r="AN1197" s="7"/>
      <c r="AO1197" s="7"/>
      <c r="AP1197" s="7"/>
      <c r="AQ1197" s="7"/>
      <c r="AR1197" s="7"/>
      <c r="AS1197" s="7"/>
      <c r="AT1197" s="7"/>
      <c r="AU1197" s="7"/>
      <c r="AV1197" s="7"/>
      <c r="AW1197" s="7"/>
      <c r="AX1197" s="7"/>
      <c r="AY1197" s="7"/>
      <c r="AZ1197" s="7"/>
      <c r="BA1197" s="7"/>
      <c r="BB1197" s="7"/>
      <c r="BC1197" s="7"/>
      <c r="BD1197" s="7"/>
      <c r="BE1197" s="7"/>
      <c r="BF1197" s="7"/>
      <c r="BG1197" s="7"/>
      <c r="BH1197" s="7"/>
      <c r="BI1197" s="7"/>
      <c r="BJ1197" s="7"/>
      <c r="BK1197" s="7"/>
      <c r="BL1197" s="7"/>
      <c r="BM1197" s="7"/>
      <c r="BN1197" s="7"/>
      <c r="BO1197" s="7"/>
      <c r="BP1197" s="7"/>
      <c r="BQ1197" s="7"/>
      <c r="BR1197" s="7"/>
      <c r="BS1197" s="7"/>
      <c r="BT1197" s="7"/>
      <c r="BU1197" s="7"/>
      <c r="BV1197" s="7"/>
      <c r="BW1197" s="7"/>
      <c r="BX1197" s="7"/>
      <c r="BY1197" s="7"/>
      <c r="BZ1197" s="7"/>
      <c r="CA1197" s="7"/>
      <c r="CB1197" s="7"/>
      <c r="CC1197" s="7"/>
      <c r="CD1197" s="7"/>
      <c r="CE1197" s="7"/>
      <c r="CF1197" s="7"/>
      <c r="CG1197" s="7"/>
      <c r="CH1197" s="7"/>
      <c r="CI1197" s="7"/>
      <c r="CJ1197" s="7"/>
      <c r="CK1197" s="7"/>
      <c r="CL1197" s="7"/>
      <c r="CM1197" s="7"/>
      <c r="CN1197" s="7"/>
      <c r="CO1197" s="7"/>
      <c r="CP1197" s="7"/>
      <c r="CQ1197" s="7"/>
      <c r="CR1197" s="7"/>
      <c r="CS1197" s="7"/>
      <c r="CT1197" s="7"/>
      <c r="CU1197" s="7"/>
      <c r="CV1197" s="7"/>
      <c r="CW1197" s="7"/>
      <c r="CX1197" s="7"/>
      <c r="CY1197" s="7"/>
      <c r="CZ1197" s="7"/>
      <c r="DA1197" s="7"/>
      <c r="DB1197" s="7"/>
      <c r="DC1197" s="7"/>
      <c r="DD1197" s="7"/>
      <c r="DE1197" s="7"/>
      <c r="DF1197" s="7"/>
      <c r="DG1197" s="7"/>
      <c r="DH1197" s="7"/>
      <c r="DI1197" s="7"/>
      <c r="DJ1197" s="7"/>
      <c r="DK1197" s="7"/>
      <c r="DL1197" s="7"/>
      <c r="DM1197" s="7"/>
      <c r="DN1197" s="7"/>
      <c r="DO1197" s="7"/>
      <c r="DP1197" s="7"/>
      <c r="DQ1197" s="7"/>
      <c r="DR1197" s="7"/>
      <c r="DS1197" s="7"/>
      <c r="DT1197" s="7"/>
      <c r="DU1197" s="7"/>
      <c r="DV1197" s="7"/>
      <c r="DW1197" s="7"/>
      <c r="DX1197" s="7"/>
      <c r="DY1197" s="7"/>
      <c r="DZ1197" s="7"/>
      <c r="EA1197" s="7"/>
      <c r="EB1197" s="7"/>
      <c r="EC1197" s="7"/>
      <c r="ED1197" s="7"/>
      <c r="EE1197" s="7"/>
      <c r="EF1197" s="7"/>
      <c r="EG1197" s="7"/>
      <c r="EH1197" s="7"/>
      <c r="EI1197" s="7"/>
      <c r="EJ1197" s="7"/>
      <c r="EK1197" s="7"/>
      <c r="EL1197" s="7"/>
      <c r="EM1197" s="7"/>
      <c r="EN1197" s="7"/>
      <c r="EO1197" s="7"/>
      <c r="EP1197" s="7"/>
      <c r="EQ1197" s="7"/>
      <c r="ER1197" s="7"/>
      <c r="ES1197" s="7"/>
      <c r="ET1197" s="7"/>
      <c r="EU1197" s="7"/>
      <c r="EV1197" s="7"/>
      <c r="EW1197" s="7"/>
      <c r="EX1197" s="7"/>
      <c r="EY1197" s="7"/>
      <c r="EZ1197" s="7"/>
      <c r="FA1197" s="7"/>
      <c r="FB1197" s="7"/>
      <c r="FC1197" s="7"/>
      <c r="FD1197" s="7"/>
      <c r="FE1197" s="7"/>
      <c r="FF1197" s="7"/>
      <c r="FG1197" s="7"/>
      <c r="FH1197" s="7"/>
      <c r="FI1197" s="7"/>
      <c r="FJ1197" s="7"/>
      <c r="FK1197" s="7"/>
      <c r="FL1197" s="7"/>
      <c r="FM1197" s="7"/>
      <c r="FN1197" s="7"/>
      <c r="FO1197" s="7"/>
      <c r="FP1197" s="7"/>
      <c r="FQ1197" s="7"/>
      <c r="FR1197" s="7"/>
      <c r="FS1197" s="7"/>
      <c r="FT1197" s="7"/>
      <c r="FU1197" s="7"/>
      <c r="FV1197" s="7"/>
      <c r="FW1197" s="7"/>
      <c r="FX1197" s="7"/>
      <c r="FY1197" s="7"/>
      <c r="FZ1197" s="7"/>
      <c r="GA1197" s="7"/>
      <c r="GB1197" s="7"/>
      <c r="GC1197" s="7"/>
      <c r="GD1197" s="7"/>
      <c r="GE1197" s="7"/>
      <c r="GF1197" s="7"/>
      <c r="GG1197" s="7"/>
      <c r="GH1197" s="7"/>
      <c r="GI1197" s="7"/>
      <c r="GJ1197" s="7"/>
      <c r="GK1197" s="7"/>
      <c r="GL1197" s="7"/>
      <c r="GM1197" s="7"/>
      <c r="GN1197" s="7"/>
      <c r="GO1197" s="7"/>
      <c r="GP1197" s="7"/>
      <c r="GQ1197" s="7"/>
      <c r="GR1197" s="7"/>
      <c r="GS1197" s="7"/>
      <c r="GT1197" s="7"/>
      <c r="GU1197" s="7"/>
      <c r="GV1197" s="7"/>
      <c r="GW1197" s="7"/>
      <c r="GX1197" s="7"/>
      <c r="GY1197" s="7"/>
      <c r="GZ1197" s="7"/>
      <c r="HA1197" s="7"/>
      <c r="HB1197" s="7"/>
      <c r="HC1197" s="7"/>
      <c r="HD1197" s="7"/>
      <c r="HE1197" s="7"/>
      <c r="HF1197" s="7"/>
      <c r="HG1197" s="7"/>
      <c r="HH1197" s="7"/>
      <c r="HI1197" s="7"/>
      <c r="HJ1197" s="7"/>
      <c r="HK1197" s="7"/>
      <c r="HL1197" s="7"/>
      <c r="HM1197" s="7"/>
      <c r="HN1197" s="7"/>
      <c r="HO1197" s="7"/>
    </row>
    <row r="1198" spans="1:223" s="92" customFormat="1" ht="15.75" customHeight="1" x14ac:dyDescent="0.3">
      <c r="A1198" s="256">
        <v>1</v>
      </c>
      <c r="B1198" s="302">
        <v>4692</v>
      </c>
      <c r="C1198" s="259" t="s">
        <v>481</v>
      </c>
      <c r="D1198" s="262">
        <v>237.2</v>
      </c>
      <c r="E1198" s="262" t="s">
        <v>75</v>
      </c>
      <c r="F1198" s="265">
        <v>2</v>
      </c>
      <c r="G1198" s="256" t="s">
        <v>82</v>
      </c>
      <c r="H1198" s="159" t="s">
        <v>73</v>
      </c>
      <c r="I1198" s="158">
        <f>SUM(I1199:I1199)</f>
        <v>58588.4</v>
      </c>
      <c r="J1198" s="158">
        <f>SUM(J1199:J1199)</f>
        <v>247</v>
      </c>
      <c r="K1198" s="158">
        <f>SUM(K1199:K1199)</f>
        <v>247</v>
      </c>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c r="DI1198" s="8"/>
      <c r="DJ1198" s="8"/>
      <c r="DK1198" s="8"/>
      <c r="DL1198" s="8"/>
      <c r="DM1198" s="8"/>
      <c r="DN1198" s="8"/>
      <c r="DO1198" s="8"/>
      <c r="DP1198" s="8"/>
      <c r="DQ1198" s="8"/>
      <c r="DR1198" s="8"/>
      <c r="DS1198" s="8"/>
      <c r="DT1198" s="8"/>
      <c r="DU1198" s="8"/>
      <c r="DV1198" s="8"/>
      <c r="DW1198" s="8"/>
      <c r="DX1198" s="8"/>
      <c r="DY1198" s="8"/>
      <c r="DZ1198" s="8"/>
      <c r="EA1198" s="8"/>
      <c r="EB1198" s="8"/>
      <c r="EC1198" s="8"/>
      <c r="ED1198" s="8"/>
      <c r="EE1198" s="8"/>
      <c r="EF1198" s="8"/>
      <c r="EG1198" s="8"/>
      <c r="EH1198" s="8"/>
      <c r="EI1198" s="8"/>
      <c r="EJ1198" s="8"/>
      <c r="EK1198" s="8"/>
      <c r="EL1198" s="8"/>
      <c r="EM1198" s="8"/>
      <c r="EN1198" s="8"/>
      <c r="EO1198" s="8"/>
      <c r="EP1198" s="8"/>
      <c r="EQ1198" s="8"/>
      <c r="ER1198" s="8"/>
      <c r="ES1198" s="8"/>
      <c r="ET1198" s="8"/>
      <c r="EU1198" s="8"/>
      <c r="EV1198" s="8"/>
      <c r="EW1198" s="8"/>
      <c r="EX1198" s="8"/>
      <c r="EY1198" s="8"/>
      <c r="EZ1198" s="8"/>
      <c r="FA1198" s="8"/>
      <c r="FB1198" s="8"/>
      <c r="FC1198" s="8"/>
      <c r="FD1198" s="8"/>
      <c r="FE1198" s="8"/>
      <c r="FF1198" s="8"/>
      <c r="FG1198" s="8"/>
      <c r="FH1198" s="8"/>
      <c r="FI1198" s="8"/>
      <c r="FJ1198" s="8"/>
      <c r="FK1198" s="8"/>
      <c r="FL1198" s="8"/>
      <c r="FM1198" s="8"/>
      <c r="FN1198" s="8"/>
      <c r="FO1198" s="8"/>
      <c r="FP1198" s="8"/>
      <c r="FQ1198" s="8"/>
      <c r="FR1198" s="8"/>
      <c r="FS1198" s="8"/>
      <c r="FT1198" s="8"/>
      <c r="FU1198" s="8"/>
      <c r="FV1198" s="8"/>
      <c r="FW1198" s="8"/>
      <c r="FX1198" s="8"/>
      <c r="FY1198" s="8"/>
      <c r="FZ1198" s="8"/>
      <c r="GA1198" s="8"/>
      <c r="GB1198" s="8"/>
      <c r="GC1198" s="8"/>
      <c r="GD1198" s="8"/>
      <c r="GE1198" s="8"/>
      <c r="GF1198" s="8"/>
      <c r="GG1198" s="8"/>
      <c r="GH1198" s="8"/>
      <c r="GI1198" s="8"/>
      <c r="GJ1198" s="8"/>
      <c r="GK1198" s="8"/>
      <c r="GL1198" s="8"/>
      <c r="GM1198" s="8"/>
      <c r="GN1198" s="8"/>
      <c r="GO1198" s="8"/>
      <c r="GP1198" s="8"/>
      <c r="GQ1198" s="8"/>
      <c r="GR1198" s="8"/>
      <c r="GS1198" s="8"/>
      <c r="GT1198" s="8"/>
      <c r="GU1198" s="8"/>
      <c r="GV1198" s="8"/>
      <c r="GW1198" s="8"/>
      <c r="GX1198" s="8"/>
      <c r="GY1198" s="8"/>
      <c r="GZ1198" s="8"/>
      <c r="HA1198" s="8"/>
      <c r="HB1198" s="8"/>
      <c r="HC1198" s="8"/>
      <c r="HD1198" s="8"/>
      <c r="HE1198" s="8"/>
      <c r="HF1198" s="8"/>
      <c r="HG1198" s="8"/>
      <c r="HH1198" s="8"/>
      <c r="HI1198" s="8"/>
      <c r="HJ1198" s="8"/>
      <c r="HK1198" s="8"/>
      <c r="HL1198" s="8"/>
      <c r="HM1198" s="8"/>
      <c r="HN1198" s="8"/>
      <c r="HO1198" s="8"/>
    </row>
    <row r="1199" spans="1:223" s="92" customFormat="1" ht="31" x14ac:dyDescent="0.3">
      <c r="A1199" s="258">
        <v>5</v>
      </c>
      <c r="B1199" s="304"/>
      <c r="C1199" s="261"/>
      <c r="D1199" s="264"/>
      <c r="E1199" s="264"/>
      <c r="F1199" s="267"/>
      <c r="G1199" s="258"/>
      <c r="H1199" s="159" t="s">
        <v>666</v>
      </c>
      <c r="I1199" s="158">
        <f>D1198*K1199</f>
        <v>58588.4</v>
      </c>
      <c r="J1199" s="158">
        <f>I1199/D1198</f>
        <v>247</v>
      </c>
      <c r="K1199" s="158">
        <f>228+19</f>
        <v>247</v>
      </c>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c r="DI1199" s="8"/>
      <c r="DJ1199" s="8"/>
      <c r="DK1199" s="8"/>
      <c r="DL1199" s="8"/>
      <c r="DM1199" s="8"/>
      <c r="DN1199" s="8"/>
      <c r="DO1199" s="8"/>
      <c r="DP1199" s="8"/>
      <c r="DQ1199" s="8"/>
      <c r="DR1199" s="8"/>
      <c r="DS1199" s="8"/>
      <c r="DT1199" s="8"/>
      <c r="DU1199" s="8"/>
      <c r="DV1199" s="8"/>
      <c r="DW1199" s="8"/>
      <c r="DX1199" s="8"/>
      <c r="DY1199" s="8"/>
      <c r="DZ1199" s="8"/>
      <c r="EA1199" s="8"/>
      <c r="EB1199" s="8"/>
      <c r="EC1199" s="8"/>
      <c r="ED1199" s="8"/>
      <c r="EE1199" s="8"/>
      <c r="EF1199" s="8"/>
      <c r="EG1199" s="8"/>
      <c r="EH1199" s="8"/>
      <c r="EI1199" s="8"/>
      <c r="EJ1199" s="8"/>
      <c r="EK1199" s="8"/>
      <c r="EL1199" s="8"/>
      <c r="EM1199" s="8"/>
      <c r="EN1199" s="8"/>
      <c r="EO1199" s="8"/>
      <c r="EP1199" s="8"/>
      <c r="EQ1199" s="8"/>
      <c r="ER1199" s="8"/>
      <c r="ES1199" s="8"/>
      <c r="ET1199" s="8"/>
      <c r="EU1199" s="8"/>
      <c r="EV1199" s="8"/>
      <c r="EW1199" s="8"/>
      <c r="EX1199" s="8"/>
      <c r="EY1199" s="8"/>
      <c r="EZ1199" s="8"/>
      <c r="FA1199" s="8"/>
      <c r="FB1199" s="8"/>
      <c r="FC1199" s="8"/>
      <c r="FD1199" s="8"/>
      <c r="FE1199" s="8"/>
      <c r="FF1199" s="8"/>
      <c r="FG1199" s="8"/>
      <c r="FH1199" s="8"/>
      <c r="FI1199" s="8"/>
      <c r="FJ1199" s="8"/>
      <c r="FK1199" s="8"/>
      <c r="FL1199" s="8"/>
      <c r="FM1199" s="8"/>
      <c r="FN1199" s="8"/>
      <c r="FO1199" s="8"/>
      <c r="FP1199" s="8"/>
      <c r="FQ1199" s="8"/>
      <c r="FR1199" s="8"/>
      <c r="FS1199" s="8"/>
      <c r="FT1199" s="8"/>
      <c r="FU1199" s="8"/>
      <c r="FV1199" s="8"/>
      <c r="FW1199" s="8"/>
      <c r="FX1199" s="8"/>
      <c r="FY1199" s="8"/>
      <c r="FZ1199" s="8"/>
      <c r="GA1199" s="8"/>
      <c r="GB1199" s="8"/>
      <c r="GC1199" s="8"/>
      <c r="GD1199" s="8"/>
      <c r="GE1199" s="8"/>
      <c r="GF1199" s="8"/>
      <c r="GG1199" s="8"/>
      <c r="GH1199" s="8"/>
      <c r="GI1199" s="8"/>
      <c r="GJ1199" s="8"/>
      <c r="GK1199" s="8"/>
      <c r="GL1199" s="8"/>
      <c r="GM1199" s="8"/>
      <c r="GN1199" s="8"/>
      <c r="GO1199" s="8"/>
      <c r="GP1199" s="8"/>
      <c r="GQ1199" s="8"/>
      <c r="GR1199" s="8"/>
      <c r="GS1199" s="8"/>
      <c r="GT1199" s="8"/>
      <c r="GU1199" s="8"/>
      <c r="GV1199" s="8"/>
      <c r="GW1199" s="8"/>
      <c r="GX1199" s="8"/>
      <c r="GY1199" s="8"/>
      <c r="GZ1199" s="8"/>
      <c r="HA1199" s="8"/>
      <c r="HB1199" s="8"/>
      <c r="HC1199" s="8"/>
      <c r="HD1199" s="8"/>
      <c r="HE1199" s="8"/>
      <c r="HF1199" s="8"/>
      <c r="HG1199" s="8"/>
      <c r="HH1199" s="8"/>
      <c r="HI1199" s="8"/>
      <c r="HJ1199" s="8"/>
      <c r="HK1199" s="8"/>
      <c r="HL1199" s="8"/>
      <c r="HM1199" s="8"/>
      <c r="HN1199" s="8"/>
      <c r="HO1199" s="8"/>
    </row>
    <row r="1200" spans="1:223" s="92" customFormat="1" ht="15.75" customHeight="1" x14ac:dyDescent="0.3">
      <c r="A1200" s="256">
        <f>A1198+1</f>
        <v>2</v>
      </c>
      <c r="B1200" s="302">
        <v>4731</v>
      </c>
      <c r="C1200" s="259" t="s">
        <v>482</v>
      </c>
      <c r="D1200" s="262">
        <v>386.9</v>
      </c>
      <c r="E1200" s="262" t="s">
        <v>665</v>
      </c>
      <c r="F1200" s="265">
        <v>2</v>
      </c>
      <c r="G1200" s="256" t="s">
        <v>72</v>
      </c>
      <c r="H1200" s="159" t="s">
        <v>73</v>
      </c>
      <c r="I1200" s="158">
        <f>SUM(I1201:I1201)</f>
        <v>68481.3</v>
      </c>
      <c r="J1200" s="158">
        <f>SUM(J1201:J1201)</f>
        <v>177</v>
      </c>
      <c r="K1200" s="158">
        <f>SUM(K1201:K1201)</f>
        <v>177</v>
      </c>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c r="DI1200" s="8"/>
      <c r="DJ1200" s="8"/>
      <c r="DK1200" s="8"/>
      <c r="DL1200" s="8"/>
      <c r="DM1200" s="8"/>
      <c r="DN1200" s="8"/>
      <c r="DO1200" s="8"/>
      <c r="DP1200" s="8"/>
      <c r="DQ1200" s="8"/>
      <c r="DR1200" s="8"/>
      <c r="DS1200" s="8"/>
      <c r="DT1200" s="8"/>
      <c r="DU1200" s="8"/>
      <c r="DV1200" s="8"/>
      <c r="DW1200" s="8"/>
      <c r="DX1200" s="8"/>
      <c r="DY1200" s="8"/>
      <c r="DZ1200" s="8"/>
      <c r="EA1200" s="8"/>
      <c r="EB1200" s="8"/>
      <c r="EC1200" s="8"/>
      <c r="ED1200" s="8"/>
      <c r="EE1200" s="8"/>
      <c r="EF1200" s="8"/>
      <c r="EG1200" s="8"/>
      <c r="EH1200" s="8"/>
      <c r="EI1200" s="8"/>
      <c r="EJ1200" s="8"/>
      <c r="EK1200" s="8"/>
      <c r="EL1200" s="8"/>
      <c r="EM1200" s="8"/>
      <c r="EN1200" s="8"/>
      <c r="EO1200" s="8"/>
      <c r="EP1200" s="8"/>
      <c r="EQ1200" s="8"/>
      <c r="ER1200" s="8"/>
      <c r="ES1200" s="8"/>
      <c r="ET1200" s="8"/>
      <c r="EU1200" s="8"/>
      <c r="EV1200" s="8"/>
      <c r="EW1200" s="8"/>
      <c r="EX1200" s="8"/>
      <c r="EY1200" s="8"/>
      <c r="EZ1200" s="8"/>
      <c r="FA1200" s="8"/>
      <c r="FB1200" s="8"/>
      <c r="FC1200" s="8"/>
      <c r="FD1200" s="8"/>
      <c r="FE1200" s="8"/>
      <c r="FF1200" s="8"/>
      <c r="FG1200" s="8"/>
      <c r="FH1200" s="8"/>
      <c r="FI1200" s="8"/>
      <c r="FJ1200" s="8"/>
      <c r="FK1200" s="8"/>
      <c r="FL1200" s="8"/>
      <c r="FM1200" s="8"/>
      <c r="FN1200" s="8"/>
      <c r="FO1200" s="8"/>
      <c r="FP1200" s="8"/>
      <c r="FQ1200" s="8"/>
      <c r="FR1200" s="8"/>
      <c r="FS1200" s="8"/>
      <c r="FT1200" s="8"/>
      <c r="FU1200" s="8"/>
      <c r="FV1200" s="8"/>
      <c r="FW1200" s="8"/>
      <c r="FX1200" s="8"/>
      <c r="FY1200" s="8"/>
      <c r="FZ1200" s="8"/>
      <c r="GA1200" s="8"/>
      <c r="GB1200" s="8"/>
      <c r="GC1200" s="8"/>
      <c r="GD1200" s="8"/>
      <c r="GE1200" s="8"/>
      <c r="GF1200" s="8"/>
      <c r="GG1200" s="8"/>
      <c r="GH1200" s="8"/>
      <c r="GI1200" s="8"/>
      <c r="GJ1200" s="8"/>
      <c r="GK1200" s="8"/>
      <c r="GL1200" s="8"/>
      <c r="GM1200" s="8"/>
      <c r="GN1200" s="8"/>
      <c r="GO1200" s="8"/>
      <c r="GP1200" s="8"/>
      <c r="GQ1200" s="8"/>
      <c r="GR1200" s="8"/>
      <c r="GS1200" s="8"/>
      <c r="GT1200" s="8"/>
      <c r="GU1200" s="8"/>
      <c r="GV1200" s="8"/>
      <c r="GW1200" s="8"/>
      <c r="GX1200" s="8"/>
      <c r="GY1200" s="8"/>
      <c r="GZ1200" s="8"/>
      <c r="HA1200" s="8"/>
      <c r="HB1200" s="8"/>
      <c r="HC1200" s="8"/>
      <c r="HD1200" s="8"/>
      <c r="HE1200" s="8"/>
      <c r="HF1200" s="8"/>
      <c r="HG1200" s="8"/>
      <c r="HH1200" s="8"/>
      <c r="HI1200" s="8"/>
      <c r="HJ1200" s="8"/>
      <c r="HK1200" s="8"/>
      <c r="HL1200" s="8"/>
      <c r="HM1200" s="8"/>
      <c r="HN1200" s="8"/>
      <c r="HO1200" s="8"/>
    </row>
    <row r="1201" spans="1:223" s="92" customFormat="1" ht="48.75" customHeight="1" x14ac:dyDescent="0.3">
      <c r="A1201" s="258">
        <v>5</v>
      </c>
      <c r="B1201" s="304"/>
      <c r="C1201" s="261"/>
      <c r="D1201" s="264"/>
      <c r="E1201" s="264"/>
      <c r="F1201" s="267"/>
      <c r="G1201" s="258"/>
      <c r="H1201" s="159" t="s">
        <v>705</v>
      </c>
      <c r="I1201" s="158">
        <f>D1200*K1201</f>
        <v>68481.3</v>
      </c>
      <c r="J1201" s="158">
        <f>I1201/D1200</f>
        <v>177</v>
      </c>
      <c r="K1201" s="158">
        <f>163+14</f>
        <v>177</v>
      </c>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c r="DI1201" s="8"/>
      <c r="DJ1201" s="8"/>
      <c r="DK1201" s="8"/>
      <c r="DL1201" s="8"/>
      <c r="DM1201" s="8"/>
      <c r="DN1201" s="8"/>
      <c r="DO1201" s="8"/>
      <c r="DP1201" s="8"/>
      <c r="DQ1201" s="8"/>
      <c r="DR1201" s="8"/>
      <c r="DS1201" s="8"/>
      <c r="DT1201" s="8"/>
      <c r="DU1201" s="8"/>
      <c r="DV1201" s="8"/>
      <c r="DW1201" s="8"/>
      <c r="DX1201" s="8"/>
      <c r="DY1201" s="8"/>
      <c r="DZ1201" s="8"/>
      <c r="EA1201" s="8"/>
      <c r="EB1201" s="8"/>
      <c r="EC1201" s="8"/>
      <c r="ED1201" s="8"/>
      <c r="EE1201" s="8"/>
      <c r="EF1201" s="8"/>
      <c r="EG1201" s="8"/>
      <c r="EH1201" s="8"/>
      <c r="EI1201" s="8"/>
      <c r="EJ1201" s="8"/>
      <c r="EK1201" s="8"/>
      <c r="EL1201" s="8"/>
      <c r="EM1201" s="8"/>
      <c r="EN1201" s="8"/>
      <c r="EO1201" s="8"/>
      <c r="EP1201" s="8"/>
      <c r="EQ1201" s="8"/>
      <c r="ER1201" s="8"/>
      <c r="ES1201" s="8"/>
      <c r="ET1201" s="8"/>
      <c r="EU1201" s="8"/>
      <c r="EV1201" s="8"/>
      <c r="EW1201" s="8"/>
      <c r="EX1201" s="8"/>
      <c r="EY1201" s="8"/>
      <c r="EZ1201" s="8"/>
      <c r="FA1201" s="8"/>
      <c r="FB1201" s="8"/>
      <c r="FC1201" s="8"/>
      <c r="FD1201" s="8"/>
      <c r="FE1201" s="8"/>
      <c r="FF1201" s="8"/>
      <c r="FG1201" s="8"/>
      <c r="FH1201" s="8"/>
      <c r="FI1201" s="8"/>
      <c r="FJ1201" s="8"/>
      <c r="FK1201" s="8"/>
      <c r="FL1201" s="8"/>
      <c r="FM1201" s="8"/>
      <c r="FN1201" s="8"/>
      <c r="FO1201" s="8"/>
      <c r="FP1201" s="8"/>
      <c r="FQ1201" s="8"/>
      <c r="FR1201" s="8"/>
      <c r="FS1201" s="8"/>
      <c r="FT1201" s="8"/>
      <c r="FU1201" s="8"/>
      <c r="FV1201" s="8"/>
      <c r="FW1201" s="8"/>
      <c r="FX1201" s="8"/>
      <c r="FY1201" s="8"/>
      <c r="FZ1201" s="8"/>
      <c r="GA1201" s="8"/>
      <c r="GB1201" s="8"/>
      <c r="GC1201" s="8"/>
      <c r="GD1201" s="8"/>
      <c r="GE1201" s="8"/>
      <c r="GF1201" s="8"/>
      <c r="GG1201" s="8"/>
      <c r="GH1201" s="8"/>
      <c r="GI1201" s="8"/>
      <c r="GJ1201" s="8"/>
      <c r="GK1201" s="8"/>
      <c r="GL1201" s="8"/>
      <c r="GM1201" s="8"/>
      <c r="GN1201" s="8"/>
      <c r="GO1201" s="8"/>
      <c r="GP1201" s="8"/>
      <c r="GQ1201" s="8"/>
      <c r="GR1201" s="8"/>
      <c r="GS1201" s="8"/>
      <c r="GT1201" s="8"/>
      <c r="GU1201" s="8"/>
      <c r="GV1201" s="8"/>
      <c r="GW1201" s="8"/>
      <c r="GX1201" s="8"/>
      <c r="GY1201" s="8"/>
      <c r="GZ1201" s="8"/>
      <c r="HA1201" s="8"/>
      <c r="HB1201" s="8"/>
      <c r="HC1201" s="8"/>
      <c r="HD1201" s="8"/>
      <c r="HE1201" s="8"/>
      <c r="HF1201" s="8"/>
      <c r="HG1201" s="8"/>
      <c r="HH1201" s="8"/>
      <c r="HI1201" s="8"/>
      <c r="HJ1201" s="8"/>
      <c r="HK1201" s="8"/>
      <c r="HL1201" s="8"/>
      <c r="HM1201" s="8"/>
      <c r="HN1201" s="8"/>
      <c r="HO1201" s="8"/>
    </row>
    <row r="1202" spans="1:223" s="92" customFormat="1" ht="15.75" customHeight="1" x14ac:dyDescent="0.35">
      <c r="A1202" s="209" t="s">
        <v>33</v>
      </c>
      <c r="B1202" s="207"/>
      <c r="C1202" s="152"/>
      <c r="D1202" s="125">
        <f>D1203+D1205+D1207+D1211+D1214+D1216+D1221+D1224+D1226+D1228+D1230+D1233+D1209+D1219</f>
        <v>22714.89</v>
      </c>
      <c r="E1202" s="31"/>
      <c r="F1202" s="31"/>
      <c r="G1202" s="125"/>
      <c r="H1202" s="158"/>
      <c r="I1202" s="158">
        <f>I1203+I1205+I1207+I1211+I1214+I1216+I1221+I1224+I1226+I1228+I1230+I1233+I1209+I1219</f>
        <v>31106292.52</v>
      </c>
      <c r="J1202" s="158"/>
      <c r="K1202" s="158"/>
      <c r="L1202" s="9"/>
      <c r="M1202" s="9"/>
      <c r="N1202" s="9"/>
      <c r="O1202" s="9"/>
      <c r="P1202" s="9"/>
      <c r="Q1202" s="9"/>
      <c r="R1202" s="9"/>
      <c r="S1202" s="9"/>
      <c r="T1202" s="9"/>
      <c r="U1202" s="9"/>
      <c r="V1202" s="9"/>
      <c r="W1202" s="9"/>
      <c r="X1202" s="7"/>
      <c r="Y1202" s="7"/>
      <c r="Z1202" s="7"/>
      <c r="AA1202" s="7"/>
      <c r="AB1202" s="7"/>
      <c r="AC1202" s="7"/>
      <c r="AD1202" s="7"/>
      <c r="AE1202" s="7"/>
      <c r="AF1202" s="7"/>
      <c r="AG1202" s="7"/>
      <c r="AH1202" s="7"/>
      <c r="AI1202" s="7"/>
      <c r="AJ1202" s="7"/>
      <c r="AK1202" s="7"/>
      <c r="AL1202" s="7"/>
      <c r="AM1202" s="7"/>
      <c r="AN1202" s="7"/>
      <c r="AO1202" s="7"/>
      <c r="AP1202" s="7"/>
      <c r="AQ1202" s="7"/>
      <c r="AR1202" s="7"/>
      <c r="AS1202" s="7"/>
      <c r="AT1202" s="7"/>
      <c r="AU1202" s="7"/>
      <c r="AV1202" s="7"/>
      <c r="AW1202" s="7"/>
      <c r="AX1202" s="7"/>
      <c r="AY1202" s="7"/>
      <c r="AZ1202" s="7"/>
      <c r="BA1202" s="7"/>
      <c r="BB1202" s="7"/>
      <c r="BC1202" s="7"/>
      <c r="BD1202" s="7"/>
      <c r="BE1202" s="7"/>
      <c r="BF1202" s="7"/>
      <c r="BG1202" s="7"/>
      <c r="BH1202" s="7"/>
      <c r="BI1202" s="7"/>
      <c r="BJ1202" s="7"/>
      <c r="BK1202" s="7"/>
      <c r="BL1202" s="7"/>
      <c r="BM1202" s="7"/>
      <c r="BN1202" s="7"/>
      <c r="BO1202" s="7"/>
      <c r="BP1202" s="7"/>
      <c r="BQ1202" s="7"/>
      <c r="BR1202" s="7"/>
      <c r="BS1202" s="7"/>
      <c r="BT1202" s="7"/>
      <c r="BU1202" s="7"/>
      <c r="BV1202" s="7"/>
      <c r="BW1202" s="7"/>
      <c r="BX1202" s="7"/>
      <c r="BY1202" s="7"/>
      <c r="BZ1202" s="7"/>
      <c r="CA1202" s="7"/>
      <c r="CB1202" s="7"/>
      <c r="CC1202" s="7"/>
      <c r="CD1202" s="7"/>
      <c r="CE1202" s="7"/>
      <c r="CF1202" s="7"/>
      <c r="CG1202" s="7"/>
      <c r="CH1202" s="7"/>
      <c r="CI1202" s="7"/>
      <c r="CJ1202" s="7"/>
      <c r="CK1202" s="7"/>
      <c r="CL1202" s="7"/>
      <c r="CM1202" s="7"/>
      <c r="CN1202" s="7"/>
      <c r="CO1202" s="7"/>
      <c r="CP1202" s="7"/>
      <c r="CQ1202" s="7"/>
      <c r="CR1202" s="7"/>
      <c r="CS1202" s="7"/>
      <c r="CT1202" s="7"/>
      <c r="CU1202" s="7"/>
      <c r="CV1202" s="7"/>
      <c r="CW1202" s="7"/>
      <c r="CX1202" s="7"/>
      <c r="CY1202" s="7"/>
      <c r="CZ1202" s="7"/>
      <c r="DA1202" s="7"/>
      <c r="DB1202" s="7"/>
      <c r="DC1202" s="7"/>
      <c r="DD1202" s="7"/>
      <c r="DE1202" s="7"/>
      <c r="DF1202" s="7"/>
      <c r="DG1202" s="7"/>
      <c r="DH1202" s="7"/>
      <c r="DI1202" s="7"/>
      <c r="DJ1202" s="7"/>
      <c r="DK1202" s="7"/>
      <c r="DL1202" s="7"/>
      <c r="DM1202" s="7"/>
      <c r="DN1202" s="7"/>
      <c r="DO1202" s="7"/>
      <c r="DP1202" s="7"/>
      <c r="DQ1202" s="7"/>
      <c r="DR1202" s="7"/>
      <c r="DS1202" s="7"/>
      <c r="DT1202" s="7"/>
      <c r="DU1202" s="7"/>
      <c r="DV1202" s="7"/>
      <c r="DW1202" s="7"/>
      <c r="DX1202" s="7"/>
      <c r="DY1202" s="7"/>
      <c r="DZ1202" s="7"/>
      <c r="EA1202" s="7"/>
      <c r="EB1202" s="7"/>
      <c r="EC1202" s="7"/>
      <c r="ED1202" s="7"/>
      <c r="EE1202" s="7"/>
      <c r="EF1202" s="7"/>
      <c r="EG1202" s="7"/>
      <c r="EH1202" s="7"/>
      <c r="EI1202" s="7"/>
      <c r="EJ1202" s="7"/>
      <c r="EK1202" s="7"/>
      <c r="EL1202" s="7"/>
      <c r="EM1202" s="7"/>
      <c r="EN1202" s="7"/>
      <c r="EO1202" s="7"/>
      <c r="EP1202" s="7"/>
      <c r="EQ1202" s="7"/>
      <c r="ER1202" s="7"/>
      <c r="ES1202" s="7"/>
      <c r="ET1202" s="7"/>
      <c r="EU1202" s="7"/>
      <c r="EV1202" s="7"/>
      <c r="EW1202" s="7"/>
      <c r="EX1202" s="7"/>
      <c r="EY1202" s="7"/>
      <c r="EZ1202" s="7"/>
      <c r="FA1202" s="7"/>
      <c r="FB1202" s="7"/>
      <c r="FC1202" s="7"/>
      <c r="FD1202" s="7"/>
      <c r="FE1202" s="7"/>
      <c r="FF1202" s="7"/>
      <c r="FG1202" s="7"/>
      <c r="FH1202" s="7"/>
      <c r="FI1202" s="7"/>
      <c r="FJ1202" s="7"/>
      <c r="FK1202" s="7"/>
      <c r="FL1202" s="7"/>
      <c r="FM1202" s="7"/>
      <c r="FN1202" s="7"/>
      <c r="FO1202" s="7"/>
      <c r="FP1202" s="7"/>
      <c r="FQ1202" s="7"/>
      <c r="FR1202" s="7"/>
      <c r="FS1202" s="7"/>
      <c r="FT1202" s="7"/>
      <c r="FU1202" s="7"/>
      <c r="FV1202" s="7"/>
      <c r="FW1202" s="7"/>
      <c r="FX1202" s="7"/>
      <c r="FY1202" s="7"/>
      <c r="FZ1202" s="7"/>
      <c r="GA1202" s="7"/>
      <c r="GB1202" s="7"/>
      <c r="GC1202" s="7"/>
      <c r="GD1202" s="7"/>
      <c r="GE1202" s="7"/>
      <c r="GF1202" s="7"/>
      <c r="GG1202" s="7"/>
      <c r="GH1202" s="7"/>
      <c r="GI1202" s="7"/>
      <c r="GJ1202" s="7"/>
      <c r="GK1202" s="7"/>
      <c r="GL1202" s="7"/>
      <c r="GM1202" s="7"/>
      <c r="GN1202" s="7"/>
      <c r="GO1202" s="7"/>
      <c r="GP1202" s="7"/>
      <c r="GQ1202" s="7"/>
      <c r="GR1202" s="7"/>
      <c r="GS1202" s="7"/>
      <c r="GT1202" s="7"/>
      <c r="GU1202" s="7"/>
      <c r="GV1202" s="7"/>
      <c r="GW1202" s="7"/>
      <c r="GX1202" s="7"/>
      <c r="GY1202" s="7"/>
      <c r="GZ1202" s="7"/>
      <c r="HA1202" s="7"/>
      <c r="HB1202" s="7"/>
      <c r="HC1202" s="7"/>
      <c r="HD1202" s="7"/>
      <c r="HE1202" s="7"/>
      <c r="HF1202" s="7"/>
      <c r="HG1202" s="7"/>
      <c r="HH1202" s="7"/>
      <c r="HI1202" s="7"/>
      <c r="HJ1202" s="7"/>
      <c r="HK1202" s="7"/>
      <c r="HL1202" s="7"/>
      <c r="HM1202" s="7"/>
      <c r="HN1202" s="7"/>
      <c r="HO1202" s="7"/>
    </row>
    <row r="1203" spans="1:223" s="1" customFormat="1" ht="15.75" customHeight="1" x14ac:dyDescent="0.3">
      <c r="A1203" s="256">
        <v>1</v>
      </c>
      <c r="B1203" s="313">
        <v>4526</v>
      </c>
      <c r="C1203" s="259" t="s">
        <v>483</v>
      </c>
      <c r="D1203" s="262">
        <v>732</v>
      </c>
      <c r="E1203" s="262" t="s">
        <v>75</v>
      </c>
      <c r="F1203" s="265">
        <v>2</v>
      </c>
      <c r="G1203" s="256" t="s">
        <v>72</v>
      </c>
      <c r="H1203" s="159" t="s">
        <v>73</v>
      </c>
      <c r="I1203" s="158">
        <f>SUM(I1204:I1204)</f>
        <v>120048</v>
      </c>
      <c r="J1203" s="158">
        <f>SUM(J1204:J1204)</f>
        <v>164</v>
      </c>
      <c r="K1203" s="158">
        <f>SUM(K1204:K1204)</f>
        <v>164</v>
      </c>
    </row>
    <row r="1204" spans="1:223" s="1" customFormat="1" ht="46.5" x14ac:dyDescent="0.3">
      <c r="A1204" s="258"/>
      <c r="B1204" s="314"/>
      <c r="C1204" s="261"/>
      <c r="D1204" s="264"/>
      <c r="E1204" s="264"/>
      <c r="F1204" s="267"/>
      <c r="G1204" s="258"/>
      <c r="H1204" s="159" t="s">
        <v>705</v>
      </c>
      <c r="I1204" s="158">
        <f>K1204*D1203</f>
        <v>120048</v>
      </c>
      <c r="J1204" s="158">
        <f>I1204/D1203</f>
        <v>164</v>
      </c>
      <c r="K1204" s="158">
        <f>151+13</f>
        <v>164</v>
      </c>
    </row>
    <row r="1205" spans="1:223" s="1" customFormat="1" ht="15.75" customHeight="1" x14ac:dyDescent="0.3">
      <c r="A1205" s="256">
        <f>A1203+1</f>
        <v>2</v>
      </c>
      <c r="B1205" s="313">
        <v>4516</v>
      </c>
      <c r="C1205" s="259" t="s">
        <v>716</v>
      </c>
      <c r="D1205" s="262">
        <v>704.7</v>
      </c>
      <c r="E1205" s="262" t="s">
        <v>75</v>
      </c>
      <c r="F1205" s="265">
        <v>2</v>
      </c>
      <c r="G1205" s="256" t="s">
        <v>72</v>
      </c>
      <c r="H1205" s="159" t="s">
        <v>73</v>
      </c>
      <c r="I1205" s="158">
        <f>SUM(I1206:I1206)</f>
        <v>115570.8</v>
      </c>
      <c r="J1205" s="158">
        <f>SUM(J1206:J1206)</f>
        <v>164</v>
      </c>
      <c r="K1205" s="158">
        <f>SUM(K1206:K1206)</f>
        <v>164</v>
      </c>
    </row>
    <row r="1206" spans="1:223" s="1" customFormat="1" ht="46.5" x14ac:dyDescent="0.3">
      <c r="A1206" s="258"/>
      <c r="B1206" s="314"/>
      <c r="C1206" s="261"/>
      <c r="D1206" s="264"/>
      <c r="E1206" s="264"/>
      <c r="F1206" s="267"/>
      <c r="G1206" s="258"/>
      <c r="H1206" s="159" t="s">
        <v>705</v>
      </c>
      <c r="I1206" s="158">
        <f>K1206*D1205</f>
        <v>115570.8</v>
      </c>
      <c r="J1206" s="158">
        <f>I1206/D1205</f>
        <v>164</v>
      </c>
      <c r="K1206" s="158">
        <f>151+13</f>
        <v>164</v>
      </c>
    </row>
    <row r="1207" spans="1:223" s="1" customFormat="1" ht="15.75" customHeight="1" x14ac:dyDescent="0.3">
      <c r="A1207" s="256">
        <f>A1205+1</f>
        <v>3</v>
      </c>
      <c r="B1207" s="313">
        <v>4598</v>
      </c>
      <c r="C1207" s="259" t="s">
        <v>485</v>
      </c>
      <c r="D1207" s="262">
        <v>726.63</v>
      </c>
      <c r="E1207" s="262" t="s">
        <v>665</v>
      </c>
      <c r="F1207" s="265">
        <v>2</v>
      </c>
      <c r="G1207" s="256" t="s">
        <v>72</v>
      </c>
      <c r="H1207" s="159" t="s">
        <v>73</v>
      </c>
      <c r="I1207" s="158">
        <f>SUM(I1208:I1208)</f>
        <v>129340.14</v>
      </c>
      <c r="J1207" s="158">
        <f>SUM(J1208:J1208)</f>
        <v>178</v>
      </c>
      <c r="K1207" s="158">
        <f>SUM(K1208:K1208)</f>
        <v>178</v>
      </c>
    </row>
    <row r="1208" spans="1:223" s="1" customFormat="1" ht="46.5" x14ac:dyDescent="0.3">
      <c r="A1208" s="258"/>
      <c r="B1208" s="314"/>
      <c r="C1208" s="261"/>
      <c r="D1208" s="264"/>
      <c r="E1208" s="264"/>
      <c r="F1208" s="267"/>
      <c r="G1208" s="258"/>
      <c r="H1208" s="159" t="s">
        <v>705</v>
      </c>
      <c r="I1208" s="158">
        <f>K1208*D1207</f>
        <v>129340.14</v>
      </c>
      <c r="J1208" s="158">
        <f>I1208/D1207</f>
        <v>178</v>
      </c>
      <c r="K1208" s="158">
        <f>164+14</f>
        <v>178</v>
      </c>
    </row>
    <row r="1209" spans="1:223" s="1" customFormat="1" ht="15.75" customHeight="1" x14ac:dyDescent="0.3">
      <c r="A1209" s="256">
        <f>A1207+1</f>
        <v>4</v>
      </c>
      <c r="B1209" s="313">
        <v>4429</v>
      </c>
      <c r="C1209" s="259" t="s">
        <v>734</v>
      </c>
      <c r="D1209" s="262">
        <v>2632.73</v>
      </c>
      <c r="E1209" s="262" t="s">
        <v>75</v>
      </c>
      <c r="F1209" s="265">
        <v>5</v>
      </c>
      <c r="G1209" s="256" t="s">
        <v>72</v>
      </c>
      <c r="H1209" s="159" t="s">
        <v>73</v>
      </c>
      <c r="I1209" s="158">
        <f>SUM(I1210:I1210)</f>
        <v>431767.72</v>
      </c>
      <c r="J1209" s="158">
        <f>SUM(J1210:J1210)</f>
        <v>164</v>
      </c>
      <c r="K1209" s="158">
        <f>SUM(K1210:K1210)</f>
        <v>164</v>
      </c>
    </row>
    <row r="1210" spans="1:223" s="1" customFormat="1" ht="46.5" x14ac:dyDescent="0.3">
      <c r="A1210" s="258"/>
      <c r="B1210" s="314"/>
      <c r="C1210" s="261"/>
      <c r="D1210" s="264"/>
      <c r="E1210" s="264"/>
      <c r="F1210" s="267"/>
      <c r="G1210" s="258"/>
      <c r="H1210" s="159" t="s">
        <v>705</v>
      </c>
      <c r="I1210" s="158">
        <f>K1210*D1209</f>
        <v>431767.72</v>
      </c>
      <c r="J1210" s="158">
        <f>I1210/D1209</f>
        <v>164</v>
      </c>
      <c r="K1210" s="158">
        <f>151+13</f>
        <v>164</v>
      </c>
    </row>
    <row r="1211" spans="1:223" s="1" customFormat="1" ht="15.75" customHeight="1" x14ac:dyDescent="0.3">
      <c r="A1211" s="256">
        <f>A1209+1</f>
        <v>5</v>
      </c>
      <c r="B1211" s="313">
        <v>4560</v>
      </c>
      <c r="C1211" s="259" t="s">
        <v>162</v>
      </c>
      <c r="D1211" s="262">
        <v>1535.88</v>
      </c>
      <c r="E1211" s="262" t="s">
        <v>75</v>
      </c>
      <c r="F1211" s="265">
        <v>3</v>
      </c>
      <c r="G1211" s="256" t="s">
        <v>72</v>
      </c>
      <c r="H1211" s="159" t="s">
        <v>73</v>
      </c>
      <c r="I1211" s="158">
        <f>I1212+I1213</f>
        <v>5128764.08</v>
      </c>
      <c r="J1211" s="158">
        <f>J1212+J1213</f>
        <v>3339.3</v>
      </c>
      <c r="K1211" s="158">
        <f>K1212+K1213</f>
        <v>4728</v>
      </c>
    </row>
    <row r="1212" spans="1:223" s="1" customFormat="1" x14ac:dyDescent="0.3">
      <c r="A1212" s="257">
        <v>29</v>
      </c>
      <c r="B1212" s="314"/>
      <c r="C1212" s="260"/>
      <c r="D1212" s="263"/>
      <c r="E1212" s="263"/>
      <c r="F1212" s="266"/>
      <c r="G1212" s="257"/>
      <c r="H1212" s="159" t="s">
        <v>667</v>
      </c>
      <c r="I1212" s="158">
        <f>D1211*K1212*0.7</f>
        <v>4976711.96</v>
      </c>
      <c r="J1212" s="158">
        <f>I1212/D1211</f>
        <v>3240.3</v>
      </c>
      <c r="K1212" s="158">
        <v>4629</v>
      </c>
    </row>
    <row r="1213" spans="1:223" s="1" customFormat="1" x14ac:dyDescent="0.3">
      <c r="A1213" s="258">
        <v>30</v>
      </c>
      <c r="B1213" s="314"/>
      <c r="C1213" s="261"/>
      <c r="D1213" s="264"/>
      <c r="E1213" s="264"/>
      <c r="F1213" s="267"/>
      <c r="G1213" s="258"/>
      <c r="H1213" s="159" t="s">
        <v>76</v>
      </c>
      <c r="I1213" s="158">
        <f>D1211*K1213</f>
        <v>152052.12</v>
      </c>
      <c r="J1213" s="158">
        <f>I1213/D1211</f>
        <v>99</v>
      </c>
      <c r="K1213" s="158">
        <v>99</v>
      </c>
    </row>
    <row r="1214" spans="1:223" s="1" customFormat="1" ht="15.75" customHeight="1" x14ac:dyDescent="0.3">
      <c r="A1214" s="256">
        <f>A1211+1</f>
        <v>6</v>
      </c>
      <c r="B1214" s="313">
        <v>4561</v>
      </c>
      <c r="C1214" s="259" t="s">
        <v>717</v>
      </c>
      <c r="D1214" s="262">
        <v>1380.66</v>
      </c>
      <c r="E1214" s="262" t="s">
        <v>75</v>
      </c>
      <c r="F1214" s="265">
        <v>3</v>
      </c>
      <c r="G1214" s="256" t="s">
        <v>72</v>
      </c>
      <c r="H1214" s="159" t="s">
        <v>73</v>
      </c>
      <c r="I1214" s="158">
        <f>SUM(I1215:I1215)</f>
        <v>226428.24</v>
      </c>
      <c r="J1214" s="158">
        <f>SUM(J1215:J1215)</f>
        <v>164</v>
      </c>
      <c r="K1214" s="158">
        <f>SUM(K1215:K1215)</f>
        <v>164</v>
      </c>
    </row>
    <row r="1215" spans="1:223" s="1" customFormat="1" ht="46.5" x14ac:dyDescent="0.3">
      <c r="A1215" s="257"/>
      <c r="B1215" s="314"/>
      <c r="C1215" s="260"/>
      <c r="D1215" s="263"/>
      <c r="E1215" s="263"/>
      <c r="F1215" s="266"/>
      <c r="G1215" s="257"/>
      <c r="H1215" s="159" t="s">
        <v>705</v>
      </c>
      <c r="I1215" s="158">
        <f>K1215*D1214</f>
        <v>226428.24</v>
      </c>
      <c r="J1215" s="158">
        <f>I1215/D1214</f>
        <v>164</v>
      </c>
      <c r="K1215" s="158">
        <f>151+13</f>
        <v>164</v>
      </c>
    </row>
    <row r="1216" spans="1:223" s="1" customFormat="1" ht="15.75" customHeight="1" x14ac:dyDescent="0.3">
      <c r="A1216" s="256">
        <f>A1214+1</f>
        <v>7</v>
      </c>
      <c r="B1216" s="302">
        <v>4569</v>
      </c>
      <c r="C1216" s="259" t="s">
        <v>718</v>
      </c>
      <c r="D1216" s="262">
        <v>4033.01</v>
      </c>
      <c r="E1216" s="262" t="s">
        <v>75</v>
      </c>
      <c r="F1216" s="265">
        <v>5</v>
      </c>
      <c r="G1216" s="256" t="s">
        <v>72</v>
      </c>
      <c r="H1216" s="159" t="s">
        <v>73</v>
      </c>
      <c r="I1216" s="158">
        <f>I1217+I1218</f>
        <v>11417451.310000001</v>
      </c>
      <c r="J1216" s="158">
        <f>J1217+J1218</f>
        <v>2831</v>
      </c>
      <c r="K1216" s="158">
        <f>K1217+K1218</f>
        <v>2831</v>
      </c>
    </row>
    <row r="1217" spans="1:11" s="1" customFormat="1" x14ac:dyDescent="0.3">
      <c r="A1217" s="257">
        <v>29</v>
      </c>
      <c r="B1217" s="303"/>
      <c r="C1217" s="260"/>
      <c r="D1217" s="263"/>
      <c r="E1217" s="263"/>
      <c r="F1217" s="266"/>
      <c r="G1217" s="257"/>
      <c r="H1217" s="159" t="s">
        <v>74</v>
      </c>
      <c r="I1217" s="158">
        <f>K1217*D1216</f>
        <v>11179503.720000001</v>
      </c>
      <c r="J1217" s="158">
        <f>I1217/D1216</f>
        <v>2772</v>
      </c>
      <c r="K1217" s="158">
        <v>2772</v>
      </c>
    </row>
    <row r="1218" spans="1:11" s="1" customFormat="1" x14ac:dyDescent="0.3">
      <c r="A1218" s="258">
        <v>30</v>
      </c>
      <c r="B1218" s="304"/>
      <c r="C1218" s="261"/>
      <c r="D1218" s="264"/>
      <c r="E1218" s="264"/>
      <c r="F1218" s="267"/>
      <c r="G1218" s="258"/>
      <c r="H1218" s="159" t="s">
        <v>76</v>
      </c>
      <c r="I1218" s="158">
        <f>K1218*D1216</f>
        <v>237947.59</v>
      </c>
      <c r="J1218" s="158">
        <f>I1218/D1216</f>
        <v>59</v>
      </c>
      <c r="K1218" s="158">
        <v>59</v>
      </c>
    </row>
    <row r="1219" spans="1:11" s="1" customFormat="1" ht="15.75" customHeight="1" x14ac:dyDescent="0.3">
      <c r="A1219" s="256">
        <f>A1216+1</f>
        <v>8</v>
      </c>
      <c r="B1219" s="313">
        <v>4563</v>
      </c>
      <c r="C1219" s="259" t="s">
        <v>735</v>
      </c>
      <c r="D1219" s="262">
        <v>4353.01</v>
      </c>
      <c r="E1219" s="262" t="s">
        <v>75</v>
      </c>
      <c r="F1219" s="265">
        <v>5</v>
      </c>
      <c r="G1219" s="256" t="s">
        <v>72</v>
      </c>
      <c r="H1219" s="159" t="s">
        <v>73</v>
      </c>
      <c r="I1219" s="158">
        <f>SUM(I1220:I1220)</f>
        <v>713893.64</v>
      </c>
      <c r="J1219" s="158">
        <f>SUM(J1220:J1220)</f>
        <v>164</v>
      </c>
      <c r="K1219" s="158">
        <f>SUM(K1220:K1220)</f>
        <v>164</v>
      </c>
    </row>
    <row r="1220" spans="1:11" s="1" customFormat="1" ht="46.5" x14ac:dyDescent="0.3">
      <c r="A1220" s="258"/>
      <c r="B1220" s="314"/>
      <c r="C1220" s="261"/>
      <c r="D1220" s="264"/>
      <c r="E1220" s="264"/>
      <c r="F1220" s="267"/>
      <c r="G1220" s="258"/>
      <c r="H1220" s="159" t="s">
        <v>705</v>
      </c>
      <c r="I1220" s="158">
        <f>K1220*D1219</f>
        <v>713893.64</v>
      </c>
      <c r="J1220" s="158">
        <f>I1220/D1219</f>
        <v>164</v>
      </c>
      <c r="K1220" s="158">
        <f>151+13</f>
        <v>164</v>
      </c>
    </row>
    <row r="1221" spans="1:11" s="1" customFormat="1" ht="15.75" customHeight="1" x14ac:dyDescent="0.3">
      <c r="A1221" s="256">
        <f>A1219+1</f>
        <v>9</v>
      </c>
      <c r="B1221" s="302">
        <v>4433</v>
      </c>
      <c r="C1221" s="259" t="s">
        <v>669</v>
      </c>
      <c r="D1221" s="262">
        <v>493.5</v>
      </c>
      <c r="E1221" s="262" t="s">
        <v>665</v>
      </c>
      <c r="F1221" s="265">
        <v>2</v>
      </c>
      <c r="G1221" s="149"/>
      <c r="H1221" s="159" t="s">
        <v>73</v>
      </c>
      <c r="I1221" s="158">
        <f>I1222+I1223</f>
        <v>1412890.5</v>
      </c>
      <c r="J1221" s="158">
        <f>J1222+J1223</f>
        <v>2863</v>
      </c>
      <c r="K1221" s="158">
        <f>K1222+K1223</f>
        <v>2863</v>
      </c>
    </row>
    <row r="1222" spans="1:11" s="1" customFormat="1" ht="15.75" customHeight="1" x14ac:dyDescent="0.3">
      <c r="A1222" s="257"/>
      <c r="B1222" s="303"/>
      <c r="C1222" s="260"/>
      <c r="D1222" s="263"/>
      <c r="E1222" s="263"/>
      <c r="F1222" s="266"/>
      <c r="G1222" s="256" t="s">
        <v>109</v>
      </c>
      <c r="H1222" s="159" t="s">
        <v>74</v>
      </c>
      <c r="I1222" s="158">
        <f>D1221*K1222</f>
        <v>1383280.5</v>
      </c>
      <c r="J1222" s="158">
        <f>I1222/D1221</f>
        <v>2803</v>
      </c>
      <c r="K1222" s="158">
        <v>2803</v>
      </c>
    </row>
    <row r="1223" spans="1:11" s="1" customFormat="1" ht="113.25" customHeight="1" x14ac:dyDescent="0.3">
      <c r="A1223" s="258">
        <v>30</v>
      </c>
      <c r="B1223" s="304"/>
      <c r="C1223" s="261"/>
      <c r="D1223" s="264"/>
      <c r="E1223" s="264"/>
      <c r="F1223" s="267"/>
      <c r="G1223" s="258"/>
      <c r="H1223" s="159" t="s">
        <v>76</v>
      </c>
      <c r="I1223" s="158">
        <f>D1221*K1223</f>
        <v>29610</v>
      </c>
      <c r="J1223" s="158">
        <f>I1223/D1221</f>
        <v>60</v>
      </c>
      <c r="K1223" s="158">
        <v>60</v>
      </c>
    </row>
    <row r="1224" spans="1:11" s="1" customFormat="1" ht="15.75" customHeight="1" x14ac:dyDescent="0.3">
      <c r="A1224" s="256">
        <f>A1221+1</f>
        <v>10</v>
      </c>
      <c r="B1224" s="313">
        <v>4478</v>
      </c>
      <c r="C1224" s="259" t="s">
        <v>489</v>
      </c>
      <c r="D1224" s="262">
        <v>2933.1</v>
      </c>
      <c r="E1224" s="262" t="s">
        <v>71</v>
      </c>
      <c r="F1224" s="265">
        <v>5</v>
      </c>
      <c r="G1224" s="256" t="s">
        <v>85</v>
      </c>
      <c r="H1224" s="159" t="s">
        <v>73</v>
      </c>
      <c r="I1224" s="158">
        <f>SUM(I1225:I1225)</f>
        <v>129056.4</v>
      </c>
      <c r="J1224" s="158">
        <f>SUM(J1225:J1225)</f>
        <v>44</v>
      </c>
      <c r="K1224" s="158">
        <f>SUM(K1225:K1225)</f>
        <v>44</v>
      </c>
    </row>
    <row r="1225" spans="1:11" s="1" customFormat="1" ht="46.5" x14ac:dyDescent="0.3">
      <c r="A1225" s="257"/>
      <c r="B1225" s="314"/>
      <c r="C1225" s="260"/>
      <c r="D1225" s="263"/>
      <c r="E1225" s="263"/>
      <c r="F1225" s="266"/>
      <c r="G1225" s="257"/>
      <c r="H1225" s="159" t="s">
        <v>705</v>
      </c>
      <c r="I1225" s="158">
        <f>K1225*D1224</f>
        <v>129056.4</v>
      </c>
      <c r="J1225" s="158">
        <f>I1225/D1224</f>
        <v>44</v>
      </c>
      <c r="K1225" s="158">
        <f>41+3</f>
        <v>44</v>
      </c>
    </row>
    <row r="1226" spans="1:11" s="1" customFormat="1" ht="15.75" customHeight="1" x14ac:dyDescent="0.3">
      <c r="A1226" s="256">
        <f>A1224+1</f>
        <v>11</v>
      </c>
      <c r="B1226" s="313">
        <v>4444</v>
      </c>
      <c r="C1226" s="259" t="s">
        <v>490</v>
      </c>
      <c r="D1226" s="262">
        <v>725.1</v>
      </c>
      <c r="E1226" s="262" t="s">
        <v>75</v>
      </c>
      <c r="F1226" s="265">
        <v>2</v>
      </c>
      <c r="G1226" s="256" t="s">
        <v>72</v>
      </c>
      <c r="H1226" s="159" t="s">
        <v>73</v>
      </c>
      <c r="I1226" s="158">
        <f>SUM(I1227:I1227)</f>
        <v>118916.4</v>
      </c>
      <c r="J1226" s="158">
        <f>SUM(J1227:J1227)</f>
        <v>164</v>
      </c>
      <c r="K1226" s="158">
        <f>SUM(K1227:K1227)</f>
        <v>164</v>
      </c>
    </row>
    <row r="1227" spans="1:11" s="1" customFormat="1" ht="46.5" x14ac:dyDescent="0.3">
      <c r="A1227" s="257"/>
      <c r="B1227" s="314"/>
      <c r="C1227" s="260"/>
      <c r="D1227" s="263"/>
      <c r="E1227" s="263"/>
      <c r="F1227" s="266"/>
      <c r="G1227" s="257"/>
      <c r="H1227" s="159" t="s">
        <v>705</v>
      </c>
      <c r="I1227" s="158">
        <f>K1227*D1226</f>
        <v>118916.4</v>
      </c>
      <c r="J1227" s="158">
        <f>I1227/D1226</f>
        <v>164</v>
      </c>
      <c r="K1227" s="158">
        <f>151+13</f>
        <v>164</v>
      </c>
    </row>
    <row r="1228" spans="1:11" s="1" customFormat="1" ht="15.75" customHeight="1" x14ac:dyDescent="0.3">
      <c r="A1228" s="256">
        <f>A1226+1</f>
        <v>12</v>
      </c>
      <c r="B1228" s="313">
        <v>4536</v>
      </c>
      <c r="C1228" s="259" t="s">
        <v>491</v>
      </c>
      <c r="D1228" s="262">
        <v>851.15</v>
      </c>
      <c r="E1228" s="262" t="s">
        <v>75</v>
      </c>
      <c r="F1228" s="265">
        <v>2</v>
      </c>
      <c r="G1228" s="256" t="s">
        <v>72</v>
      </c>
      <c r="H1228" s="159" t="s">
        <v>73</v>
      </c>
      <c r="I1228" s="158">
        <f>I1229</f>
        <v>139588.6</v>
      </c>
      <c r="J1228" s="158">
        <f>J1229</f>
        <v>164</v>
      </c>
      <c r="K1228" s="158">
        <f>K1229</f>
        <v>164</v>
      </c>
    </row>
    <row r="1229" spans="1:11" s="1" customFormat="1" ht="46.5" x14ac:dyDescent="0.3">
      <c r="A1229" s="257"/>
      <c r="B1229" s="314"/>
      <c r="C1229" s="260"/>
      <c r="D1229" s="263"/>
      <c r="E1229" s="263"/>
      <c r="F1229" s="266"/>
      <c r="G1229" s="257"/>
      <c r="H1229" s="159" t="s">
        <v>705</v>
      </c>
      <c r="I1229" s="158">
        <f>D1228*K1229</f>
        <v>139588.6</v>
      </c>
      <c r="J1229" s="158">
        <f>I1229/D1228</f>
        <v>164</v>
      </c>
      <c r="K1229" s="158">
        <f>151+13</f>
        <v>164</v>
      </c>
    </row>
    <row r="1230" spans="1:11" s="1" customFormat="1" ht="15.75" customHeight="1" x14ac:dyDescent="0.3">
      <c r="A1230" s="256">
        <f>A1228+1</f>
        <v>13</v>
      </c>
      <c r="B1230" s="313">
        <v>4540</v>
      </c>
      <c r="C1230" s="259" t="s">
        <v>171</v>
      </c>
      <c r="D1230" s="262">
        <v>892.04</v>
      </c>
      <c r="E1230" s="262" t="s">
        <v>75</v>
      </c>
      <c r="F1230" s="265">
        <v>2</v>
      </c>
      <c r="G1230" s="256" t="s">
        <v>72</v>
      </c>
      <c r="H1230" s="159" t="s">
        <v>73</v>
      </c>
      <c r="I1230" s="158">
        <f>SUM(I1231:I1232)</f>
        <v>4451814.82</v>
      </c>
      <c r="J1230" s="158">
        <f>J1231+J1232</f>
        <v>4990.6000000000004</v>
      </c>
      <c r="K1230" s="158">
        <f>K1231+K1232</f>
        <v>7066</v>
      </c>
    </row>
    <row r="1231" spans="1:11" s="1" customFormat="1" x14ac:dyDescent="0.3">
      <c r="A1231" s="257">
        <v>29</v>
      </c>
      <c r="B1231" s="314"/>
      <c r="C1231" s="260"/>
      <c r="D1231" s="263"/>
      <c r="E1231" s="263"/>
      <c r="F1231" s="266"/>
      <c r="G1231" s="257"/>
      <c r="H1231" s="159" t="s">
        <v>667</v>
      </c>
      <c r="I1231" s="158">
        <f>D1230*K1231*0.7</f>
        <v>4319792.9000000004</v>
      </c>
      <c r="J1231" s="158">
        <f>I1231/D1230</f>
        <v>4842.6000000000004</v>
      </c>
      <c r="K1231" s="158">
        <v>6918</v>
      </c>
    </row>
    <row r="1232" spans="1:11" s="1" customFormat="1" x14ac:dyDescent="0.3">
      <c r="A1232" s="258">
        <v>30</v>
      </c>
      <c r="B1232" s="314"/>
      <c r="C1232" s="261"/>
      <c r="D1232" s="264"/>
      <c r="E1232" s="264"/>
      <c r="F1232" s="267"/>
      <c r="G1232" s="258"/>
      <c r="H1232" s="159" t="s">
        <v>76</v>
      </c>
      <c r="I1232" s="158">
        <f>D1230*K1232</f>
        <v>132021.92000000001</v>
      </c>
      <c r="J1232" s="158">
        <f>I1232/D1230</f>
        <v>148</v>
      </c>
      <c r="K1232" s="158">
        <v>148</v>
      </c>
    </row>
    <row r="1233" spans="1:223" s="1" customFormat="1" ht="15.75" customHeight="1" x14ac:dyDescent="0.3">
      <c r="A1233" s="256">
        <f>A1230+1</f>
        <v>14</v>
      </c>
      <c r="B1233" s="313">
        <v>4641</v>
      </c>
      <c r="C1233" s="252" t="s">
        <v>173</v>
      </c>
      <c r="D1233" s="262">
        <v>721.38</v>
      </c>
      <c r="E1233" s="262" t="s">
        <v>75</v>
      </c>
      <c r="F1233" s="265">
        <v>2</v>
      </c>
      <c r="G1233" s="256" t="s">
        <v>72</v>
      </c>
      <c r="H1233" s="159" t="s">
        <v>73</v>
      </c>
      <c r="I1233" s="158">
        <f>SUM(I1234:I1241)</f>
        <v>6570761.8700000001</v>
      </c>
      <c r="J1233" s="158">
        <f>SUM(J1234:J1241)</f>
        <v>9108.6</v>
      </c>
      <c r="K1233" s="158">
        <f>SUM(K1234:K1241)</f>
        <v>11184</v>
      </c>
    </row>
    <row r="1234" spans="1:223" s="1" customFormat="1" x14ac:dyDescent="0.3">
      <c r="A1234" s="257"/>
      <c r="B1234" s="314"/>
      <c r="C1234" s="252"/>
      <c r="D1234" s="263"/>
      <c r="E1234" s="263"/>
      <c r="F1234" s="266"/>
      <c r="G1234" s="257"/>
      <c r="H1234" s="159" t="s">
        <v>667</v>
      </c>
      <c r="I1234" s="158">
        <f>K1234*D1233*0.7</f>
        <v>3493354.79</v>
      </c>
      <c r="J1234" s="158">
        <f>I1234/D1233</f>
        <v>4842.6000000000004</v>
      </c>
      <c r="K1234" s="158">
        <v>6918</v>
      </c>
    </row>
    <row r="1235" spans="1:223" s="1" customFormat="1" x14ac:dyDescent="0.3">
      <c r="A1235" s="257"/>
      <c r="B1235" s="314"/>
      <c r="C1235" s="252"/>
      <c r="D1235" s="263"/>
      <c r="E1235" s="263"/>
      <c r="F1235" s="266"/>
      <c r="G1235" s="258"/>
      <c r="H1235" s="159" t="s">
        <v>76</v>
      </c>
      <c r="I1235" s="158">
        <f>K1235*D1233</f>
        <v>106764.24</v>
      </c>
      <c r="J1235" s="158">
        <f>I1235/D1233</f>
        <v>148</v>
      </c>
      <c r="K1235" s="158">
        <v>148</v>
      </c>
    </row>
    <row r="1236" spans="1:223" s="1" customFormat="1" ht="31" x14ac:dyDescent="0.3">
      <c r="A1236" s="257"/>
      <c r="B1236" s="314"/>
      <c r="C1236" s="252"/>
      <c r="D1236" s="263"/>
      <c r="E1236" s="263"/>
      <c r="F1236" s="266"/>
      <c r="G1236" s="256" t="s">
        <v>77</v>
      </c>
      <c r="H1236" s="159" t="s">
        <v>666</v>
      </c>
      <c r="I1236" s="158">
        <f>D1233*K1236</f>
        <v>84401.46</v>
      </c>
      <c r="J1236" s="158">
        <f>I1236/D1233</f>
        <v>117</v>
      </c>
      <c r="K1236" s="158">
        <f>108+9</f>
        <v>117</v>
      </c>
    </row>
    <row r="1237" spans="1:223" s="1" customFormat="1" ht="15.75" customHeight="1" x14ac:dyDescent="0.3">
      <c r="A1237" s="257"/>
      <c r="B1237" s="314"/>
      <c r="C1237" s="252"/>
      <c r="D1237" s="263"/>
      <c r="E1237" s="263"/>
      <c r="F1237" s="266"/>
      <c r="G1237" s="257"/>
      <c r="H1237" s="159" t="s">
        <v>74</v>
      </c>
      <c r="I1237" s="158">
        <f>D1233*K1237</f>
        <v>1941233.58</v>
      </c>
      <c r="J1237" s="158">
        <f>I1237/D1233</f>
        <v>2691</v>
      </c>
      <c r="K1237" s="158">
        <v>2691</v>
      </c>
    </row>
    <row r="1238" spans="1:223" s="1" customFormat="1" x14ac:dyDescent="0.3">
      <c r="A1238" s="257"/>
      <c r="B1238" s="314"/>
      <c r="C1238" s="252"/>
      <c r="D1238" s="263"/>
      <c r="E1238" s="263"/>
      <c r="F1238" s="266"/>
      <c r="G1238" s="258"/>
      <c r="H1238" s="159" t="s">
        <v>76</v>
      </c>
      <c r="I1238" s="158">
        <f>D1233*K1238</f>
        <v>41840.04</v>
      </c>
      <c r="J1238" s="158">
        <f>I1238/D1233</f>
        <v>58</v>
      </c>
      <c r="K1238" s="158">
        <v>58</v>
      </c>
    </row>
    <row r="1239" spans="1:223" s="1" customFormat="1" ht="31.5" customHeight="1" x14ac:dyDescent="0.3">
      <c r="A1239" s="257"/>
      <c r="B1239" s="314"/>
      <c r="C1239" s="252"/>
      <c r="D1239" s="263"/>
      <c r="E1239" s="263"/>
      <c r="F1239" s="266"/>
      <c r="G1239" s="256" t="s">
        <v>719</v>
      </c>
      <c r="H1239" s="179" t="s">
        <v>666</v>
      </c>
      <c r="I1239" s="158">
        <f>D1233*K1239</f>
        <v>36790.379999999997</v>
      </c>
      <c r="J1239" s="158">
        <f>I1239/D1233</f>
        <v>51</v>
      </c>
      <c r="K1239" s="158">
        <v>51</v>
      </c>
    </row>
    <row r="1240" spans="1:223" s="1" customFormat="1" ht="15.75" customHeight="1" x14ac:dyDescent="0.3">
      <c r="A1240" s="257"/>
      <c r="B1240" s="314"/>
      <c r="C1240" s="252"/>
      <c r="D1240" s="263"/>
      <c r="E1240" s="263"/>
      <c r="F1240" s="266"/>
      <c r="G1240" s="257"/>
      <c r="H1240" s="159" t="s">
        <v>688</v>
      </c>
      <c r="I1240" s="158">
        <f>D1233*K1240</f>
        <v>848342.88</v>
      </c>
      <c r="J1240" s="158">
        <f>I1240/D1233</f>
        <v>1176</v>
      </c>
      <c r="K1240" s="158">
        <v>1176</v>
      </c>
    </row>
    <row r="1241" spans="1:223" s="1" customFormat="1" ht="30.75" customHeight="1" x14ac:dyDescent="0.3">
      <c r="A1241" s="258"/>
      <c r="B1241" s="326"/>
      <c r="C1241" s="252"/>
      <c r="D1241" s="264"/>
      <c r="E1241" s="264"/>
      <c r="F1241" s="267"/>
      <c r="G1241" s="258"/>
      <c r="H1241" s="159" t="s">
        <v>76</v>
      </c>
      <c r="I1241" s="158">
        <f>D1233*K1241</f>
        <v>18034.5</v>
      </c>
      <c r="J1241" s="158">
        <f>I1241/D1233</f>
        <v>25</v>
      </c>
      <c r="K1241" s="158">
        <v>25</v>
      </c>
    </row>
    <row r="1242" spans="1:223" s="92" customFormat="1" ht="15.75" customHeight="1" x14ac:dyDescent="0.35">
      <c r="A1242" s="209" t="s">
        <v>35</v>
      </c>
      <c r="B1242" s="207"/>
      <c r="C1242" s="152"/>
      <c r="D1242" s="125">
        <f>D1243</f>
        <v>329.1</v>
      </c>
      <c r="E1242" s="122"/>
      <c r="F1242" s="122"/>
      <c r="G1242" s="125"/>
      <c r="H1242" s="158"/>
      <c r="I1242" s="158">
        <f>I1243</f>
        <v>2481084.9</v>
      </c>
      <c r="J1242" s="158"/>
      <c r="K1242" s="158"/>
      <c r="L1242" s="9"/>
      <c r="M1242" s="9"/>
      <c r="N1242" s="9"/>
      <c r="O1242" s="9"/>
      <c r="P1242" s="9"/>
      <c r="Q1242" s="9"/>
      <c r="R1242" s="9"/>
      <c r="S1242" s="9"/>
      <c r="T1242" s="9"/>
      <c r="U1242" s="9"/>
      <c r="V1242" s="9"/>
      <c r="W1242" s="9"/>
      <c r="X1242" s="7"/>
      <c r="Y1242" s="7"/>
      <c r="Z1242" s="7"/>
      <c r="AA1242" s="7"/>
      <c r="AB1242" s="7"/>
      <c r="AC1242" s="7"/>
      <c r="AD1242" s="7"/>
      <c r="AE1242" s="7"/>
      <c r="AF1242" s="7"/>
      <c r="AG1242" s="7"/>
      <c r="AH1242" s="7"/>
      <c r="AI1242" s="7"/>
      <c r="AJ1242" s="7"/>
      <c r="AK1242" s="7"/>
      <c r="AL1242" s="7"/>
      <c r="AM1242" s="7"/>
      <c r="AN1242" s="7"/>
      <c r="AO1242" s="7"/>
      <c r="AP1242" s="7"/>
      <c r="AQ1242" s="7"/>
      <c r="AR1242" s="7"/>
      <c r="AS1242" s="7"/>
      <c r="AT1242" s="7"/>
      <c r="AU1242" s="7"/>
      <c r="AV1242" s="7"/>
      <c r="AW1242" s="7"/>
      <c r="AX1242" s="7"/>
      <c r="AY1242" s="7"/>
      <c r="AZ1242" s="7"/>
      <c r="BA1242" s="7"/>
      <c r="BB1242" s="7"/>
      <c r="BC1242" s="7"/>
      <c r="BD1242" s="7"/>
      <c r="BE1242" s="7"/>
      <c r="BF1242" s="7"/>
      <c r="BG1242" s="7"/>
      <c r="BH1242" s="7"/>
      <c r="BI1242" s="7"/>
      <c r="BJ1242" s="7"/>
      <c r="BK1242" s="7"/>
      <c r="BL1242" s="7"/>
      <c r="BM1242" s="7"/>
      <c r="BN1242" s="7"/>
      <c r="BO1242" s="7"/>
      <c r="BP1242" s="7"/>
      <c r="BQ1242" s="7"/>
      <c r="BR1242" s="7"/>
      <c r="BS1242" s="7"/>
      <c r="BT1242" s="7"/>
      <c r="BU1242" s="7"/>
      <c r="BV1242" s="7"/>
      <c r="BW1242" s="7"/>
      <c r="BX1242" s="7"/>
      <c r="BY1242" s="7"/>
      <c r="BZ1242" s="7"/>
      <c r="CA1242" s="7"/>
      <c r="CB1242" s="7"/>
      <c r="CC1242" s="7"/>
      <c r="CD1242" s="7"/>
      <c r="CE1242" s="7"/>
      <c r="CF1242" s="7"/>
      <c r="CG1242" s="7"/>
      <c r="CH1242" s="7"/>
      <c r="CI1242" s="7"/>
      <c r="CJ1242" s="7"/>
      <c r="CK1242" s="7"/>
      <c r="CL1242" s="7"/>
      <c r="CM1242" s="7"/>
      <c r="CN1242" s="7"/>
      <c r="CO1242" s="7"/>
      <c r="CP1242" s="7"/>
      <c r="CQ1242" s="7"/>
      <c r="CR1242" s="7"/>
      <c r="CS1242" s="7"/>
      <c r="CT1242" s="7"/>
      <c r="CU1242" s="7"/>
      <c r="CV1242" s="7"/>
      <c r="CW1242" s="7"/>
      <c r="CX1242" s="7"/>
      <c r="CY1242" s="7"/>
      <c r="CZ1242" s="7"/>
      <c r="DA1242" s="7"/>
      <c r="DB1242" s="7"/>
      <c r="DC1242" s="7"/>
      <c r="DD1242" s="7"/>
      <c r="DE1242" s="7"/>
      <c r="DF1242" s="7"/>
      <c r="DG1242" s="7"/>
      <c r="DH1242" s="7"/>
      <c r="DI1242" s="7"/>
      <c r="DJ1242" s="7"/>
      <c r="DK1242" s="7"/>
      <c r="DL1242" s="7"/>
      <c r="DM1242" s="7"/>
      <c r="DN1242" s="7"/>
      <c r="DO1242" s="7"/>
      <c r="DP1242" s="7"/>
      <c r="DQ1242" s="7"/>
      <c r="DR1242" s="7"/>
      <c r="DS1242" s="7"/>
      <c r="DT1242" s="7"/>
      <c r="DU1242" s="7"/>
      <c r="DV1242" s="7"/>
      <c r="DW1242" s="7"/>
      <c r="DX1242" s="7"/>
      <c r="DY1242" s="7"/>
      <c r="DZ1242" s="7"/>
      <c r="EA1242" s="7"/>
      <c r="EB1242" s="7"/>
      <c r="EC1242" s="7"/>
      <c r="ED1242" s="7"/>
      <c r="EE1242" s="7"/>
      <c r="EF1242" s="7"/>
      <c r="EG1242" s="7"/>
      <c r="EH1242" s="7"/>
      <c r="EI1242" s="7"/>
      <c r="EJ1242" s="7"/>
      <c r="EK1242" s="7"/>
      <c r="EL1242" s="7"/>
      <c r="EM1242" s="7"/>
      <c r="EN1242" s="7"/>
      <c r="EO1242" s="7"/>
      <c r="EP1242" s="7"/>
      <c r="EQ1242" s="7"/>
      <c r="ER1242" s="7"/>
      <c r="ES1242" s="7"/>
      <c r="ET1242" s="7"/>
      <c r="EU1242" s="7"/>
      <c r="EV1242" s="7"/>
      <c r="EW1242" s="7"/>
      <c r="EX1242" s="7"/>
      <c r="EY1242" s="7"/>
      <c r="EZ1242" s="7"/>
      <c r="FA1242" s="7"/>
      <c r="FB1242" s="7"/>
      <c r="FC1242" s="7"/>
      <c r="FD1242" s="7"/>
      <c r="FE1242" s="7"/>
      <c r="FF1242" s="7"/>
      <c r="FG1242" s="7"/>
      <c r="FH1242" s="7"/>
      <c r="FI1242" s="7"/>
      <c r="FJ1242" s="7"/>
      <c r="FK1242" s="7"/>
      <c r="FL1242" s="7"/>
      <c r="FM1242" s="7"/>
      <c r="FN1242" s="7"/>
      <c r="FO1242" s="7"/>
      <c r="FP1242" s="7"/>
      <c r="FQ1242" s="7"/>
      <c r="FR1242" s="7"/>
      <c r="FS1242" s="7"/>
      <c r="FT1242" s="7"/>
      <c r="FU1242" s="7"/>
      <c r="FV1242" s="7"/>
      <c r="FW1242" s="7"/>
      <c r="FX1242" s="7"/>
      <c r="FY1242" s="7"/>
      <c r="FZ1242" s="7"/>
      <c r="GA1242" s="7"/>
      <c r="GB1242" s="7"/>
      <c r="GC1242" s="7"/>
      <c r="GD1242" s="7"/>
      <c r="GE1242" s="7"/>
      <c r="GF1242" s="7"/>
      <c r="GG1242" s="7"/>
      <c r="GH1242" s="7"/>
      <c r="GI1242" s="7"/>
      <c r="GJ1242" s="7"/>
      <c r="GK1242" s="7"/>
      <c r="GL1242" s="7"/>
      <c r="GM1242" s="7"/>
      <c r="GN1242" s="7"/>
      <c r="GO1242" s="7"/>
      <c r="GP1242" s="7"/>
      <c r="GQ1242" s="7"/>
      <c r="GR1242" s="7"/>
      <c r="GS1242" s="7"/>
      <c r="GT1242" s="7"/>
      <c r="GU1242" s="7"/>
      <c r="GV1242" s="7"/>
      <c r="GW1242" s="7"/>
      <c r="GX1242" s="7"/>
      <c r="GY1242" s="7"/>
      <c r="GZ1242" s="7"/>
      <c r="HA1242" s="7"/>
      <c r="HB1242" s="7"/>
      <c r="HC1242" s="7"/>
      <c r="HD1242" s="7"/>
      <c r="HE1242" s="7"/>
      <c r="HF1242" s="7"/>
      <c r="HG1242" s="7"/>
      <c r="HH1242" s="7"/>
      <c r="HI1242" s="7"/>
      <c r="HJ1242" s="7"/>
      <c r="HK1242" s="7"/>
      <c r="HL1242" s="7"/>
      <c r="HM1242" s="7"/>
      <c r="HN1242" s="7"/>
      <c r="HO1242" s="7"/>
    </row>
    <row r="1243" spans="1:223" s="93" customFormat="1" ht="15.75" customHeight="1" x14ac:dyDescent="0.35">
      <c r="A1243" s="256">
        <v>1</v>
      </c>
      <c r="B1243" s="302">
        <v>6680</v>
      </c>
      <c r="C1243" s="259" t="s">
        <v>174</v>
      </c>
      <c r="D1243" s="262">
        <v>329.1</v>
      </c>
      <c r="E1243" s="265" t="s">
        <v>665</v>
      </c>
      <c r="F1243" s="265">
        <v>2</v>
      </c>
      <c r="G1243" s="256" t="s">
        <v>72</v>
      </c>
      <c r="H1243" s="159" t="s">
        <v>73</v>
      </c>
      <c r="I1243" s="158">
        <f>I1244+I1245</f>
        <v>2481084.9</v>
      </c>
      <c r="J1243" s="158">
        <f>J1244+J1245</f>
        <v>7539</v>
      </c>
      <c r="K1243" s="158">
        <f>K1244+K1245</f>
        <v>7539</v>
      </c>
      <c r="L1243" s="9"/>
      <c r="M1243" s="9"/>
      <c r="N1243" s="9"/>
      <c r="O1243" s="9"/>
      <c r="P1243" s="9"/>
      <c r="Q1243" s="9"/>
      <c r="R1243" s="9"/>
      <c r="S1243" s="9"/>
      <c r="T1243" s="9"/>
      <c r="U1243" s="9"/>
      <c r="V1243" s="9"/>
      <c r="W1243" s="9"/>
      <c r="X1243" s="7"/>
      <c r="Y1243" s="7"/>
      <c r="Z1243" s="7"/>
      <c r="AA1243" s="7"/>
      <c r="AB1243" s="7"/>
      <c r="AC1243" s="7"/>
      <c r="AD1243" s="7"/>
      <c r="AE1243" s="7"/>
      <c r="AF1243" s="7"/>
      <c r="AG1243" s="7"/>
      <c r="AH1243" s="7"/>
      <c r="AI1243" s="7"/>
      <c r="AJ1243" s="7"/>
      <c r="AK1243" s="7"/>
      <c r="AL1243" s="7"/>
      <c r="AM1243" s="7"/>
      <c r="AN1243" s="7"/>
      <c r="AO1243" s="7"/>
      <c r="AP1243" s="7"/>
      <c r="AQ1243" s="7"/>
      <c r="AR1243" s="7"/>
      <c r="AS1243" s="7"/>
      <c r="AT1243" s="7"/>
      <c r="AU1243" s="7"/>
      <c r="AV1243" s="7"/>
      <c r="AW1243" s="7"/>
      <c r="AX1243" s="7"/>
      <c r="AY1243" s="7"/>
      <c r="AZ1243" s="7"/>
      <c r="BA1243" s="7"/>
      <c r="BB1243" s="7"/>
      <c r="BC1243" s="7"/>
      <c r="BD1243" s="7"/>
      <c r="BE1243" s="7"/>
      <c r="BF1243" s="7"/>
      <c r="BG1243" s="7"/>
      <c r="BH1243" s="7"/>
      <c r="BI1243" s="7"/>
      <c r="BJ1243" s="7"/>
      <c r="BK1243" s="7"/>
      <c r="BL1243" s="7"/>
      <c r="BM1243" s="7"/>
      <c r="BN1243" s="7"/>
      <c r="BO1243" s="7"/>
      <c r="BP1243" s="7"/>
      <c r="BQ1243" s="7"/>
      <c r="BR1243" s="7"/>
      <c r="BS1243" s="7"/>
      <c r="BT1243" s="7"/>
      <c r="BU1243" s="7"/>
      <c r="BV1243" s="7"/>
      <c r="BW1243" s="7"/>
      <c r="BX1243" s="7"/>
      <c r="BY1243" s="7"/>
      <c r="BZ1243" s="7"/>
      <c r="CA1243" s="7"/>
      <c r="CB1243" s="7"/>
      <c r="CC1243" s="7"/>
      <c r="CD1243" s="7"/>
      <c r="CE1243" s="7"/>
      <c r="CF1243" s="7"/>
      <c r="CG1243" s="7"/>
      <c r="CH1243" s="7"/>
      <c r="CI1243" s="7"/>
      <c r="CJ1243" s="7"/>
      <c r="CK1243" s="7"/>
      <c r="CL1243" s="7"/>
      <c r="CM1243" s="7"/>
      <c r="CN1243" s="7"/>
      <c r="CO1243" s="7"/>
      <c r="CP1243" s="7"/>
      <c r="CQ1243" s="7"/>
      <c r="CR1243" s="7"/>
      <c r="CS1243" s="7"/>
      <c r="CT1243" s="7"/>
      <c r="CU1243" s="7"/>
      <c r="CV1243" s="7"/>
      <c r="CW1243" s="7"/>
      <c r="CX1243" s="7"/>
      <c r="CY1243" s="7"/>
      <c r="CZ1243" s="7"/>
      <c r="DA1243" s="7"/>
      <c r="DB1243" s="7"/>
      <c r="DC1243" s="7"/>
      <c r="DD1243" s="7"/>
      <c r="DE1243" s="7"/>
      <c r="DF1243" s="7"/>
      <c r="DG1243" s="7"/>
      <c r="DH1243" s="7"/>
      <c r="DI1243" s="7"/>
      <c r="DJ1243" s="7"/>
      <c r="DK1243" s="7"/>
      <c r="DL1243" s="7"/>
      <c r="DM1243" s="7"/>
      <c r="DN1243" s="7"/>
      <c r="DO1243" s="7"/>
      <c r="DP1243" s="7"/>
      <c r="DQ1243" s="7"/>
      <c r="DR1243" s="7"/>
      <c r="DS1243" s="7"/>
      <c r="DT1243" s="7"/>
      <c r="DU1243" s="7"/>
      <c r="DV1243" s="7"/>
      <c r="DW1243" s="7"/>
      <c r="DX1243" s="7"/>
      <c r="DY1243" s="7"/>
      <c r="DZ1243" s="7"/>
      <c r="EA1243" s="7"/>
      <c r="EB1243" s="7"/>
      <c r="EC1243" s="7"/>
      <c r="ED1243" s="7"/>
      <c r="EE1243" s="7"/>
      <c r="EF1243" s="7"/>
      <c r="EG1243" s="7"/>
      <c r="EH1243" s="7"/>
      <c r="EI1243" s="7"/>
      <c r="EJ1243" s="7"/>
      <c r="EK1243" s="7"/>
      <c r="EL1243" s="7"/>
      <c r="EM1243" s="7"/>
      <c r="EN1243" s="7"/>
      <c r="EO1243" s="7"/>
      <c r="EP1243" s="7"/>
      <c r="EQ1243" s="7"/>
      <c r="ER1243" s="7"/>
      <c r="ES1243" s="7"/>
      <c r="ET1243" s="7"/>
      <c r="EU1243" s="7"/>
      <c r="EV1243" s="7"/>
      <c r="EW1243" s="7"/>
      <c r="EX1243" s="7"/>
      <c r="EY1243" s="7"/>
      <c r="EZ1243" s="7"/>
      <c r="FA1243" s="7"/>
      <c r="FB1243" s="7"/>
      <c r="FC1243" s="7"/>
      <c r="FD1243" s="7"/>
      <c r="FE1243" s="7"/>
      <c r="FF1243" s="7"/>
      <c r="FG1243" s="7"/>
      <c r="FH1243" s="7"/>
      <c r="FI1243" s="7"/>
      <c r="FJ1243" s="7"/>
      <c r="FK1243" s="7"/>
      <c r="FL1243" s="7"/>
      <c r="FM1243" s="7"/>
      <c r="FN1243" s="7"/>
      <c r="FO1243" s="7"/>
      <c r="FP1243" s="7"/>
      <c r="FQ1243" s="7"/>
      <c r="FR1243" s="7"/>
      <c r="FS1243" s="7"/>
      <c r="FT1243" s="7"/>
      <c r="FU1243" s="7"/>
      <c r="FV1243" s="7"/>
      <c r="FW1243" s="7"/>
      <c r="FX1243" s="7"/>
      <c r="FY1243" s="7"/>
      <c r="FZ1243" s="7"/>
      <c r="GA1243" s="7"/>
      <c r="GB1243" s="7"/>
      <c r="GC1243" s="7"/>
      <c r="GD1243" s="7"/>
      <c r="GE1243" s="7"/>
      <c r="GF1243" s="7"/>
      <c r="GG1243" s="7"/>
      <c r="GH1243" s="7"/>
      <c r="GI1243" s="7"/>
      <c r="GJ1243" s="7"/>
      <c r="GK1243" s="7"/>
      <c r="GL1243" s="7"/>
      <c r="GM1243" s="7"/>
      <c r="GN1243" s="7"/>
      <c r="GO1243" s="7"/>
      <c r="GP1243" s="7"/>
      <c r="GQ1243" s="7"/>
      <c r="GR1243" s="7"/>
      <c r="GS1243" s="7"/>
      <c r="GT1243" s="7"/>
      <c r="GU1243" s="7"/>
      <c r="GV1243" s="7"/>
      <c r="GW1243" s="7"/>
      <c r="GX1243" s="7"/>
      <c r="GY1243" s="7"/>
      <c r="GZ1243" s="7"/>
      <c r="HA1243" s="7"/>
      <c r="HB1243" s="7"/>
      <c r="HC1243" s="7"/>
      <c r="HD1243" s="7"/>
      <c r="HE1243" s="7"/>
      <c r="HF1243" s="7"/>
      <c r="HG1243" s="7"/>
      <c r="HH1243" s="7"/>
      <c r="HI1243" s="7"/>
      <c r="HJ1243" s="7"/>
      <c r="HK1243" s="7"/>
      <c r="HL1243" s="7"/>
      <c r="HM1243" s="7"/>
      <c r="HN1243" s="7"/>
      <c r="HO1243" s="7"/>
    </row>
    <row r="1244" spans="1:223" s="93" customFormat="1" x14ac:dyDescent="0.35">
      <c r="A1244" s="257">
        <v>55</v>
      </c>
      <c r="B1244" s="303"/>
      <c r="C1244" s="260"/>
      <c r="D1244" s="263"/>
      <c r="E1244" s="266"/>
      <c r="F1244" s="266"/>
      <c r="G1244" s="257"/>
      <c r="H1244" s="159" t="s">
        <v>667</v>
      </c>
      <c r="I1244" s="158">
        <f>K1244*D1243</f>
        <v>2429087.1</v>
      </c>
      <c r="J1244" s="158">
        <f>I1244/D1243</f>
        <v>7381</v>
      </c>
      <c r="K1244" s="158">
        <v>7381</v>
      </c>
      <c r="L1244" s="9"/>
      <c r="M1244" s="9"/>
      <c r="N1244" s="9"/>
      <c r="O1244" s="9"/>
      <c r="P1244" s="9"/>
      <c r="Q1244" s="9"/>
      <c r="R1244" s="9"/>
      <c r="S1244" s="9"/>
      <c r="T1244" s="9"/>
      <c r="U1244" s="9"/>
      <c r="V1244" s="9"/>
      <c r="W1244" s="9"/>
      <c r="X1244" s="7"/>
      <c r="Y1244" s="7"/>
      <c r="Z1244" s="7"/>
      <c r="AA1244" s="7"/>
      <c r="AB1244" s="7"/>
      <c r="AC1244" s="7"/>
      <c r="AD1244" s="7"/>
      <c r="AE1244" s="7"/>
      <c r="AF1244" s="7"/>
      <c r="AG1244" s="7"/>
      <c r="AH1244" s="7"/>
      <c r="AI1244" s="7"/>
      <c r="AJ1244" s="7"/>
      <c r="AK1244" s="7"/>
      <c r="AL1244" s="7"/>
      <c r="AM1244" s="7"/>
      <c r="AN1244" s="7"/>
      <c r="AO1244" s="7"/>
      <c r="AP1244" s="7"/>
      <c r="AQ1244" s="7"/>
      <c r="AR1244" s="7"/>
      <c r="AS1244" s="7"/>
      <c r="AT1244" s="7"/>
      <c r="AU1244" s="7"/>
      <c r="AV1244" s="7"/>
      <c r="AW1244" s="7"/>
      <c r="AX1244" s="7"/>
      <c r="AY1244" s="7"/>
      <c r="AZ1244" s="7"/>
      <c r="BA1244" s="7"/>
      <c r="BB1244" s="7"/>
      <c r="BC1244" s="7"/>
      <c r="BD1244" s="7"/>
      <c r="BE1244" s="7"/>
      <c r="BF1244" s="7"/>
      <c r="BG1244" s="7"/>
      <c r="BH1244" s="7"/>
      <c r="BI1244" s="7"/>
      <c r="BJ1244" s="7"/>
      <c r="BK1244" s="7"/>
      <c r="BL1244" s="7"/>
      <c r="BM1244" s="7"/>
      <c r="BN1244" s="7"/>
      <c r="BO1244" s="7"/>
      <c r="BP1244" s="7"/>
      <c r="BQ1244" s="7"/>
      <c r="BR1244" s="7"/>
      <c r="BS1244" s="7"/>
      <c r="BT1244" s="7"/>
      <c r="BU1244" s="7"/>
      <c r="BV1244" s="7"/>
      <c r="BW1244" s="7"/>
      <c r="BX1244" s="7"/>
      <c r="BY1244" s="7"/>
      <c r="BZ1244" s="7"/>
      <c r="CA1244" s="7"/>
      <c r="CB1244" s="7"/>
      <c r="CC1244" s="7"/>
      <c r="CD1244" s="7"/>
      <c r="CE1244" s="7"/>
      <c r="CF1244" s="7"/>
      <c r="CG1244" s="7"/>
      <c r="CH1244" s="7"/>
      <c r="CI1244" s="7"/>
      <c r="CJ1244" s="7"/>
      <c r="CK1244" s="7"/>
      <c r="CL1244" s="7"/>
      <c r="CM1244" s="7"/>
      <c r="CN1244" s="7"/>
      <c r="CO1244" s="7"/>
      <c r="CP1244" s="7"/>
      <c r="CQ1244" s="7"/>
      <c r="CR1244" s="7"/>
      <c r="CS1244" s="7"/>
      <c r="CT1244" s="7"/>
      <c r="CU1244" s="7"/>
      <c r="CV1244" s="7"/>
      <c r="CW1244" s="7"/>
      <c r="CX1244" s="7"/>
      <c r="CY1244" s="7"/>
      <c r="CZ1244" s="7"/>
      <c r="DA1244" s="7"/>
      <c r="DB1244" s="7"/>
      <c r="DC1244" s="7"/>
      <c r="DD1244" s="7"/>
      <c r="DE1244" s="7"/>
      <c r="DF1244" s="7"/>
      <c r="DG1244" s="7"/>
      <c r="DH1244" s="7"/>
      <c r="DI1244" s="7"/>
      <c r="DJ1244" s="7"/>
      <c r="DK1244" s="7"/>
      <c r="DL1244" s="7"/>
      <c r="DM1244" s="7"/>
      <c r="DN1244" s="7"/>
      <c r="DO1244" s="7"/>
      <c r="DP1244" s="7"/>
      <c r="DQ1244" s="7"/>
      <c r="DR1244" s="7"/>
      <c r="DS1244" s="7"/>
      <c r="DT1244" s="7"/>
      <c r="DU1244" s="7"/>
      <c r="DV1244" s="7"/>
      <c r="DW1244" s="7"/>
      <c r="DX1244" s="7"/>
      <c r="DY1244" s="7"/>
      <c r="DZ1244" s="7"/>
      <c r="EA1244" s="7"/>
      <c r="EB1244" s="7"/>
      <c r="EC1244" s="7"/>
      <c r="ED1244" s="7"/>
      <c r="EE1244" s="7"/>
      <c r="EF1244" s="7"/>
      <c r="EG1244" s="7"/>
      <c r="EH1244" s="7"/>
      <c r="EI1244" s="7"/>
      <c r="EJ1244" s="7"/>
      <c r="EK1244" s="7"/>
      <c r="EL1244" s="7"/>
      <c r="EM1244" s="7"/>
      <c r="EN1244" s="7"/>
      <c r="EO1244" s="7"/>
      <c r="EP1244" s="7"/>
      <c r="EQ1244" s="7"/>
      <c r="ER1244" s="7"/>
      <c r="ES1244" s="7"/>
      <c r="ET1244" s="7"/>
      <c r="EU1244" s="7"/>
      <c r="EV1244" s="7"/>
      <c r="EW1244" s="7"/>
      <c r="EX1244" s="7"/>
      <c r="EY1244" s="7"/>
      <c r="EZ1244" s="7"/>
      <c r="FA1244" s="7"/>
      <c r="FB1244" s="7"/>
      <c r="FC1244" s="7"/>
      <c r="FD1244" s="7"/>
      <c r="FE1244" s="7"/>
      <c r="FF1244" s="7"/>
      <c r="FG1244" s="7"/>
      <c r="FH1244" s="7"/>
      <c r="FI1244" s="7"/>
      <c r="FJ1244" s="7"/>
      <c r="FK1244" s="7"/>
      <c r="FL1244" s="7"/>
      <c r="FM1244" s="7"/>
      <c r="FN1244" s="7"/>
      <c r="FO1244" s="7"/>
      <c r="FP1244" s="7"/>
      <c r="FQ1244" s="7"/>
      <c r="FR1244" s="7"/>
      <c r="FS1244" s="7"/>
      <c r="FT1244" s="7"/>
      <c r="FU1244" s="7"/>
      <c r="FV1244" s="7"/>
      <c r="FW1244" s="7"/>
      <c r="FX1244" s="7"/>
      <c r="FY1244" s="7"/>
      <c r="FZ1244" s="7"/>
      <c r="GA1244" s="7"/>
      <c r="GB1244" s="7"/>
      <c r="GC1244" s="7"/>
      <c r="GD1244" s="7"/>
      <c r="GE1244" s="7"/>
      <c r="GF1244" s="7"/>
      <c r="GG1244" s="7"/>
      <c r="GH1244" s="7"/>
      <c r="GI1244" s="7"/>
      <c r="GJ1244" s="7"/>
      <c r="GK1244" s="7"/>
      <c r="GL1244" s="7"/>
      <c r="GM1244" s="7"/>
      <c r="GN1244" s="7"/>
      <c r="GO1244" s="7"/>
      <c r="GP1244" s="7"/>
      <c r="GQ1244" s="7"/>
      <c r="GR1244" s="7"/>
      <c r="GS1244" s="7"/>
      <c r="GT1244" s="7"/>
      <c r="GU1244" s="7"/>
      <c r="GV1244" s="7"/>
      <c r="GW1244" s="7"/>
      <c r="GX1244" s="7"/>
      <c r="GY1244" s="7"/>
      <c r="GZ1244" s="7"/>
      <c r="HA1244" s="7"/>
      <c r="HB1244" s="7"/>
      <c r="HC1244" s="7"/>
      <c r="HD1244" s="7"/>
      <c r="HE1244" s="7"/>
      <c r="HF1244" s="7"/>
      <c r="HG1244" s="7"/>
      <c r="HH1244" s="7"/>
      <c r="HI1244" s="7"/>
      <c r="HJ1244" s="7"/>
      <c r="HK1244" s="7"/>
      <c r="HL1244" s="7"/>
      <c r="HM1244" s="7"/>
      <c r="HN1244" s="7"/>
      <c r="HO1244" s="7"/>
    </row>
    <row r="1245" spans="1:223" s="93" customFormat="1" x14ac:dyDescent="0.35">
      <c r="A1245" s="258">
        <v>56</v>
      </c>
      <c r="B1245" s="304"/>
      <c r="C1245" s="261"/>
      <c r="D1245" s="264"/>
      <c r="E1245" s="267"/>
      <c r="F1245" s="267"/>
      <c r="G1245" s="258"/>
      <c r="H1245" s="159" t="s">
        <v>76</v>
      </c>
      <c r="I1245" s="158">
        <f>K1245*D1243</f>
        <v>51997.8</v>
      </c>
      <c r="J1245" s="158">
        <f>I1245/D1243</f>
        <v>158</v>
      </c>
      <c r="K1245" s="158">
        <v>158</v>
      </c>
      <c r="L1245" s="9"/>
      <c r="M1245" s="9"/>
      <c r="N1245" s="9"/>
      <c r="O1245" s="9"/>
      <c r="P1245" s="9"/>
      <c r="Q1245" s="9"/>
      <c r="R1245" s="9"/>
      <c r="S1245" s="9"/>
      <c r="T1245" s="9"/>
      <c r="U1245" s="9"/>
      <c r="V1245" s="9"/>
      <c r="W1245" s="9"/>
      <c r="X1245" s="7"/>
      <c r="Y1245" s="7"/>
      <c r="Z1245" s="7"/>
      <c r="AA1245" s="7"/>
      <c r="AB1245" s="7"/>
      <c r="AC1245" s="7"/>
      <c r="AD1245" s="7"/>
      <c r="AE1245" s="7"/>
      <c r="AF1245" s="7"/>
      <c r="AG1245" s="7"/>
      <c r="AH1245" s="7"/>
      <c r="AI1245" s="7"/>
      <c r="AJ1245" s="7"/>
      <c r="AK1245" s="7"/>
      <c r="AL1245" s="7"/>
      <c r="AM1245" s="7"/>
      <c r="AN1245" s="7"/>
      <c r="AO1245" s="7"/>
      <c r="AP1245" s="7"/>
      <c r="AQ1245" s="7"/>
      <c r="AR1245" s="7"/>
      <c r="AS1245" s="7"/>
      <c r="AT1245" s="7"/>
      <c r="AU1245" s="7"/>
      <c r="AV1245" s="7"/>
      <c r="AW1245" s="7"/>
      <c r="AX1245" s="7"/>
      <c r="AY1245" s="7"/>
      <c r="AZ1245" s="7"/>
      <c r="BA1245" s="7"/>
      <c r="BB1245" s="7"/>
      <c r="BC1245" s="7"/>
      <c r="BD1245" s="7"/>
      <c r="BE1245" s="7"/>
      <c r="BF1245" s="7"/>
      <c r="BG1245" s="7"/>
      <c r="BH1245" s="7"/>
      <c r="BI1245" s="7"/>
      <c r="BJ1245" s="7"/>
      <c r="BK1245" s="7"/>
      <c r="BL1245" s="7"/>
      <c r="BM1245" s="7"/>
      <c r="BN1245" s="7"/>
      <c r="BO1245" s="7"/>
      <c r="BP1245" s="7"/>
      <c r="BQ1245" s="7"/>
      <c r="BR1245" s="7"/>
      <c r="BS1245" s="7"/>
      <c r="BT1245" s="7"/>
      <c r="BU1245" s="7"/>
      <c r="BV1245" s="7"/>
      <c r="BW1245" s="7"/>
      <c r="BX1245" s="7"/>
      <c r="BY1245" s="7"/>
      <c r="BZ1245" s="7"/>
      <c r="CA1245" s="7"/>
      <c r="CB1245" s="7"/>
      <c r="CC1245" s="7"/>
      <c r="CD1245" s="7"/>
      <c r="CE1245" s="7"/>
      <c r="CF1245" s="7"/>
      <c r="CG1245" s="7"/>
      <c r="CH1245" s="7"/>
      <c r="CI1245" s="7"/>
      <c r="CJ1245" s="7"/>
      <c r="CK1245" s="7"/>
      <c r="CL1245" s="7"/>
      <c r="CM1245" s="7"/>
      <c r="CN1245" s="7"/>
      <c r="CO1245" s="7"/>
      <c r="CP1245" s="7"/>
      <c r="CQ1245" s="7"/>
      <c r="CR1245" s="7"/>
      <c r="CS1245" s="7"/>
      <c r="CT1245" s="7"/>
      <c r="CU1245" s="7"/>
      <c r="CV1245" s="7"/>
      <c r="CW1245" s="7"/>
      <c r="CX1245" s="7"/>
      <c r="CY1245" s="7"/>
      <c r="CZ1245" s="7"/>
      <c r="DA1245" s="7"/>
      <c r="DB1245" s="7"/>
      <c r="DC1245" s="7"/>
      <c r="DD1245" s="7"/>
      <c r="DE1245" s="7"/>
      <c r="DF1245" s="7"/>
      <c r="DG1245" s="7"/>
      <c r="DH1245" s="7"/>
      <c r="DI1245" s="7"/>
      <c r="DJ1245" s="7"/>
      <c r="DK1245" s="7"/>
      <c r="DL1245" s="7"/>
      <c r="DM1245" s="7"/>
      <c r="DN1245" s="7"/>
      <c r="DO1245" s="7"/>
      <c r="DP1245" s="7"/>
      <c r="DQ1245" s="7"/>
      <c r="DR1245" s="7"/>
      <c r="DS1245" s="7"/>
      <c r="DT1245" s="7"/>
      <c r="DU1245" s="7"/>
      <c r="DV1245" s="7"/>
      <c r="DW1245" s="7"/>
      <c r="DX1245" s="7"/>
      <c r="DY1245" s="7"/>
      <c r="DZ1245" s="7"/>
      <c r="EA1245" s="7"/>
      <c r="EB1245" s="7"/>
      <c r="EC1245" s="7"/>
      <c r="ED1245" s="7"/>
      <c r="EE1245" s="7"/>
      <c r="EF1245" s="7"/>
      <c r="EG1245" s="7"/>
      <c r="EH1245" s="7"/>
      <c r="EI1245" s="7"/>
      <c r="EJ1245" s="7"/>
      <c r="EK1245" s="7"/>
      <c r="EL1245" s="7"/>
      <c r="EM1245" s="7"/>
      <c r="EN1245" s="7"/>
      <c r="EO1245" s="7"/>
      <c r="EP1245" s="7"/>
      <c r="EQ1245" s="7"/>
      <c r="ER1245" s="7"/>
      <c r="ES1245" s="7"/>
      <c r="ET1245" s="7"/>
      <c r="EU1245" s="7"/>
      <c r="EV1245" s="7"/>
      <c r="EW1245" s="7"/>
      <c r="EX1245" s="7"/>
      <c r="EY1245" s="7"/>
      <c r="EZ1245" s="7"/>
      <c r="FA1245" s="7"/>
      <c r="FB1245" s="7"/>
      <c r="FC1245" s="7"/>
      <c r="FD1245" s="7"/>
      <c r="FE1245" s="7"/>
      <c r="FF1245" s="7"/>
      <c r="FG1245" s="7"/>
      <c r="FH1245" s="7"/>
      <c r="FI1245" s="7"/>
      <c r="FJ1245" s="7"/>
      <c r="FK1245" s="7"/>
      <c r="FL1245" s="7"/>
      <c r="FM1245" s="7"/>
      <c r="FN1245" s="7"/>
      <c r="FO1245" s="7"/>
      <c r="FP1245" s="7"/>
      <c r="FQ1245" s="7"/>
      <c r="FR1245" s="7"/>
      <c r="FS1245" s="7"/>
      <c r="FT1245" s="7"/>
      <c r="FU1245" s="7"/>
      <c r="FV1245" s="7"/>
      <c r="FW1245" s="7"/>
      <c r="FX1245" s="7"/>
      <c r="FY1245" s="7"/>
      <c r="FZ1245" s="7"/>
      <c r="GA1245" s="7"/>
      <c r="GB1245" s="7"/>
      <c r="GC1245" s="7"/>
      <c r="GD1245" s="7"/>
      <c r="GE1245" s="7"/>
      <c r="GF1245" s="7"/>
      <c r="GG1245" s="7"/>
      <c r="GH1245" s="7"/>
      <c r="GI1245" s="7"/>
      <c r="GJ1245" s="7"/>
      <c r="GK1245" s="7"/>
      <c r="GL1245" s="7"/>
      <c r="GM1245" s="7"/>
      <c r="GN1245" s="7"/>
      <c r="GO1245" s="7"/>
      <c r="GP1245" s="7"/>
      <c r="GQ1245" s="7"/>
      <c r="GR1245" s="7"/>
      <c r="GS1245" s="7"/>
      <c r="GT1245" s="7"/>
      <c r="GU1245" s="7"/>
      <c r="GV1245" s="7"/>
      <c r="GW1245" s="7"/>
      <c r="GX1245" s="7"/>
      <c r="GY1245" s="7"/>
      <c r="GZ1245" s="7"/>
      <c r="HA1245" s="7"/>
      <c r="HB1245" s="7"/>
      <c r="HC1245" s="7"/>
      <c r="HD1245" s="7"/>
      <c r="HE1245" s="7"/>
      <c r="HF1245" s="7"/>
      <c r="HG1245" s="7"/>
      <c r="HH1245" s="7"/>
      <c r="HI1245" s="7"/>
      <c r="HJ1245" s="7"/>
      <c r="HK1245" s="7"/>
      <c r="HL1245" s="7"/>
      <c r="HM1245" s="7"/>
      <c r="HN1245" s="7"/>
      <c r="HO1245" s="7"/>
    </row>
    <row r="1246" spans="1:223" s="92" customFormat="1" ht="15.75" customHeight="1" x14ac:dyDescent="0.35">
      <c r="A1246" s="209" t="s">
        <v>38</v>
      </c>
      <c r="B1246" s="207"/>
      <c r="C1246" s="152"/>
      <c r="D1246" s="125">
        <f>D1247+D1250</f>
        <v>5766.1</v>
      </c>
      <c r="E1246" s="122"/>
      <c r="F1246" s="122"/>
      <c r="G1246" s="123"/>
      <c r="H1246" s="157"/>
      <c r="I1246" s="158">
        <f>I1247+I1250</f>
        <v>3465970.51</v>
      </c>
      <c r="J1246" s="158"/>
      <c r="K1246" s="158"/>
      <c r="L1246" s="9"/>
      <c r="M1246" s="9"/>
      <c r="N1246" s="9"/>
      <c r="O1246" s="9"/>
      <c r="P1246" s="9"/>
      <c r="Q1246" s="9"/>
      <c r="R1246" s="9"/>
      <c r="S1246" s="9"/>
      <c r="T1246" s="9"/>
      <c r="U1246" s="9"/>
      <c r="V1246" s="9"/>
      <c r="W1246" s="9"/>
      <c r="X1246" s="7"/>
      <c r="Y1246" s="7"/>
      <c r="Z1246" s="7"/>
      <c r="AA1246" s="7"/>
      <c r="AB1246" s="7"/>
      <c r="AC1246" s="7"/>
      <c r="AD1246" s="7"/>
      <c r="AE1246" s="7"/>
      <c r="AF1246" s="7"/>
      <c r="AG1246" s="7"/>
      <c r="AH1246" s="7"/>
      <c r="AI1246" s="7"/>
      <c r="AJ1246" s="7"/>
      <c r="AK1246" s="7"/>
      <c r="AL1246" s="7"/>
      <c r="AM1246" s="7"/>
      <c r="AN1246" s="7"/>
      <c r="AO1246" s="7"/>
      <c r="AP1246" s="7"/>
      <c r="AQ1246" s="7"/>
      <c r="AR1246" s="7"/>
      <c r="AS1246" s="7"/>
      <c r="AT1246" s="7"/>
      <c r="AU1246" s="7"/>
      <c r="AV1246" s="7"/>
      <c r="AW1246" s="7"/>
      <c r="AX1246" s="7"/>
      <c r="AY1246" s="7"/>
      <c r="AZ1246" s="7"/>
      <c r="BA1246" s="7"/>
      <c r="BB1246" s="7"/>
      <c r="BC1246" s="7"/>
      <c r="BD1246" s="7"/>
      <c r="BE1246" s="7"/>
      <c r="BF1246" s="7"/>
      <c r="BG1246" s="7"/>
      <c r="BH1246" s="7"/>
      <c r="BI1246" s="7"/>
      <c r="BJ1246" s="7"/>
      <c r="BK1246" s="7"/>
      <c r="BL1246" s="7"/>
      <c r="BM1246" s="7"/>
      <c r="BN1246" s="7"/>
      <c r="BO1246" s="7"/>
      <c r="BP1246" s="7"/>
      <c r="BQ1246" s="7"/>
      <c r="BR1246" s="7"/>
      <c r="BS1246" s="7"/>
      <c r="BT1246" s="7"/>
      <c r="BU1246" s="7"/>
      <c r="BV1246" s="7"/>
      <c r="BW1246" s="7"/>
      <c r="BX1246" s="7"/>
      <c r="BY1246" s="7"/>
      <c r="BZ1246" s="7"/>
      <c r="CA1246" s="7"/>
      <c r="CB1246" s="7"/>
      <c r="CC1246" s="7"/>
      <c r="CD1246" s="7"/>
      <c r="CE1246" s="7"/>
      <c r="CF1246" s="7"/>
      <c r="CG1246" s="7"/>
      <c r="CH1246" s="7"/>
      <c r="CI1246" s="7"/>
      <c r="CJ1246" s="7"/>
      <c r="CK1246" s="7"/>
      <c r="CL1246" s="7"/>
      <c r="CM1246" s="7"/>
      <c r="CN1246" s="7"/>
      <c r="CO1246" s="7"/>
      <c r="CP1246" s="7"/>
      <c r="CQ1246" s="7"/>
      <c r="CR1246" s="7"/>
      <c r="CS1246" s="7"/>
      <c r="CT1246" s="7"/>
      <c r="CU1246" s="7"/>
      <c r="CV1246" s="7"/>
      <c r="CW1246" s="7"/>
      <c r="CX1246" s="7"/>
      <c r="CY1246" s="7"/>
      <c r="CZ1246" s="7"/>
      <c r="DA1246" s="7"/>
      <c r="DB1246" s="7"/>
      <c r="DC1246" s="7"/>
      <c r="DD1246" s="7"/>
      <c r="DE1246" s="7"/>
      <c r="DF1246" s="7"/>
      <c r="DG1246" s="7"/>
      <c r="DH1246" s="7"/>
      <c r="DI1246" s="7"/>
      <c r="DJ1246" s="7"/>
      <c r="DK1246" s="7"/>
      <c r="DL1246" s="7"/>
      <c r="DM1246" s="7"/>
      <c r="DN1246" s="7"/>
      <c r="DO1246" s="7"/>
      <c r="DP1246" s="7"/>
      <c r="DQ1246" s="7"/>
      <c r="DR1246" s="7"/>
      <c r="DS1246" s="7"/>
      <c r="DT1246" s="7"/>
      <c r="DU1246" s="7"/>
      <c r="DV1246" s="7"/>
      <c r="DW1246" s="7"/>
      <c r="DX1246" s="7"/>
      <c r="DY1246" s="7"/>
      <c r="DZ1246" s="7"/>
      <c r="EA1246" s="7"/>
      <c r="EB1246" s="7"/>
      <c r="EC1246" s="7"/>
      <c r="ED1246" s="7"/>
      <c r="EE1246" s="7"/>
      <c r="EF1246" s="7"/>
      <c r="EG1246" s="7"/>
      <c r="EH1246" s="7"/>
      <c r="EI1246" s="7"/>
      <c r="EJ1246" s="7"/>
      <c r="EK1246" s="7"/>
      <c r="EL1246" s="7"/>
      <c r="EM1246" s="7"/>
      <c r="EN1246" s="7"/>
      <c r="EO1246" s="7"/>
      <c r="EP1246" s="7"/>
      <c r="EQ1246" s="7"/>
      <c r="ER1246" s="7"/>
      <c r="ES1246" s="7"/>
      <c r="ET1246" s="7"/>
      <c r="EU1246" s="7"/>
      <c r="EV1246" s="7"/>
      <c r="EW1246" s="7"/>
      <c r="EX1246" s="7"/>
      <c r="EY1246" s="7"/>
      <c r="EZ1246" s="7"/>
      <c r="FA1246" s="7"/>
      <c r="FB1246" s="7"/>
      <c r="FC1246" s="7"/>
      <c r="FD1246" s="7"/>
      <c r="FE1246" s="7"/>
      <c r="FF1246" s="7"/>
      <c r="FG1246" s="7"/>
      <c r="FH1246" s="7"/>
      <c r="FI1246" s="7"/>
      <c r="FJ1246" s="7"/>
      <c r="FK1246" s="7"/>
      <c r="FL1246" s="7"/>
      <c r="FM1246" s="7"/>
      <c r="FN1246" s="7"/>
      <c r="FO1246" s="7"/>
      <c r="FP1246" s="7"/>
      <c r="FQ1246" s="7"/>
      <c r="FR1246" s="7"/>
      <c r="FS1246" s="7"/>
      <c r="FT1246" s="7"/>
      <c r="FU1246" s="7"/>
      <c r="FV1246" s="7"/>
      <c r="FW1246" s="7"/>
      <c r="FX1246" s="7"/>
      <c r="FY1246" s="7"/>
      <c r="FZ1246" s="7"/>
      <c r="GA1246" s="7"/>
      <c r="GB1246" s="7"/>
      <c r="GC1246" s="7"/>
      <c r="GD1246" s="7"/>
      <c r="GE1246" s="7"/>
      <c r="GF1246" s="7"/>
      <c r="GG1246" s="7"/>
      <c r="GH1246" s="7"/>
      <c r="GI1246" s="7"/>
      <c r="GJ1246" s="7"/>
      <c r="GK1246" s="7"/>
      <c r="GL1246" s="7"/>
      <c r="GM1246" s="7"/>
      <c r="GN1246" s="7"/>
      <c r="GO1246" s="7"/>
      <c r="GP1246" s="7"/>
      <c r="GQ1246" s="7"/>
      <c r="GR1246" s="7"/>
      <c r="GS1246" s="7"/>
      <c r="GT1246" s="7"/>
      <c r="GU1246" s="7"/>
      <c r="GV1246" s="7"/>
      <c r="GW1246" s="7"/>
      <c r="GX1246" s="7"/>
      <c r="GY1246" s="7"/>
      <c r="GZ1246" s="7"/>
      <c r="HA1246" s="7"/>
      <c r="HB1246" s="7"/>
      <c r="HC1246" s="7"/>
      <c r="HD1246" s="7"/>
      <c r="HE1246" s="7"/>
      <c r="HF1246" s="7"/>
      <c r="HG1246" s="7"/>
      <c r="HH1246" s="7"/>
      <c r="HI1246" s="7"/>
      <c r="HJ1246" s="7"/>
      <c r="HK1246" s="7"/>
      <c r="HL1246" s="7"/>
      <c r="HM1246" s="7"/>
      <c r="HN1246" s="7"/>
      <c r="HO1246" s="7"/>
    </row>
    <row r="1247" spans="1:223" s="92" customFormat="1" ht="15.75" customHeight="1" x14ac:dyDescent="0.35">
      <c r="A1247" s="256">
        <v>1</v>
      </c>
      <c r="B1247" s="256">
        <v>5036</v>
      </c>
      <c r="C1247" s="259" t="s">
        <v>178</v>
      </c>
      <c r="D1247" s="262">
        <v>485.3</v>
      </c>
      <c r="E1247" s="265" t="s">
        <v>665</v>
      </c>
      <c r="F1247" s="265">
        <v>2</v>
      </c>
      <c r="G1247" s="256" t="s">
        <v>72</v>
      </c>
      <c r="H1247" s="159" t="s">
        <v>73</v>
      </c>
      <c r="I1247" s="158">
        <f>I1248+I1249</f>
        <v>2584076.91</v>
      </c>
      <c r="J1247" s="158">
        <f>J1248+J1249</f>
        <v>5324.7</v>
      </c>
      <c r="K1247" s="158">
        <f>K1248+K1249</f>
        <v>7539</v>
      </c>
      <c r="L1247" s="9"/>
      <c r="M1247" s="9"/>
      <c r="N1247" s="9"/>
      <c r="O1247" s="9"/>
      <c r="P1247" s="9"/>
      <c r="Q1247" s="9"/>
      <c r="R1247" s="9"/>
      <c r="S1247" s="9"/>
      <c r="T1247" s="9"/>
      <c r="U1247" s="9"/>
      <c r="V1247" s="9"/>
      <c r="W1247" s="9"/>
      <c r="X1247" s="7"/>
      <c r="Y1247" s="7"/>
      <c r="Z1247" s="7"/>
      <c r="AA1247" s="7"/>
      <c r="AB1247" s="7"/>
      <c r="AC1247" s="7"/>
      <c r="AD1247" s="7"/>
      <c r="AE1247" s="7"/>
      <c r="AF1247" s="7"/>
      <c r="AG1247" s="7"/>
      <c r="AH1247" s="7"/>
      <c r="AI1247" s="7"/>
      <c r="AJ1247" s="7"/>
      <c r="AK1247" s="7"/>
      <c r="AL1247" s="7"/>
      <c r="AM1247" s="7"/>
      <c r="AN1247" s="7"/>
      <c r="AO1247" s="7"/>
      <c r="AP1247" s="7"/>
      <c r="AQ1247" s="7"/>
      <c r="AR1247" s="7"/>
      <c r="AS1247" s="7"/>
      <c r="AT1247" s="7"/>
      <c r="AU1247" s="7"/>
      <c r="AV1247" s="7"/>
      <c r="AW1247" s="7"/>
      <c r="AX1247" s="7"/>
      <c r="AY1247" s="7"/>
      <c r="AZ1247" s="7"/>
      <c r="BA1247" s="7"/>
      <c r="BB1247" s="7"/>
      <c r="BC1247" s="7"/>
      <c r="BD1247" s="7"/>
      <c r="BE1247" s="7"/>
      <c r="BF1247" s="7"/>
      <c r="BG1247" s="7"/>
      <c r="BH1247" s="7"/>
      <c r="BI1247" s="7"/>
      <c r="BJ1247" s="7"/>
      <c r="BK1247" s="7"/>
      <c r="BL1247" s="7"/>
      <c r="BM1247" s="7"/>
      <c r="BN1247" s="7"/>
      <c r="BO1247" s="7"/>
      <c r="BP1247" s="7"/>
      <c r="BQ1247" s="7"/>
      <c r="BR1247" s="7"/>
      <c r="BS1247" s="7"/>
      <c r="BT1247" s="7"/>
      <c r="BU1247" s="7"/>
      <c r="BV1247" s="7"/>
      <c r="BW1247" s="7"/>
      <c r="BX1247" s="7"/>
      <c r="BY1247" s="7"/>
      <c r="BZ1247" s="7"/>
      <c r="CA1247" s="7"/>
      <c r="CB1247" s="7"/>
      <c r="CC1247" s="7"/>
      <c r="CD1247" s="7"/>
      <c r="CE1247" s="7"/>
      <c r="CF1247" s="7"/>
      <c r="CG1247" s="7"/>
      <c r="CH1247" s="7"/>
      <c r="CI1247" s="7"/>
      <c r="CJ1247" s="7"/>
      <c r="CK1247" s="7"/>
      <c r="CL1247" s="7"/>
      <c r="CM1247" s="7"/>
      <c r="CN1247" s="7"/>
      <c r="CO1247" s="7"/>
      <c r="CP1247" s="7"/>
      <c r="CQ1247" s="7"/>
      <c r="CR1247" s="7"/>
      <c r="CS1247" s="7"/>
      <c r="CT1247" s="7"/>
      <c r="CU1247" s="7"/>
      <c r="CV1247" s="7"/>
      <c r="CW1247" s="7"/>
      <c r="CX1247" s="7"/>
      <c r="CY1247" s="7"/>
      <c r="CZ1247" s="7"/>
      <c r="DA1247" s="7"/>
      <c r="DB1247" s="7"/>
      <c r="DC1247" s="7"/>
      <c r="DD1247" s="7"/>
      <c r="DE1247" s="7"/>
      <c r="DF1247" s="7"/>
      <c r="DG1247" s="7"/>
      <c r="DH1247" s="7"/>
      <c r="DI1247" s="7"/>
      <c r="DJ1247" s="7"/>
      <c r="DK1247" s="7"/>
      <c r="DL1247" s="7"/>
      <c r="DM1247" s="7"/>
      <c r="DN1247" s="7"/>
      <c r="DO1247" s="7"/>
      <c r="DP1247" s="7"/>
      <c r="DQ1247" s="7"/>
      <c r="DR1247" s="7"/>
      <c r="DS1247" s="7"/>
      <c r="DT1247" s="7"/>
      <c r="DU1247" s="7"/>
      <c r="DV1247" s="7"/>
      <c r="DW1247" s="7"/>
      <c r="DX1247" s="7"/>
      <c r="DY1247" s="7"/>
      <c r="DZ1247" s="7"/>
      <c r="EA1247" s="7"/>
      <c r="EB1247" s="7"/>
      <c r="EC1247" s="7"/>
      <c r="ED1247" s="7"/>
      <c r="EE1247" s="7"/>
      <c r="EF1247" s="7"/>
      <c r="EG1247" s="7"/>
      <c r="EH1247" s="7"/>
      <c r="EI1247" s="7"/>
      <c r="EJ1247" s="7"/>
      <c r="EK1247" s="7"/>
      <c r="EL1247" s="7"/>
      <c r="EM1247" s="7"/>
      <c r="EN1247" s="7"/>
      <c r="EO1247" s="7"/>
      <c r="EP1247" s="7"/>
      <c r="EQ1247" s="7"/>
      <c r="ER1247" s="7"/>
      <c r="ES1247" s="7"/>
      <c r="ET1247" s="7"/>
      <c r="EU1247" s="7"/>
      <c r="EV1247" s="7"/>
      <c r="EW1247" s="7"/>
      <c r="EX1247" s="7"/>
      <c r="EY1247" s="7"/>
      <c r="EZ1247" s="7"/>
      <c r="FA1247" s="7"/>
      <c r="FB1247" s="7"/>
      <c r="FC1247" s="7"/>
      <c r="FD1247" s="7"/>
      <c r="FE1247" s="7"/>
      <c r="FF1247" s="7"/>
      <c r="FG1247" s="7"/>
      <c r="FH1247" s="7"/>
      <c r="FI1247" s="7"/>
      <c r="FJ1247" s="7"/>
      <c r="FK1247" s="7"/>
      <c r="FL1247" s="7"/>
      <c r="FM1247" s="7"/>
      <c r="FN1247" s="7"/>
      <c r="FO1247" s="7"/>
      <c r="FP1247" s="7"/>
      <c r="FQ1247" s="7"/>
      <c r="FR1247" s="7"/>
      <c r="FS1247" s="7"/>
      <c r="FT1247" s="7"/>
      <c r="FU1247" s="7"/>
      <c r="FV1247" s="7"/>
      <c r="FW1247" s="7"/>
      <c r="FX1247" s="7"/>
      <c r="FY1247" s="7"/>
      <c r="FZ1247" s="7"/>
      <c r="GA1247" s="7"/>
      <c r="GB1247" s="7"/>
      <c r="GC1247" s="7"/>
      <c r="GD1247" s="7"/>
      <c r="GE1247" s="7"/>
      <c r="GF1247" s="7"/>
      <c r="GG1247" s="7"/>
      <c r="GH1247" s="7"/>
      <c r="GI1247" s="7"/>
      <c r="GJ1247" s="7"/>
      <c r="GK1247" s="7"/>
      <c r="GL1247" s="7"/>
      <c r="GM1247" s="7"/>
      <c r="GN1247" s="7"/>
      <c r="GO1247" s="7"/>
      <c r="GP1247" s="7"/>
      <c r="GQ1247" s="7"/>
      <c r="GR1247" s="7"/>
      <c r="GS1247" s="7"/>
      <c r="GT1247" s="7"/>
      <c r="GU1247" s="7"/>
      <c r="GV1247" s="7"/>
      <c r="GW1247" s="7"/>
      <c r="GX1247" s="7"/>
      <c r="GY1247" s="7"/>
      <c r="GZ1247" s="7"/>
      <c r="HA1247" s="7"/>
      <c r="HB1247" s="7"/>
      <c r="HC1247" s="7"/>
      <c r="HD1247" s="7"/>
      <c r="HE1247" s="7"/>
      <c r="HF1247" s="7"/>
      <c r="HG1247" s="7"/>
      <c r="HH1247" s="7"/>
      <c r="HI1247" s="7"/>
      <c r="HJ1247" s="7"/>
      <c r="HK1247" s="7"/>
      <c r="HL1247" s="7"/>
      <c r="HM1247" s="7"/>
      <c r="HN1247" s="7"/>
      <c r="HO1247" s="7"/>
    </row>
    <row r="1248" spans="1:223" s="92" customFormat="1" x14ac:dyDescent="0.35">
      <c r="A1248" s="257">
        <v>61</v>
      </c>
      <c r="B1248" s="257"/>
      <c r="C1248" s="260"/>
      <c r="D1248" s="263"/>
      <c r="E1248" s="266"/>
      <c r="F1248" s="266"/>
      <c r="G1248" s="257"/>
      <c r="H1248" s="159" t="s">
        <v>667</v>
      </c>
      <c r="I1248" s="158">
        <f>D1247*K1248*70/100</f>
        <v>2507399.5099999998</v>
      </c>
      <c r="J1248" s="158">
        <f>I1248/D1247</f>
        <v>5166.7</v>
      </c>
      <c r="K1248" s="158">
        <v>7381</v>
      </c>
      <c r="L1248" s="9"/>
      <c r="M1248" s="9"/>
      <c r="N1248" s="9"/>
      <c r="O1248" s="9"/>
      <c r="P1248" s="9"/>
      <c r="Q1248" s="9"/>
      <c r="R1248" s="9"/>
      <c r="S1248" s="9"/>
      <c r="T1248" s="9"/>
      <c r="U1248" s="9"/>
      <c r="V1248" s="9"/>
      <c r="W1248" s="9"/>
      <c r="X1248" s="7"/>
      <c r="Y1248" s="7"/>
      <c r="Z1248" s="7"/>
      <c r="AA1248" s="7"/>
      <c r="AB1248" s="7"/>
      <c r="AC1248" s="7"/>
      <c r="AD1248" s="7"/>
      <c r="AE1248" s="7"/>
      <c r="AF1248" s="7"/>
      <c r="AG1248" s="7"/>
      <c r="AH1248" s="7"/>
      <c r="AI1248" s="7"/>
      <c r="AJ1248" s="7"/>
      <c r="AK1248" s="7"/>
      <c r="AL1248" s="7"/>
      <c r="AM1248" s="7"/>
      <c r="AN1248" s="7"/>
      <c r="AO1248" s="7"/>
      <c r="AP1248" s="7"/>
      <c r="AQ1248" s="7"/>
      <c r="AR1248" s="7"/>
      <c r="AS1248" s="7"/>
      <c r="AT1248" s="7"/>
      <c r="AU1248" s="7"/>
      <c r="AV1248" s="7"/>
      <c r="AW1248" s="7"/>
      <c r="AX1248" s="7"/>
      <c r="AY1248" s="7"/>
      <c r="AZ1248" s="7"/>
      <c r="BA1248" s="7"/>
      <c r="BB1248" s="7"/>
      <c r="BC1248" s="7"/>
      <c r="BD1248" s="7"/>
      <c r="BE1248" s="7"/>
      <c r="BF1248" s="7"/>
      <c r="BG1248" s="7"/>
      <c r="BH1248" s="7"/>
      <c r="BI1248" s="7"/>
      <c r="BJ1248" s="7"/>
      <c r="BK1248" s="7"/>
      <c r="BL1248" s="7"/>
      <c r="BM1248" s="7"/>
      <c r="BN1248" s="7"/>
      <c r="BO1248" s="7"/>
      <c r="BP1248" s="7"/>
      <c r="BQ1248" s="7"/>
      <c r="BR1248" s="7"/>
      <c r="BS1248" s="7"/>
      <c r="BT1248" s="7"/>
      <c r="BU1248" s="7"/>
      <c r="BV1248" s="7"/>
      <c r="BW1248" s="7"/>
      <c r="BX1248" s="7"/>
      <c r="BY1248" s="7"/>
      <c r="BZ1248" s="7"/>
      <c r="CA1248" s="7"/>
      <c r="CB1248" s="7"/>
      <c r="CC1248" s="7"/>
      <c r="CD1248" s="7"/>
      <c r="CE1248" s="7"/>
      <c r="CF1248" s="7"/>
      <c r="CG1248" s="7"/>
      <c r="CH1248" s="7"/>
      <c r="CI1248" s="7"/>
      <c r="CJ1248" s="7"/>
      <c r="CK1248" s="7"/>
      <c r="CL1248" s="7"/>
      <c r="CM1248" s="7"/>
      <c r="CN1248" s="7"/>
      <c r="CO1248" s="7"/>
      <c r="CP1248" s="7"/>
      <c r="CQ1248" s="7"/>
      <c r="CR1248" s="7"/>
      <c r="CS1248" s="7"/>
      <c r="CT1248" s="7"/>
      <c r="CU1248" s="7"/>
      <c r="CV1248" s="7"/>
      <c r="CW1248" s="7"/>
      <c r="CX1248" s="7"/>
      <c r="CY1248" s="7"/>
      <c r="CZ1248" s="7"/>
      <c r="DA1248" s="7"/>
      <c r="DB1248" s="7"/>
      <c r="DC1248" s="7"/>
      <c r="DD1248" s="7"/>
      <c r="DE1248" s="7"/>
      <c r="DF1248" s="7"/>
      <c r="DG1248" s="7"/>
      <c r="DH1248" s="7"/>
      <c r="DI1248" s="7"/>
      <c r="DJ1248" s="7"/>
      <c r="DK1248" s="7"/>
      <c r="DL1248" s="7"/>
      <c r="DM1248" s="7"/>
      <c r="DN1248" s="7"/>
      <c r="DO1248" s="7"/>
      <c r="DP1248" s="7"/>
      <c r="DQ1248" s="7"/>
      <c r="DR1248" s="7"/>
      <c r="DS1248" s="7"/>
      <c r="DT1248" s="7"/>
      <c r="DU1248" s="7"/>
      <c r="DV1248" s="7"/>
      <c r="DW1248" s="7"/>
      <c r="DX1248" s="7"/>
      <c r="DY1248" s="7"/>
      <c r="DZ1248" s="7"/>
      <c r="EA1248" s="7"/>
      <c r="EB1248" s="7"/>
      <c r="EC1248" s="7"/>
      <c r="ED1248" s="7"/>
      <c r="EE1248" s="7"/>
      <c r="EF1248" s="7"/>
      <c r="EG1248" s="7"/>
      <c r="EH1248" s="7"/>
      <c r="EI1248" s="7"/>
      <c r="EJ1248" s="7"/>
      <c r="EK1248" s="7"/>
      <c r="EL1248" s="7"/>
      <c r="EM1248" s="7"/>
      <c r="EN1248" s="7"/>
      <c r="EO1248" s="7"/>
      <c r="EP1248" s="7"/>
      <c r="EQ1248" s="7"/>
      <c r="ER1248" s="7"/>
      <c r="ES1248" s="7"/>
      <c r="ET1248" s="7"/>
      <c r="EU1248" s="7"/>
      <c r="EV1248" s="7"/>
      <c r="EW1248" s="7"/>
      <c r="EX1248" s="7"/>
      <c r="EY1248" s="7"/>
      <c r="EZ1248" s="7"/>
      <c r="FA1248" s="7"/>
      <c r="FB1248" s="7"/>
      <c r="FC1248" s="7"/>
      <c r="FD1248" s="7"/>
      <c r="FE1248" s="7"/>
      <c r="FF1248" s="7"/>
      <c r="FG1248" s="7"/>
      <c r="FH1248" s="7"/>
      <c r="FI1248" s="7"/>
      <c r="FJ1248" s="7"/>
      <c r="FK1248" s="7"/>
      <c r="FL1248" s="7"/>
      <c r="FM1248" s="7"/>
      <c r="FN1248" s="7"/>
      <c r="FO1248" s="7"/>
      <c r="FP1248" s="7"/>
      <c r="FQ1248" s="7"/>
      <c r="FR1248" s="7"/>
      <c r="FS1248" s="7"/>
      <c r="FT1248" s="7"/>
      <c r="FU1248" s="7"/>
      <c r="FV1248" s="7"/>
      <c r="FW1248" s="7"/>
      <c r="FX1248" s="7"/>
      <c r="FY1248" s="7"/>
      <c r="FZ1248" s="7"/>
      <c r="GA1248" s="7"/>
      <c r="GB1248" s="7"/>
      <c r="GC1248" s="7"/>
      <c r="GD1248" s="7"/>
      <c r="GE1248" s="7"/>
      <c r="GF1248" s="7"/>
      <c r="GG1248" s="7"/>
      <c r="GH1248" s="7"/>
      <c r="GI1248" s="7"/>
      <c r="GJ1248" s="7"/>
      <c r="GK1248" s="7"/>
      <c r="GL1248" s="7"/>
      <c r="GM1248" s="7"/>
      <c r="GN1248" s="7"/>
      <c r="GO1248" s="7"/>
      <c r="GP1248" s="7"/>
      <c r="GQ1248" s="7"/>
      <c r="GR1248" s="7"/>
      <c r="GS1248" s="7"/>
      <c r="GT1248" s="7"/>
      <c r="GU1248" s="7"/>
      <c r="GV1248" s="7"/>
      <c r="GW1248" s="7"/>
      <c r="GX1248" s="7"/>
      <c r="GY1248" s="7"/>
      <c r="GZ1248" s="7"/>
      <c r="HA1248" s="7"/>
      <c r="HB1248" s="7"/>
      <c r="HC1248" s="7"/>
      <c r="HD1248" s="7"/>
      <c r="HE1248" s="7"/>
      <c r="HF1248" s="7"/>
      <c r="HG1248" s="7"/>
      <c r="HH1248" s="7"/>
      <c r="HI1248" s="7"/>
      <c r="HJ1248" s="7"/>
      <c r="HK1248" s="7"/>
      <c r="HL1248" s="7"/>
      <c r="HM1248" s="7"/>
      <c r="HN1248" s="7"/>
      <c r="HO1248" s="7"/>
    </row>
    <row r="1249" spans="1:223" s="92" customFormat="1" x14ac:dyDescent="0.35">
      <c r="A1249" s="258">
        <v>62</v>
      </c>
      <c r="B1249" s="258"/>
      <c r="C1249" s="261"/>
      <c r="D1249" s="264"/>
      <c r="E1249" s="267"/>
      <c r="F1249" s="267"/>
      <c r="G1249" s="258"/>
      <c r="H1249" s="159" t="s">
        <v>76</v>
      </c>
      <c r="I1249" s="158">
        <f>D1247*K1249</f>
        <v>76677.399999999994</v>
      </c>
      <c r="J1249" s="158">
        <f>I1249/D1247</f>
        <v>158</v>
      </c>
      <c r="K1249" s="158">
        <v>158</v>
      </c>
      <c r="L1249" s="9"/>
      <c r="M1249" s="9"/>
      <c r="N1249" s="9"/>
      <c r="O1249" s="9"/>
      <c r="P1249" s="9"/>
      <c r="Q1249" s="9"/>
      <c r="R1249" s="9"/>
      <c r="S1249" s="9"/>
      <c r="T1249" s="9"/>
      <c r="U1249" s="9"/>
      <c r="V1249" s="9"/>
      <c r="W1249" s="9"/>
      <c r="X1249" s="7"/>
      <c r="Y1249" s="7"/>
      <c r="Z1249" s="7"/>
      <c r="AA1249" s="7"/>
      <c r="AB1249" s="7"/>
      <c r="AC1249" s="7"/>
      <c r="AD1249" s="7"/>
      <c r="AE1249" s="7"/>
      <c r="AF1249" s="7"/>
      <c r="AG1249" s="7"/>
      <c r="AH1249" s="7"/>
      <c r="AI1249" s="7"/>
      <c r="AJ1249" s="7"/>
      <c r="AK1249" s="7"/>
      <c r="AL1249" s="7"/>
      <c r="AM1249" s="7"/>
      <c r="AN1249" s="7"/>
      <c r="AO1249" s="7"/>
      <c r="AP1249" s="7"/>
      <c r="AQ1249" s="7"/>
      <c r="AR1249" s="7"/>
      <c r="AS1249" s="7"/>
      <c r="AT1249" s="7"/>
      <c r="AU1249" s="7"/>
      <c r="AV1249" s="7"/>
      <c r="AW1249" s="7"/>
      <c r="AX1249" s="7"/>
      <c r="AY1249" s="7"/>
      <c r="AZ1249" s="7"/>
      <c r="BA1249" s="7"/>
      <c r="BB1249" s="7"/>
      <c r="BC1249" s="7"/>
      <c r="BD1249" s="7"/>
      <c r="BE1249" s="7"/>
      <c r="BF1249" s="7"/>
      <c r="BG1249" s="7"/>
      <c r="BH1249" s="7"/>
      <c r="BI1249" s="7"/>
      <c r="BJ1249" s="7"/>
      <c r="BK1249" s="7"/>
      <c r="BL1249" s="7"/>
      <c r="BM1249" s="7"/>
      <c r="BN1249" s="7"/>
      <c r="BO1249" s="7"/>
      <c r="BP1249" s="7"/>
      <c r="BQ1249" s="7"/>
      <c r="BR1249" s="7"/>
      <c r="BS1249" s="7"/>
      <c r="BT1249" s="7"/>
      <c r="BU1249" s="7"/>
      <c r="BV1249" s="7"/>
      <c r="BW1249" s="7"/>
      <c r="BX1249" s="7"/>
      <c r="BY1249" s="7"/>
      <c r="BZ1249" s="7"/>
      <c r="CA1249" s="7"/>
      <c r="CB1249" s="7"/>
      <c r="CC1249" s="7"/>
      <c r="CD1249" s="7"/>
      <c r="CE1249" s="7"/>
      <c r="CF1249" s="7"/>
      <c r="CG1249" s="7"/>
      <c r="CH1249" s="7"/>
      <c r="CI1249" s="7"/>
      <c r="CJ1249" s="7"/>
      <c r="CK1249" s="7"/>
      <c r="CL1249" s="7"/>
      <c r="CM1249" s="7"/>
      <c r="CN1249" s="7"/>
      <c r="CO1249" s="7"/>
      <c r="CP1249" s="7"/>
      <c r="CQ1249" s="7"/>
      <c r="CR1249" s="7"/>
      <c r="CS1249" s="7"/>
      <c r="CT1249" s="7"/>
      <c r="CU1249" s="7"/>
      <c r="CV1249" s="7"/>
      <c r="CW1249" s="7"/>
      <c r="CX1249" s="7"/>
      <c r="CY1249" s="7"/>
      <c r="CZ1249" s="7"/>
      <c r="DA1249" s="7"/>
      <c r="DB1249" s="7"/>
      <c r="DC1249" s="7"/>
      <c r="DD1249" s="7"/>
      <c r="DE1249" s="7"/>
      <c r="DF1249" s="7"/>
      <c r="DG1249" s="7"/>
      <c r="DH1249" s="7"/>
      <c r="DI1249" s="7"/>
      <c r="DJ1249" s="7"/>
      <c r="DK1249" s="7"/>
      <c r="DL1249" s="7"/>
      <c r="DM1249" s="7"/>
      <c r="DN1249" s="7"/>
      <c r="DO1249" s="7"/>
      <c r="DP1249" s="7"/>
      <c r="DQ1249" s="7"/>
      <c r="DR1249" s="7"/>
      <c r="DS1249" s="7"/>
      <c r="DT1249" s="7"/>
      <c r="DU1249" s="7"/>
      <c r="DV1249" s="7"/>
      <c r="DW1249" s="7"/>
      <c r="DX1249" s="7"/>
      <c r="DY1249" s="7"/>
      <c r="DZ1249" s="7"/>
      <c r="EA1249" s="7"/>
      <c r="EB1249" s="7"/>
      <c r="EC1249" s="7"/>
      <c r="ED1249" s="7"/>
      <c r="EE1249" s="7"/>
      <c r="EF1249" s="7"/>
      <c r="EG1249" s="7"/>
      <c r="EH1249" s="7"/>
      <c r="EI1249" s="7"/>
      <c r="EJ1249" s="7"/>
      <c r="EK1249" s="7"/>
      <c r="EL1249" s="7"/>
      <c r="EM1249" s="7"/>
      <c r="EN1249" s="7"/>
      <c r="EO1249" s="7"/>
      <c r="EP1249" s="7"/>
      <c r="EQ1249" s="7"/>
      <c r="ER1249" s="7"/>
      <c r="ES1249" s="7"/>
      <c r="ET1249" s="7"/>
      <c r="EU1249" s="7"/>
      <c r="EV1249" s="7"/>
      <c r="EW1249" s="7"/>
      <c r="EX1249" s="7"/>
      <c r="EY1249" s="7"/>
      <c r="EZ1249" s="7"/>
      <c r="FA1249" s="7"/>
      <c r="FB1249" s="7"/>
      <c r="FC1249" s="7"/>
      <c r="FD1249" s="7"/>
      <c r="FE1249" s="7"/>
      <c r="FF1249" s="7"/>
      <c r="FG1249" s="7"/>
      <c r="FH1249" s="7"/>
      <c r="FI1249" s="7"/>
      <c r="FJ1249" s="7"/>
      <c r="FK1249" s="7"/>
      <c r="FL1249" s="7"/>
      <c r="FM1249" s="7"/>
      <c r="FN1249" s="7"/>
      <c r="FO1249" s="7"/>
      <c r="FP1249" s="7"/>
      <c r="FQ1249" s="7"/>
      <c r="FR1249" s="7"/>
      <c r="FS1249" s="7"/>
      <c r="FT1249" s="7"/>
      <c r="FU1249" s="7"/>
      <c r="FV1249" s="7"/>
      <c r="FW1249" s="7"/>
      <c r="FX1249" s="7"/>
      <c r="FY1249" s="7"/>
      <c r="FZ1249" s="7"/>
      <c r="GA1249" s="7"/>
      <c r="GB1249" s="7"/>
      <c r="GC1249" s="7"/>
      <c r="GD1249" s="7"/>
      <c r="GE1249" s="7"/>
      <c r="GF1249" s="7"/>
      <c r="GG1249" s="7"/>
      <c r="GH1249" s="7"/>
      <c r="GI1249" s="7"/>
      <c r="GJ1249" s="7"/>
      <c r="GK1249" s="7"/>
      <c r="GL1249" s="7"/>
      <c r="GM1249" s="7"/>
      <c r="GN1249" s="7"/>
      <c r="GO1249" s="7"/>
      <c r="GP1249" s="7"/>
      <c r="GQ1249" s="7"/>
      <c r="GR1249" s="7"/>
      <c r="GS1249" s="7"/>
      <c r="GT1249" s="7"/>
      <c r="GU1249" s="7"/>
      <c r="GV1249" s="7"/>
      <c r="GW1249" s="7"/>
      <c r="GX1249" s="7"/>
      <c r="GY1249" s="7"/>
      <c r="GZ1249" s="7"/>
      <c r="HA1249" s="7"/>
      <c r="HB1249" s="7"/>
      <c r="HC1249" s="7"/>
      <c r="HD1249" s="7"/>
      <c r="HE1249" s="7"/>
      <c r="HF1249" s="7"/>
      <c r="HG1249" s="7"/>
      <c r="HH1249" s="7"/>
      <c r="HI1249" s="7"/>
      <c r="HJ1249" s="7"/>
      <c r="HK1249" s="7"/>
      <c r="HL1249" s="7"/>
      <c r="HM1249" s="7"/>
      <c r="HN1249" s="7"/>
      <c r="HO1249" s="7"/>
    </row>
    <row r="1250" spans="1:223" s="92" customFormat="1" ht="15.75" customHeight="1" x14ac:dyDescent="0.3">
      <c r="A1250" s="256">
        <f>A1247+1</f>
        <v>2</v>
      </c>
      <c r="B1250" s="256">
        <v>5054</v>
      </c>
      <c r="C1250" s="259" t="s">
        <v>493</v>
      </c>
      <c r="D1250" s="262">
        <v>5280.8</v>
      </c>
      <c r="E1250" s="265" t="s">
        <v>71</v>
      </c>
      <c r="F1250" s="265">
        <v>5</v>
      </c>
      <c r="G1250" s="256" t="s">
        <v>72</v>
      </c>
      <c r="H1250" s="159" t="s">
        <v>73</v>
      </c>
      <c r="I1250" s="158">
        <f>I1251</f>
        <v>881893.6</v>
      </c>
      <c r="J1250" s="158">
        <f>J1251</f>
        <v>167</v>
      </c>
      <c r="K1250" s="158">
        <f>K1251</f>
        <v>167</v>
      </c>
      <c r="L1250" s="8"/>
      <c r="M1250" s="8"/>
      <c r="N1250" s="8"/>
      <c r="O1250" s="8"/>
      <c r="P1250" s="8"/>
      <c r="Q1250" s="8"/>
      <c r="R1250" s="8"/>
      <c r="S1250" s="8"/>
      <c r="T1250" s="8"/>
      <c r="U1250" s="8"/>
      <c r="V1250" s="8"/>
      <c r="W1250" s="8"/>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c r="DX1250" s="1"/>
      <c r="DY1250" s="1"/>
      <c r="DZ1250" s="1"/>
      <c r="EA1250" s="1"/>
      <c r="EB1250" s="1"/>
      <c r="EC1250" s="1"/>
      <c r="ED1250" s="1"/>
      <c r="EE1250" s="1"/>
      <c r="EF1250" s="1"/>
      <c r="EG1250" s="1"/>
      <c r="EH1250" s="1"/>
      <c r="EI1250" s="1"/>
      <c r="EJ1250" s="1"/>
      <c r="EK1250" s="1"/>
      <c r="EL1250" s="1"/>
      <c r="EM1250" s="1"/>
      <c r="EN1250" s="1"/>
      <c r="EO1250" s="1"/>
      <c r="EP1250" s="1"/>
      <c r="EQ1250" s="1"/>
      <c r="ER1250" s="1"/>
      <c r="ES1250" s="1"/>
      <c r="ET1250" s="1"/>
      <c r="EU1250" s="1"/>
      <c r="EV1250" s="1"/>
      <c r="EW1250" s="1"/>
      <c r="EX1250" s="1"/>
      <c r="EY1250" s="1"/>
      <c r="EZ1250" s="1"/>
      <c r="FA1250" s="1"/>
      <c r="FB1250" s="1"/>
      <c r="FC1250" s="1"/>
      <c r="FD1250" s="1"/>
      <c r="FE1250" s="1"/>
      <c r="FF1250" s="1"/>
      <c r="FG1250" s="1"/>
      <c r="FH1250" s="1"/>
      <c r="FI1250" s="1"/>
      <c r="FJ1250" s="1"/>
      <c r="FK1250" s="1"/>
      <c r="FL1250" s="1"/>
      <c r="FM1250" s="1"/>
      <c r="FN1250" s="1"/>
      <c r="FO1250" s="1"/>
      <c r="FP1250" s="1"/>
      <c r="FQ1250" s="1"/>
      <c r="FR1250" s="1"/>
      <c r="FS1250" s="1"/>
      <c r="FT1250" s="1"/>
      <c r="FU1250" s="1"/>
      <c r="FV1250" s="1"/>
      <c r="FW1250" s="1"/>
      <c r="FX1250" s="1"/>
      <c r="FY1250" s="1"/>
      <c r="FZ1250" s="1"/>
      <c r="GA1250" s="1"/>
      <c r="GB1250" s="1"/>
      <c r="GC1250" s="1"/>
      <c r="GD1250" s="1"/>
      <c r="GE1250" s="1"/>
      <c r="GF1250" s="1"/>
      <c r="GG1250" s="1"/>
      <c r="GH1250" s="1"/>
      <c r="GI1250" s="1"/>
      <c r="GJ1250" s="1"/>
      <c r="GK1250" s="1"/>
      <c r="GL1250" s="1"/>
      <c r="GM1250" s="1"/>
      <c r="GN1250" s="1"/>
      <c r="GO1250" s="1"/>
      <c r="GP1250" s="1"/>
      <c r="GQ1250" s="1"/>
      <c r="GR1250" s="1"/>
      <c r="GS1250" s="1"/>
      <c r="GT1250" s="1"/>
      <c r="GU1250" s="1"/>
      <c r="GV1250" s="1"/>
      <c r="GW1250" s="1"/>
      <c r="GX1250" s="1"/>
      <c r="GY1250" s="1"/>
      <c r="GZ1250" s="1"/>
      <c r="HA1250" s="1"/>
      <c r="HB1250" s="1"/>
      <c r="HC1250" s="1"/>
      <c r="HD1250" s="1"/>
      <c r="HE1250" s="1"/>
      <c r="HF1250" s="1"/>
      <c r="HG1250" s="1"/>
      <c r="HH1250" s="1"/>
      <c r="HI1250" s="1"/>
      <c r="HJ1250" s="1"/>
      <c r="HK1250" s="1"/>
      <c r="HL1250" s="1"/>
      <c r="HM1250" s="1"/>
      <c r="HN1250" s="1"/>
      <c r="HO1250" s="1"/>
    </row>
    <row r="1251" spans="1:223" s="92" customFormat="1" ht="46.5" x14ac:dyDescent="0.3">
      <c r="A1251" s="257">
        <v>61</v>
      </c>
      <c r="B1251" s="258"/>
      <c r="C1251" s="260"/>
      <c r="D1251" s="263"/>
      <c r="E1251" s="266"/>
      <c r="F1251" s="266"/>
      <c r="G1251" s="257"/>
      <c r="H1251" s="159" t="s">
        <v>705</v>
      </c>
      <c r="I1251" s="158">
        <f>D1250*K1251</f>
        <v>881893.6</v>
      </c>
      <c r="J1251" s="158">
        <f>I1251/D1250</f>
        <v>167</v>
      </c>
      <c r="K1251" s="158">
        <f>154+13</f>
        <v>167</v>
      </c>
      <c r="L1251" s="8"/>
      <c r="M1251" s="8"/>
      <c r="N1251" s="8"/>
      <c r="O1251" s="8"/>
      <c r="P1251" s="8"/>
      <c r="Q1251" s="8"/>
      <c r="R1251" s="8"/>
      <c r="S1251" s="8"/>
      <c r="T1251" s="8"/>
      <c r="U1251" s="8"/>
      <c r="V1251" s="8"/>
      <c r="W1251" s="8"/>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c r="DX1251" s="1"/>
      <c r="DY1251" s="1"/>
      <c r="DZ1251" s="1"/>
      <c r="EA1251" s="1"/>
      <c r="EB1251" s="1"/>
      <c r="EC1251" s="1"/>
      <c r="ED1251" s="1"/>
      <c r="EE1251" s="1"/>
      <c r="EF1251" s="1"/>
      <c r="EG1251" s="1"/>
      <c r="EH1251" s="1"/>
      <c r="EI1251" s="1"/>
      <c r="EJ1251" s="1"/>
      <c r="EK1251" s="1"/>
      <c r="EL1251" s="1"/>
      <c r="EM1251" s="1"/>
      <c r="EN1251" s="1"/>
      <c r="EO1251" s="1"/>
      <c r="EP1251" s="1"/>
      <c r="EQ1251" s="1"/>
      <c r="ER1251" s="1"/>
      <c r="ES1251" s="1"/>
      <c r="ET1251" s="1"/>
      <c r="EU1251" s="1"/>
      <c r="EV1251" s="1"/>
      <c r="EW1251" s="1"/>
      <c r="EX1251" s="1"/>
      <c r="EY1251" s="1"/>
      <c r="EZ1251" s="1"/>
      <c r="FA1251" s="1"/>
      <c r="FB1251" s="1"/>
      <c r="FC1251" s="1"/>
      <c r="FD1251" s="1"/>
      <c r="FE1251" s="1"/>
      <c r="FF1251" s="1"/>
      <c r="FG1251" s="1"/>
      <c r="FH1251" s="1"/>
      <c r="FI1251" s="1"/>
      <c r="FJ1251" s="1"/>
      <c r="FK1251" s="1"/>
      <c r="FL1251" s="1"/>
      <c r="FM1251" s="1"/>
      <c r="FN1251" s="1"/>
      <c r="FO1251" s="1"/>
      <c r="FP1251" s="1"/>
      <c r="FQ1251" s="1"/>
      <c r="FR1251" s="1"/>
      <c r="FS1251" s="1"/>
      <c r="FT1251" s="1"/>
      <c r="FU1251" s="1"/>
      <c r="FV1251" s="1"/>
      <c r="FW1251" s="1"/>
      <c r="FX1251" s="1"/>
      <c r="FY1251" s="1"/>
      <c r="FZ1251" s="1"/>
      <c r="GA1251" s="1"/>
      <c r="GB1251" s="1"/>
      <c r="GC1251" s="1"/>
      <c r="GD1251" s="1"/>
      <c r="GE1251" s="1"/>
      <c r="GF1251" s="1"/>
      <c r="GG1251" s="1"/>
      <c r="GH1251" s="1"/>
      <c r="GI1251" s="1"/>
      <c r="GJ1251" s="1"/>
      <c r="GK1251" s="1"/>
      <c r="GL1251" s="1"/>
      <c r="GM1251" s="1"/>
      <c r="GN1251" s="1"/>
      <c r="GO1251" s="1"/>
      <c r="GP1251" s="1"/>
      <c r="GQ1251" s="1"/>
      <c r="GR1251" s="1"/>
      <c r="GS1251" s="1"/>
      <c r="GT1251" s="1"/>
      <c r="GU1251" s="1"/>
      <c r="GV1251" s="1"/>
      <c r="GW1251" s="1"/>
      <c r="GX1251" s="1"/>
      <c r="GY1251" s="1"/>
      <c r="GZ1251" s="1"/>
      <c r="HA1251" s="1"/>
      <c r="HB1251" s="1"/>
      <c r="HC1251" s="1"/>
      <c r="HD1251" s="1"/>
      <c r="HE1251" s="1"/>
      <c r="HF1251" s="1"/>
      <c r="HG1251" s="1"/>
      <c r="HH1251" s="1"/>
      <c r="HI1251" s="1"/>
      <c r="HJ1251" s="1"/>
      <c r="HK1251" s="1"/>
      <c r="HL1251" s="1"/>
      <c r="HM1251" s="1"/>
      <c r="HN1251" s="1"/>
      <c r="HO1251" s="1"/>
    </row>
    <row r="1252" spans="1:223" s="92" customFormat="1" ht="15.75" customHeight="1" x14ac:dyDescent="0.3">
      <c r="A1252" s="209" t="s">
        <v>45</v>
      </c>
      <c r="B1252" s="207"/>
      <c r="C1252" s="152"/>
      <c r="D1252" s="118">
        <f>D1253+D1260+D1263+D1288+D1291+D1293+D1296+D1299+D1310+D1313+D1315+D1317+D1324+D1327+D1330+D1333+D1340+D1342+D1345+D1348+D1351+D1354+D1359+D1362+D1365+D1368+D1375+D1378+D1381+D1383+D1385+D1388+D1395+D1402+D1405+D1412+D1414+D1416+D1418+D1420+D1423+D1425+D1428+D1430+D1437+D1440+D1443+D1445+D1448+D1451+D1454+D1456+D1458+D1461+D1464+D1466+D1468+D1470+D1472+D1475+D1484+D1486+D1489+D1492+D1499+D1506+D1513</f>
        <v>138458.1</v>
      </c>
      <c r="E1252" s="118"/>
      <c r="F1252" s="129"/>
      <c r="G1252" s="124"/>
      <c r="H1252" s="96"/>
      <c r="I1252" s="86">
        <f>I1253+I1260+I1263+I1288+I1291+I1293+I1296+I1299+I1310+I1313+I1315+I1317+I1324+I1327+I1330+I1333+I1340+I1342+I1345+I1348+I1351+I1354+I1359+I1362+I1365+I1368+I1375+I1378+I1381+I1383+I1385+I1388+I1395+I1402+I1405+I1412+I1414+I1416+I1418+I1420+I1423+I1425+I1428+I1430+I1437+I1440+I1443+I1445+I1448+I1451+I1454+I1456+I1458+I1461+I1464+I1466+I1468+I1470+I1472+I1475+I1484+I1486+I1489+I1492+I1499+I1506+I1513</f>
        <v>199856588.59</v>
      </c>
      <c r="J1252" s="96"/>
      <c r="K1252" s="96"/>
    </row>
    <row r="1253" spans="1:223" s="92" customFormat="1" ht="15.75" customHeight="1" x14ac:dyDescent="0.3">
      <c r="A1253" s="285">
        <v>1</v>
      </c>
      <c r="B1253" s="285">
        <v>5981</v>
      </c>
      <c r="C1253" s="295" t="s">
        <v>180</v>
      </c>
      <c r="D1253" s="279">
        <v>3619.5</v>
      </c>
      <c r="E1253" s="335" t="s">
        <v>75</v>
      </c>
      <c r="F1253" s="335">
        <v>4</v>
      </c>
      <c r="G1253" s="13"/>
      <c r="H1253" s="116" t="s">
        <v>73</v>
      </c>
      <c r="I1253" s="86">
        <f>I1254+I1255+I1256+I1257+I1258+I1259</f>
        <v>7578147.1500000004</v>
      </c>
      <c r="J1253" s="86">
        <f>J1254+J1255+J1256+J1257+J1258+J1259</f>
        <v>2093.6999999999998</v>
      </c>
      <c r="K1253" s="86">
        <f>K1254+K1255+K1256+K1257+K1258+K1259</f>
        <v>3055</v>
      </c>
    </row>
    <row r="1254" spans="1:223" s="92" customFormat="1" x14ac:dyDescent="0.3">
      <c r="A1254" s="286"/>
      <c r="B1254" s="286"/>
      <c r="C1254" s="296"/>
      <c r="D1254" s="280"/>
      <c r="E1254" s="336"/>
      <c r="F1254" s="336"/>
      <c r="G1254" s="285" t="s">
        <v>78</v>
      </c>
      <c r="H1254" s="116" t="s">
        <v>667</v>
      </c>
      <c r="I1254" s="86">
        <f>D1253*K1254*70/100</f>
        <v>1173079.95</v>
      </c>
      <c r="J1254" s="86">
        <f>I1254/D1253</f>
        <v>324.10000000000002</v>
      </c>
      <c r="K1254" s="86">
        <v>463</v>
      </c>
    </row>
    <row r="1255" spans="1:223" s="92" customFormat="1" x14ac:dyDescent="0.3">
      <c r="A1255" s="286"/>
      <c r="B1255" s="286"/>
      <c r="C1255" s="296"/>
      <c r="D1255" s="280"/>
      <c r="E1255" s="336"/>
      <c r="F1255" s="336"/>
      <c r="G1255" s="287"/>
      <c r="H1255" s="116" t="s">
        <v>76</v>
      </c>
      <c r="I1255" s="86">
        <v>0</v>
      </c>
      <c r="J1255" s="86">
        <v>0</v>
      </c>
      <c r="K1255" s="86">
        <v>10</v>
      </c>
    </row>
    <row r="1256" spans="1:223" s="92" customFormat="1" x14ac:dyDescent="0.3">
      <c r="A1256" s="286"/>
      <c r="B1256" s="286"/>
      <c r="C1256" s="296"/>
      <c r="D1256" s="280"/>
      <c r="E1256" s="336"/>
      <c r="F1256" s="336"/>
      <c r="G1256" s="285" t="s">
        <v>79</v>
      </c>
      <c r="H1256" s="116" t="s">
        <v>667</v>
      </c>
      <c r="I1256" s="86">
        <f>D1253*K1256*70/100</f>
        <v>1036262.85</v>
      </c>
      <c r="J1256" s="86">
        <f>I1256/D1253</f>
        <v>286.3</v>
      </c>
      <c r="K1256" s="86">
        <v>409</v>
      </c>
    </row>
    <row r="1257" spans="1:223" s="92" customFormat="1" x14ac:dyDescent="0.3">
      <c r="A1257" s="286"/>
      <c r="B1257" s="286"/>
      <c r="C1257" s="296"/>
      <c r="D1257" s="280"/>
      <c r="E1257" s="336"/>
      <c r="F1257" s="336"/>
      <c r="G1257" s="287"/>
      <c r="H1257" s="116" t="s">
        <v>76</v>
      </c>
      <c r="I1257" s="86">
        <v>0</v>
      </c>
      <c r="J1257" s="86">
        <v>0</v>
      </c>
      <c r="K1257" s="86">
        <v>9</v>
      </c>
    </row>
    <row r="1258" spans="1:223" s="92" customFormat="1" x14ac:dyDescent="0.3">
      <c r="A1258" s="286"/>
      <c r="B1258" s="286"/>
      <c r="C1258" s="296"/>
      <c r="D1258" s="280"/>
      <c r="E1258" s="336"/>
      <c r="F1258" s="336"/>
      <c r="G1258" s="285" t="s">
        <v>77</v>
      </c>
      <c r="H1258" s="116" t="s">
        <v>667</v>
      </c>
      <c r="I1258" s="86">
        <f>D1253*K1258*70/100</f>
        <v>5368804.3499999996</v>
      </c>
      <c r="J1258" s="86">
        <f>I1258/D1253</f>
        <v>1483.3</v>
      </c>
      <c r="K1258" s="86">
        <v>2119</v>
      </c>
    </row>
    <row r="1259" spans="1:223" s="92" customFormat="1" x14ac:dyDescent="0.3">
      <c r="A1259" s="287"/>
      <c r="B1259" s="287"/>
      <c r="C1259" s="297"/>
      <c r="D1259" s="281"/>
      <c r="E1259" s="337"/>
      <c r="F1259" s="337"/>
      <c r="G1259" s="287"/>
      <c r="H1259" s="116" t="s">
        <v>76</v>
      </c>
      <c r="I1259" s="86">
        <v>0</v>
      </c>
      <c r="J1259" s="86">
        <v>0</v>
      </c>
      <c r="K1259" s="86">
        <v>45</v>
      </c>
    </row>
    <row r="1260" spans="1:223" s="92" customFormat="1" ht="15.75" customHeight="1" x14ac:dyDescent="0.3">
      <c r="A1260" s="335">
        <f>A1253+1</f>
        <v>2</v>
      </c>
      <c r="B1260" s="335">
        <v>6011</v>
      </c>
      <c r="C1260" s="348" t="s">
        <v>720</v>
      </c>
      <c r="D1260" s="279">
        <v>2626.5</v>
      </c>
      <c r="E1260" s="335" t="s">
        <v>75</v>
      </c>
      <c r="F1260" s="335">
        <v>9</v>
      </c>
      <c r="G1260" s="285" t="s">
        <v>72</v>
      </c>
      <c r="H1260" s="116" t="s">
        <v>73</v>
      </c>
      <c r="I1260" s="86">
        <f>I1261+I1262</f>
        <v>3918738</v>
      </c>
      <c r="J1260" s="86">
        <f>J1261+J1262</f>
        <v>1492</v>
      </c>
      <c r="K1260" s="86">
        <f>K1261+K1262</f>
        <v>1524</v>
      </c>
    </row>
    <row r="1261" spans="1:223" s="92" customFormat="1" ht="15.75" customHeight="1" x14ac:dyDescent="0.3">
      <c r="A1261" s="336">
        <v>67</v>
      </c>
      <c r="B1261" s="336"/>
      <c r="C1261" s="349"/>
      <c r="D1261" s="280"/>
      <c r="E1261" s="336"/>
      <c r="F1261" s="336"/>
      <c r="G1261" s="286"/>
      <c r="H1261" s="116" t="s">
        <v>74</v>
      </c>
      <c r="I1261" s="86">
        <f>K1261*D1260</f>
        <v>3918738</v>
      </c>
      <c r="J1261" s="86">
        <f>I1261/D1260</f>
        <v>1492</v>
      </c>
      <c r="K1261" s="86">
        <v>1492</v>
      </c>
    </row>
    <row r="1262" spans="1:223" s="92" customFormat="1" ht="15.75" customHeight="1" x14ac:dyDescent="0.3">
      <c r="A1262" s="337"/>
      <c r="B1262" s="337"/>
      <c r="C1262" s="350"/>
      <c r="D1262" s="281"/>
      <c r="E1262" s="337"/>
      <c r="F1262" s="337"/>
      <c r="G1262" s="287"/>
      <c r="H1262" s="116" t="s">
        <v>76</v>
      </c>
      <c r="I1262" s="86">
        <v>0</v>
      </c>
      <c r="J1262" s="86">
        <v>0</v>
      </c>
      <c r="K1262" s="86">
        <v>32</v>
      </c>
    </row>
    <row r="1263" spans="1:223" s="92" customFormat="1" ht="15.75" customHeight="1" x14ac:dyDescent="0.3">
      <c r="A1263" s="285">
        <f>A1260+1</f>
        <v>3</v>
      </c>
      <c r="B1263" s="285">
        <v>6041</v>
      </c>
      <c r="C1263" s="295" t="s">
        <v>495</v>
      </c>
      <c r="D1263" s="279">
        <v>18052.599999999999</v>
      </c>
      <c r="E1263" s="285" t="s">
        <v>75</v>
      </c>
      <c r="F1263" s="285">
        <v>9</v>
      </c>
      <c r="G1263" s="124"/>
      <c r="H1263" s="116" t="s">
        <v>73</v>
      </c>
      <c r="I1263" s="86">
        <f>SUM(I1264:I1287)</f>
        <v>13867224</v>
      </c>
      <c r="J1263" s="86">
        <f>SUM(J1264:J1287)</f>
        <v>768.16</v>
      </c>
      <c r="K1263" s="86">
        <f>SUM(K1264:K1287)</f>
        <v>784.37</v>
      </c>
    </row>
    <row r="1264" spans="1:223" s="92" customFormat="1" ht="31" x14ac:dyDescent="0.3">
      <c r="A1264" s="286"/>
      <c r="B1264" s="286"/>
      <c r="C1264" s="296"/>
      <c r="D1264" s="280"/>
      <c r="E1264" s="286"/>
      <c r="F1264" s="286"/>
      <c r="G1264" s="308" t="s">
        <v>673</v>
      </c>
      <c r="H1264" s="116" t="s">
        <v>666</v>
      </c>
      <c r="I1264" s="86">
        <v>24580</v>
      </c>
      <c r="J1264" s="86">
        <f>I1264/D1263</f>
        <v>1.36</v>
      </c>
      <c r="K1264" s="86">
        <f>24580/D1263</f>
        <v>1.36</v>
      </c>
    </row>
    <row r="1265" spans="1:11" s="92" customFormat="1" x14ac:dyDescent="0.3">
      <c r="A1265" s="286"/>
      <c r="B1265" s="286"/>
      <c r="C1265" s="296"/>
      <c r="D1265" s="280"/>
      <c r="E1265" s="286"/>
      <c r="F1265" s="286"/>
      <c r="G1265" s="308"/>
      <c r="H1265" s="116" t="s">
        <v>674</v>
      </c>
      <c r="I1265" s="86">
        <v>1708823</v>
      </c>
      <c r="J1265" s="86">
        <f>I1265/D1263</f>
        <v>94.66</v>
      </c>
      <c r="K1265" s="86">
        <f>1708823/D1263</f>
        <v>94.66</v>
      </c>
    </row>
    <row r="1266" spans="1:11" s="92" customFormat="1" x14ac:dyDescent="0.3">
      <c r="A1266" s="286"/>
      <c r="B1266" s="286"/>
      <c r="C1266" s="296"/>
      <c r="D1266" s="280"/>
      <c r="E1266" s="286"/>
      <c r="F1266" s="286"/>
      <c r="G1266" s="308"/>
      <c r="H1266" s="116" t="s">
        <v>76</v>
      </c>
      <c r="I1266" s="86">
        <v>0</v>
      </c>
      <c r="J1266" s="86">
        <v>0</v>
      </c>
      <c r="K1266" s="86">
        <f>36569/D1263-0.01</f>
        <v>2.02</v>
      </c>
    </row>
    <row r="1267" spans="1:11" s="92" customFormat="1" ht="31" x14ac:dyDescent="0.3">
      <c r="A1267" s="286"/>
      <c r="B1267" s="286"/>
      <c r="C1267" s="296"/>
      <c r="D1267" s="280"/>
      <c r="E1267" s="286"/>
      <c r="F1267" s="286"/>
      <c r="G1267" s="308" t="s">
        <v>679</v>
      </c>
      <c r="H1267" s="116" t="s">
        <v>666</v>
      </c>
      <c r="I1267" s="86">
        <v>24580</v>
      </c>
      <c r="J1267" s="86">
        <f>I1267/D1263</f>
        <v>1.36</v>
      </c>
      <c r="K1267" s="86">
        <f>24580/D1263</f>
        <v>1.36</v>
      </c>
    </row>
    <row r="1268" spans="1:11" s="92" customFormat="1" x14ac:dyDescent="0.3">
      <c r="A1268" s="286"/>
      <c r="B1268" s="286"/>
      <c r="C1268" s="296"/>
      <c r="D1268" s="280"/>
      <c r="E1268" s="286"/>
      <c r="F1268" s="286"/>
      <c r="G1268" s="308"/>
      <c r="H1268" s="116" t="s">
        <v>674</v>
      </c>
      <c r="I1268" s="86">
        <v>1708823</v>
      </c>
      <c r="J1268" s="86">
        <f>I1268/D1263</f>
        <v>94.66</v>
      </c>
      <c r="K1268" s="86">
        <f>1708823/D1263</f>
        <v>94.66</v>
      </c>
    </row>
    <row r="1269" spans="1:11" s="92" customFormat="1" x14ac:dyDescent="0.3">
      <c r="A1269" s="286"/>
      <c r="B1269" s="286"/>
      <c r="C1269" s="296"/>
      <c r="D1269" s="280"/>
      <c r="E1269" s="286"/>
      <c r="F1269" s="286"/>
      <c r="G1269" s="308"/>
      <c r="H1269" s="116" t="s">
        <v>76</v>
      </c>
      <c r="I1269" s="86">
        <v>0</v>
      </c>
      <c r="J1269" s="86">
        <v>0</v>
      </c>
      <c r="K1269" s="86">
        <f>36569/D1263</f>
        <v>2.0299999999999998</v>
      </c>
    </row>
    <row r="1270" spans="1:11" s="92" customFormat="1" ht="31" x14ac:dyDescent="0.3">
      <c r="A1270" s="286"/>
      <c r="B1270" s="286"/>
      <c r="C1270" s="296"/>
      <c r="D1270" s="280"/>
      <c r="E1270" s="286"/>
      <c r="F1270" s="286"/>
      <c r="G1270" s="308" t="s">
        <v>680</v>
      </c>
      <c r="H1270" s="116" t="s">
        <v>666</v>
      </c>
      <c r="I1270" s="86">
        <v>24580</v>
      </c>
      <c r="J1270" s="86">
        <f>I1270/D1263</f>
        <v>1.36</v>
      </c>
      <c r="K1270" s="86">
        <f>24580/D1263</f>
        <v>1.36</v>
      </c>
    </row>
    <row r="1271" spans="1:11" s="92" customFormat="1" x14ac:dyDescent="0.3">
      <c r="A1271" s="286"/>
      <c r="B1271" s="286"/>
      <c r="C1271" s="296"/>
      <c r="D1271" s="280"/>
      <c r="E1271" s="286"/>
      <c r="F1271" s="286"/>
      <c r="G1271" s="308"/>
      <c r="H1271" s="116" t="s">
        <v>674</v>
      </c>
      <c r="I1271" s="86">
        <v>1708823</v>
      </c>
      <c r="J1271" s="86">
        <f>I1271/D1263</f>
        <v>94.66</v>
      </c>
      <c r="K1271" s="86">
        <f>1708823/D1263</f>
        <v>94.66</v>
      </c>
    </row>
    <row r="1272" spans="1:11" s="92" customFormat="1" x14ac:dyDescent="0.3">
      <c r="A1272" s="286"/>
      <c r="B1272" s="286"/>
      <c r="C1272" s="296"/>
      <c r="D1272" s="280"/>
      <c r="E1272" s="286"/>
      <c r="F1272" s="286"/>
      <c r="G1272" s="308"/>
      <c r="H1272" s="116" t="s">
        <v>76</v>
      </c>
      <c r="I1272" s="86">
        <v>0</v>
      </c>
      <c r="J1272" s="86">
        <v>0</v>
      </c>
      <c r="K1272" s="86">
        <f>36569/D1263-0.01</f>
        <v>2.02</v>
      </c>
    </row>
    <row r="1273" spans="1:11" s="92" customFormat="1" ht="31" x14ac:dyDescent="0.3">
      <c r="A1273" s="286"/>
      <c r="B1273" s="286"/>
      <c r="C1273" s="296"/>
      <c r="D1273" s="280"/>
      <c r="E1273" s="286"/>
      <c r="F1273" s="286"/>
      <c r="G1273" s="308" t="s">
        <v>681</v>
      </c>
      <c r="H1273" s="116" t="s">
        <v>666</v>
      </c>
      <c r="I1273" s="86">
        <v>24580</v>
      </c>
      <c r="J1273" s="86">
        <f>I1273/D1263</f>
        <v>1.36</v>
      </c>
      <c r="K1273" s="86">
        <f>24580/D1263</f>
        <v>1.36</v>
      </c>
    </row>
    <row r="1274" spans="1:11" s="92" customFormat="1" x14ac:dyDescent="0.3">
      <c r="A1274" s="286"/>
      <c r="B1274" s="286"/>
      <c r="C1274" s="296"/>
      <c r="D1274" s="280"/>
      <c r="E1274" s="286"/>
      <c r="F1274" s="286"/>
      <c r="G1274" s="308"/>
      <c r="H1274" s="116" t="s">
        <v>674</v>
      </c>
      <c r="I1274" s="86">
        <v>1708823</v>
      </c>
      <c r="J1274" s="86">
        <f>I1274/D1263</f>
        <v>94.66</v>
      </c>
      <c r="K1274" s="86">
        <f>1708823/D1263</f>
        <v>94.66</v>
      </c>
    </row>
    <row r="1275" spans="1:11" s="92" customFormat="1" x14ac:dyDescent="0.3">
      <c r="A1275" s="286"/>
      <c r="B1275" s="286"/>
      <c r="C1275" s="296"/>
      <c r="D1275" s="280"/>
      <c r="E1275" s="286"/>
      <c r="F1275" s="286"/>
      <c r="G1275" s="308"/>
      <c r="H1275" s="116" t="s">
        <v>76</v>
      </c>
      <c r="I1275" s="86">
        <v>0</v>
      </c>
      <c r="J1275" s="86">
        <v>0</v>
      </c>
      <c r="K1275" s="86">
        <f>36569/D1263</f>
        <v>2.0299999999999998</v>
      </c>
    </row>
    <row r="1276" spans="1:11" s="92" customFormat="1" ht="31" x14ac:dyDescent="0.3">
      <c r="A1276" s="286"/>
      <c r="B1276" s="286"/>
      <c r="C1276" s="296"/>
      <c r="D1276" s="280"/>
      <c r="E1276" s="286"/>
      <c r="F1276" s="286"/>
      <c r="G1276" s="308" t="s">
        <v>678</v>
      </c>
      <c r="H1276" s="116" t="s">
        <v>666</v>
      </c>
      <c r="I1276" s="86">
        <v>24580</v>
      </c>
      <c r="J1276" s="86">
        <f>I1276/D1263</f>
        <v>1.36</v>
      </c>
      <c r="K1276" s="86">
        <f>24580/D1263</f>
        <v>1.36</v>
      </c>
    </row>
    <row r="1277" spans="1:11" s="92" customFormat="1" x14ac:dyDescent="0.3">
      <c r="A1277" s="286"/>
      <c r="B1277" s="286"/>
      <c r="C1277" s="296"/>
      <c r="D1277" s="280"/>
      <c r="E1277" s="286"/>
      <c r="F1277" s="286"/>
      <c r="G1277" s="308"/>
      <c r="H1277" s="116" t="s">
        <v>674</v>
      </c>
      <c r="I1277" s="86">
        <v>1708823</v>
      </c>
      <c r="J1277" s="86">
        <f>I1277/D1263</f>
        <v>94.66</v>
      </c>
      <c r="K1277" s="86">
        <f>1708823/D1263</f>
        <v>94.66</v>
      </c>
    </row>
    <row r="1278" spans="1:11" s="92" customFormat="1" x14ac:dyDescent="0.3">
      <c r="A1278" s="286"/>
      <c r="B1278" s="286"/>
      <c r="C1278" s="296"/>
      <c r="D1278" s="280"/>
      <c r="E1278" s="286"/>
      <c r="F1278" s="286"/>
      <c r="G1278" s="308"/>
      <c r="H1278" s="116" t="s">
        <v>76</v>
      </c>
      <c r="I1278" s="86">
        <v>0</v>
      </c>
      <c r="J1278" s="86">
        <v>0</v>
      </c>
      <c r="K1278" s="86">
        <f>36569/D1263-0.01</f>
        <v>2.02</v>
      </c>
    </row>
    <row r="1279" spans="1:11" s="92" customFormat="1" ht="31" x14ac:dyDescent="0.3">
      <c r="A1279" s="286"/>
      <c r="B1279" s="286"/>
      <c r="C1279" s="296"/>
      <c r="D1279" s="280"/>
      <c r="E1279" s="286"/>
      <c r="F1279" s="286"/>
      <c r="G1279" s="308" t="s">
        <v>682</v>
      </c>
      <c r="H1279" s="116" t="s">
        <v>666</v>
      </c>
      <c r="I1279" s="86">
        <v>24580</v>
      </c>
      <c r="J1279" s="86">
        <f>I1279/D1263</f>
        <v>1.36</v>
      </c>
      <c r="K1279" s="86">
        <f>24580/D1263</f>
        <v>1.36</v>
      </c>
    </row>
    <row r="1280" spans="1:11" s="92" customFormat="1" x14ac:dyDescent="0.3">
      <c r="A1280" s="286"/>
      <c r="B1280" s="286"/>
      <c r="C1280" s="296"/>
      <c r="D1280" s="280"/>
      <c r="E1280" s="286"/>
      <c r="F1280" s="286"/>
      <c r="G1280" s="308"/>
      <c r="H1280" s="116" t="s">
        <v>674</v>
      </c>
      <c r="I1280" s="86">
        <v>1708823</v>
      </c>
      <c r="J1280" s="86">
        <f>I1280/D1263</f>
        <v>94.66</v>
      </c>
      <c r="K1280" s="86">
        <f>1708823/D1263</f>
        <v>94.66</v>
      </c>
    </row>
    <row r="1281" spans="1:11" s="92" customFormat="1" x14ac:dyDescent="0.3">
      <c r="A1281" s="286"/>
      <c r="B1281" s="286"/>
      <c r="C1281" s="296"/>
      <c r="D1281" s="280"/>
      <c r="E1281" s="286"/>
      <c r="F1281" s="286"/>
      <c r="G1281" s="308"/>
      <c r="H1281" s="116" t="s">
        <v>76</v>
      </c>
      <c r="I1281" s="86">
        <v>0</v>
      </c>
      <c r="J1281" s="86">
        <v>0</v>
      </c>
      <c r="K1281" s="86">
        <f>36569/D1263</f>
        <v>2.0299999999999998</v>
      </c>
    </row>
    <row r="1282" spans="1:11" s="92" customFormat="1" ht="31" x14ac:dyDescent="0.3">
      <c r="A1282" s="286"/>
      <c r="B1282" s="286"/>
      <c r="C1282" s="296"/>
      <c r="D1282" s="280"/>
      <c r="E1282" s="286"/>
      <c r="F1282" s="286"/>
      <c r="G1282" s="308" t="s">
        <v>683</v>
      </c>
      <c r="H1282" s="116" t="s">
        <v>666</v>
      </c>
      <c r="I1282" s="86">
        <v>24580</v>
      </c>
      <c r="J1282" s="86">
        <f>I1282/D1263</f>
        <v>1.36</v>
      </c>
      <c r="K1282" s="86">
        <f>24580/D1263</f>
        <v>1.36</v>
      </c>
    </row>
    <row r="1283" spans="1:11" s="92" customFormat="1" x14ac:dyDescent="0.3">
      <c r="A1283" s="286"/>
      <c r="B1283" s="286"/>
      <c r="C1283" s="296"/>
      <c r="D1283" s="280"/>
      <c r="E1283" s="286"/>
      <c r="F1283" s="286"/>
      <c r="G1283" s="308"/>
      <c r="H1283" s="116" t="s">
        <v>674</v>
      </c>
      <c r="I1283" s="86">
        <v>1708823</v>
      </c>
      <c r="J1283" s="86">
        <f>I1283/D1263</f>
        <v>94.66</v>
      </c>
      <c r="K1283" s="86">
        <f>1708823/D1263</f>
        <v>94.66</v>
      </c>
    </row>
    <row r="1284" spans="1:11" s="92" customFormat="1" x14ac:dyDescent="0.3">
      <c r="A1284" s="286"/>
      <c r="B1284" s="286"/>
      <c r="C1284" s="296"/>
      <c r="D1284" s="280"/>
      <c r="E1284" s="286"/>
      <c r="F1284" s="286"/>
      <c r="G1284" s="308"/>
      <c r="H1284" s="116" t="s">
        <v>76</v>
      </c>
      <c r="I1284" s="86">
        <v>0</v>
      </c>
      <c r="J1284" s="86">
        <v>0</v>
      </c>
      <c r="K1284" s="86">
        <f>36569/D1263</f>
        <v>2.0299999999999998</v>
      </c>
    </row>
    <row r="1285" spans="1:11" s="92" customFormat="1" ht="31" x14ac:dyDescent="0.3">
      <c r="A1285" s="286"/>
      <c r="B1285" s="286"/>
      <c r="C1285" s="296"/>
      <c r="D1285" s="280"/>
      <c r="E1285" s="286"/>
      <c r="F1285" s="286"/>
      <c r="G1285" s="308" t="s">
        <v>684</v>
      </c>
      <c r="H1285" s="116" t="s">
        <v>666</v>
      </c>
      <c r="I1285" s="86">
        <v>24580</v>
      </c>
      <c r="J1285" s="86">
        <f>I1285/D1263</f>
        <v>1.36</v>
      </c>
      <c r="K1285" s="86">
        <f>24580/D1263</f>
        <v>1.36</v>
      </c>
    </row>
    <row r="1286" spans="1:11" s="92" customFormat="1" x14ac:dyDescent="0.3">
      <c r="A1286" s="286"/>
      <c r="B1286" s="286"/>
      <c r="C1286" s="296"/>
      <c r="D1286" s="280"/>
      <c r="E1286" s="286"/>
      <c r="F1286" s="286"/>
      <c r="G1286" s="308"/>
      <c r="H1286" s="116" t="s">
        <v>674</v>
      </c>
      <c r="I1286" s="86">
        <v>1708823</v>
      </c>
      <c r="J1286" s="86">
        <f>I1286/D1263</f>
        <v>94.66</v>
      </c>
      <c r="K1286" s="86">
        <f>1708823/D1263</f>
        <v>94.66</v>
      </c>
    </row>
    <row r="1287" spans="1:11" s="92" customFormat="1" x14ac:dyDescent="0.3">
      <c r="A1287" s="287"/>
      <c r="B1287" s="287"/>
      <c r="C1287" s="297"/>
      <c r="D1287" s="281"/>
      <c r="E1287" s="287"/>
      <c r="F1287" s="287"/>
      <c r="G1287" s="308"/>
      <c r="H1287" s="116" t="s">
        <v>76</v>
      </c>
      <c r="I1287" s="86">
        <v>0</v>
      </c>
      <c r="J1287" s="86">
        <v>0</v>
      </c>
      <c r="K1287" s="86">
        <f>36569/D1263</f>
        <v>2.0299999999999998</v>
      </c>
    </row>
    <row r="1288" spans="1:11" s="92" customFormat="1" ht="15.75" customHeight="1" x14ac:dyDescent="0.3">
      <c r="A1288" s="285">
        <f>A1263+1</f>
        <v>4</v>
      </c>
      <c r="B1288" s="335">
        <v>5833</v>
      </c>
      <c r="C1288" s="348" t="s">
        <v>187</v>
      </c>
      <c r="D1288" s="279">
        <v>2041.3</v>
      </c>
      <c r="E1288" s="335" t="s">
        <v>75</v>
      </c>
      <c r="F1288" s="335">
        <v>4</v>
      </c>
      <c r="G1288" s="285" t="s">
        <v>72</v>
      </c>
      <c r="H1288" s="116" t="s">
        <v>73</v>
      </c>
      <c r="I1288" s="86">
        <f>I1289+I1290</f>
        <v>6614424.3899999997</v>
      </c>
      <c r="J1288" s="86">
        <f>J1289+J1290</f>
        <v>3240.3</v>
      </c>
      <c r="K1288" s="86">
        <f>K1289+K1290</f>
        <v>4728</v>
      </c>
    </row>
    <row r="1289" spans="1:11" s="92" customFormat="1" x14ac:dyDescent="0.3">
      <c r="A1289" s="286"/>
      <c r="B1289" s="336"/>
      <c r="C1289" s="349"/>
      <c r="D1289" s="280"/>
      <c r="E1289" s="336"/>
      <c r="F1289" s="336"/>
      <c r="G1289" s="286"/>
      <c r="H1289" s="116" t="s">
        <v>667</v>
      </c>
      <c r="I1289" s="86">
        <f>D1288*K1289*70/100</f>
        <v>6614424.3899999997</v>
      </c>
      <c r="J1289" s="86">
        <f>I1289/D1288</f>
        <v>3240.3</v>
      </c>
      <c r="K1289" s="86">
        <v>4629</v>
      </c>
    </row>
    <row r="1290" spans="1:11" s="92" customFormat="1" x14ac:dyDescent="0.3">
      <c r="A1290" s="287"/>
      <c r="B1290" s="337"/>
      <c r="C1290" s="350"/>
      <c r="D1290" s="281"/>
      <c r="E1290" s="337"/>
      <c r="F1290" s="337"/>
      <c r="G1290" s="287"/>
      <c r="H1290" s="116" t="s">
        <v>76</v>
      </c>
      <c r="I1290" s="86">
        <v>0</v>
      </c>
      <c r="J1290" s="86">
        <v>0</v>
      </c>
      <c r="K1290" s="86">
        <v>99</v>
      </c>
    </row>
    <row r="1291" spans="1:11" s="92" customFormat="1" ht="15.75" customHeight="1" x14ac:dyDescent="0.3">
      <c r="A1291" s="308">
        <f>A1288+1</f>
        <v>5</v>
      </c>
      <c r="B1291" s="308">
        <v>5834</v>
      </c>
      <c r="C1291" s="301" t="s">
        <v>496</v>
      </c>
      <c r="D1291" s="274">
        <v>2024.2</v>
      </c>
      <c r="E1291" s="274" t="s">
        <v>75</v>
      </c>
      <c r="F1291" s="334">
        <v>4</v>
      </c>
      <c r="G1291" s="308" t="s">
        <v>72</v>
      </c>
      <c r="H1291" s="116" t="s">
        <v>73</v>
      </c>
      <c r="I1291" s="86">
        <f>I1292</f>
        <v>331968.8</v>
      </c>
      <c r="J1291" s="86">
        <f>J1292</f>
        <v>164</v>
      </c>
      <c r="K1291" s="86">
        <f>K1292</f>
        <v>164</v>
      </c>
    </row>
    <row r="1292" spans="1:11" s="92" customFormat="1" ht="46.5" x14ac:dyDescent="0.3">
      <c r="A1292" s="308">
        <v>65</v>
      </c>
      <c r="B1292" s="308"/>
      <c r="C1292" s="301"/>
      <c r="D1292" s="274"/>
      <c r="E1292" s="274"/>
      <c r="F1292" s="334"/>
      <c r="G1292" s="308"/>
      <c r="H1292" s="159" t="s">
        <v>705</v>
      </c>
      <c r="I1292" s="86">
        <f>D1291*K1292</f>
        <v>331968.8</v>
      </c>
      <c r="J1292" s="86">
        <f>I1292/D1291</f>
        <v>164</v>
      </c>
      <c r="K1292" s="86">
        <f>151+13</f>
        <v>164</v>
      </c>
    </row>
    <row r="1293" spans="1:11" s="92" customFormat="1" ht="15.75" customHeight="1" x14ac:dyDescent="0.3">
      <c r="A1293" s="285">
        <f>A1291+1</f>
        <v>6</v>
      </c>
      <c r="B1293" s="335">
        <v>5842</v>
      </c>
      <c r="C1293" s="348" t="s">
        <v>188</v>
      </c>
      <c r="D1293" s="279">
        <v>911.5</v>
      </c>
      <c r="E1293" s="335" t="s">
        <v>721</v>
      </c>
      <c r="F1293" s="335">
        <v>2</v>
      </c>
      <c r="G1293" s="285" t="s">
        <v>72</v>
      </c>
      <c r="H1293" s="116" t="s">
        <v>73</v>
      </c>
      <c r="I1293" s="86">
        <f>I1294+I1295</f>
        <v>4414029.9000000004</v>
      </c>
      <c r="J1293" s="86">
        <f>J1294+J1295</f>
        <v>4842.6000000000004</v>
      </c>
      <c r="K1293" s="86">
        <f>K1294+K1295</f>
        <v>7066</v>
      </c>
    </row>
    <row r="1294" spans="1:11" s="92" customFormat="1" x14ac:dyDescent="0.3">
      <c r="A1294" s="286">
        <v>65</v>
      </c>
      <c r="B1294" s="336"/>
      <c r="C1294" s="349"/>
      <c r="D1294" s="280"/>
      <c r="E1294" s="336"/>
      <c r="F1294" s="336"/>
      <c r="G1294" s="286"/>
      <c r="H1294" s="116" t="s">
        <v>667</v>
      </c>
      <c r="I1294" s="86">
        <f>D1293*K1294*70/100</f>
        <v>4414029.9000000004</v>
      </c>
      <c r="J1294" s="86">
        <f>I1294/D1293</f>
        <v>4842.6000000000004</v>
      </c>
      <c r="K1294" s="86">
        <v>6918</v>
      </c>
    </row>
    <row r="1295" spans="1:11" s="92" customFormat="1" x14ac:dyDescent="0.3">
      <c r="A1295" s="287"/>
      <c r="B1295" s="337"/>
      <c r="C1295" s="350"/>
      <c r="D1295" s="281"/>
      <c r="E1295" s="337"/>
      <c r="F1295" s="337"/>
      <c r="G1295" s="287"/>
      <c r="H1295" s="116" t="s">
        <v>76</v>
      </c>
      <c r="I1295" s="86">
        <v>0</v>
      </c>
      <c r="J1295" s="86">
        <v>0</v>
      </c>
      <c r="K1295" s="86">
        <v>148</v>
      </c>
    </row>
    <row r="1296" spans="1:11" s="92" customFormat="1" ht="15.75" customHeight="1" x14ac:dyDescent="0.3">
      <c r="A1296" s="285">
        <f>A1293+1</f>
        <v>7</v>
      </c>
      <c r="B1296" s="285">
        <v>5861</v>
      </c>
      <c r="C1296" s="295" t="s">
        <v>497</v>
      </c>
      <c r="D1296" s="279">
        <v>2357.8000000000002</v>
      </c>
      <c r="E1296" s="285" t="s">
        <v>75</v>
      </c>
      <c r="F1296" s="285">
        <v>4</v>
      </c>
      <c r="G1296" s="285" t="s">
        <v>72</v>
      </c>
      <c r="H1296" s="116" t="s">
        <v>73</v>
      </c>
      <c r="I1296" s="86">
        <f>I1298+I1297</f>
        <v>3490720.47</v>
      </c>
      <c r="J1296" s="86">
        <f>J1298+J1297</f>
        <v>1480.5</v>
      </c>
      <c r="K1296" s="86">
        <f>K1298+K1297</f>
        <v>4793</v>
      </c>
    </row>
    <row r="1297" spans="1:11" s="92" customFormat="1" ht="46.5" x14ac:dyDescent="0.3">
      <c r="A1297" s="286"/>
      <c r="B1297" s="286"/>
      <c r="C1297" s="296"/>
      <c r="D1297" s="280"/>
      <c r="E1297" s="286"/>
      <c r="F1297" s="286"/>
      <c r="G1297" s="286"/>
      <c r="H1297" s="159" t="s">
        <v>705</v>
      </c>
      <c r="I1297" s="158">
        <f>216443.61</f>
        <v>216443.61</v>
      </c>
      <c r="J1297" s="86">
        <f>I1297/D1296</f>
        <v>91.8</v>
      </c>
      <c r="K1297" s="86">
        <f>151+13</f>
        <v>164</v>
      </c>
    </row>
    <row r="1298" spans="1:11" s="92" customFormat="1" x14ac:dyDescent="0.3">
      <c r="A1298" s="286"/>
      <c r="B1298" s="286"/>
      <c r="C1298" s="296"/>
      <c r="D1298" s="280"/>
      <c r="E1298" s="286"/>
      <c r="F1298" s="286"/>
      <c r="G1298" s="286"/>
      <c r="H1298" s="116" t="s">
        <v>74</v>
      </c>
      <c r="I1298" s="86">
        <f>D1296*K1298*30/100</f>
        <v>3274276.86</v>
      </c>
      <c r="J1298" s="86">
        <f>I1298/D1296</f>
        <v>1388.7</v>
      </c>
      <c r="K1298" s="86">
        <v>4629</v>
      </c>
    </row>
    <row r="1299" spans="1:11" s="92" customFormat="1" ht="15.75" customHeight="1" x14ac:dyDescent="0.3">
      <c r="A1299" s="335">
        <f>A1296+1</f>
        <v>8</v>
      </c>
      <c r="B1299" s="335">
        <v>5862</v>
      </c>
      <c r="C1299" s="348" t="s">
        <v>189</v>
      </c>
      <c r="D1299" s="279">
        <v>2376.8000000000002</v>
      </c>
      <c r="E1299" s="335" t="s">
        <v>75</v>
      </c>
      <c r="F1299" s="335">
        <v>4</v>
      </c>
      <c r="G1299" s="13"/>
      <c r="H1299" s="116" t="s">
        <v>73</v>
      </c>
      <c r="I1299" s="86">
        <f>I1300+I1301+I1302+I1303+I1304+I1305+I1306+I1307+I1308+I1309</f>
        <v>12328461.6</v>
      </c>
      <c r="J1299" s="86">
        <f>J1300+J1301+J1302+J1303+J1304+J1305+J1306+J1307+J1308+J1309</f>
        <v>5187</v>
      </c>
      <c r="K1299" s="86">
        <f>K1300+K1301+K1302+K1303+K1304+K1305+K1306+K1307+K1308+K1309</f>
        <v>5299</v>
      </c>
    </row>
    <row r="1300" spans="1:11" s="92" customFormat="1" x14ac:dyDescent="0.3">
      <c r="A1300" s="336"/>
      <c r="B1300" s="336"/>
      <c r="C1300" s="349"/>
      <c r="D1300" s="280"/>
      <c r="E1300" s="336"/>
      <c r="F1300" s="336"/>
      <c r="G1300" s="285" t="s">
        <v>78</v>
      </c>
      <c r="H1300" s="116" t="s">
        <v>667</v>
      </c>
      <c r="I1300" s="86">
        <f>D1299*K1300</f>
        <v>1100458.3999999999</v>
      </c>
      <c r="J1300" s="86">
        <f>I1300/D1299</f>
        <v>463</v>
      </c>
      <c r="K1300" s="86">
        <v>463</v>
      </c>
    </row>
    <row r="1301" spans="1:11" s="92" customFormat="1" x14ac:dyDescent="0.3">
      <c r="A1301" s="336"/>
      <c r="B1301" s="336"/>
      <c r="C1301" s="349"/>
      <c r="D1301" s="280"/>
      <c r="E1301" s="336"/>
      <c r="F1301" s="336"/>
      <c r="G1301" s="287"/>
      <c r="H1301" s="116" t="s">
        <v>76</v>
      </c>
      <c r="I1301" s="86">
        <v>0</v>
      </c>
      <c r="J1301" s="86">
        <v>0</v>
      </c>
      <c r="K1301" s="86">
        <v>10</v>
      </c>
    </row>
    <row r="1302" spans="1:11" s="92" customFormat="1" x14ac:dyDescent="0.3">
      <c r="A1302" s="336"/>
      <c r="B1302" s="336"/>
      <c r="C1302" s="349"/>
      <c r="D1302" s="280"/>
      <c r="E1302" s="336"/>
      <c r="F1302" s="336"/>
      <c r="G1302" s="285" t="s">
        <v>79</v>
      </c>
      <c r="H1302" s="116" t="s">
        <v>667</v>
      </c>
      <c r="I1302" s="86">
        <f>D1299*K1302</f>
        <v>972111.2</v>
      </c>
      <c r="J1302" s="86">
        <f>I1302/D1299</f>
        <v>409</v>
      </c>
      <c r="K1302" s="86">
        <v>409</v>
      </c>
    </row>
    <row r="1303" spans="1:11" s="92" customFormat="1" x14ac:dyDescent="0.3">
      <c r="A1303" s="336"/>
      <c r="B1303" s="336"/>
      <c r="C1303" s="349"/>
      <c r="D1303" s="280"/>
      <c r="E1303" s="336"/>
      <c r="F1303" s="336"/>
      <c r="G1303" s="287"/>
      <c r="H1303" s="116" t="s">
        <v>76</v>
      </c>
      <c r="I1303" s="86">
        <v>0</v>
      </c>
      <c r="J1303" s="86">
        <v>0</v>
      </c>
      <c r="K1303" s="86">
        <v>9</v>
      </c>
    </row>
    <row r="1304" spans="1:11" s="92" customFormat="1" x14ac:dyDescent="0.3">
      <c r="A1304" s="336"/>
      <c r="B1304" s="336"/>
      <c r="C1304" s="349"/>
      <c r="D1304" s="280"/>
      <c r="E1304" s="336"/>
      <c r="F1304" s="336"/>
      <c r="G1304" s="285" t="s">
        <v>90</v>
      </c>
      <c r="H1304" s="116" t="s">
        <v>667</v>
      </c>
      <c r="I1304" s="86">
        <f>D1299*K1304</f>
        <v>1064806.3999999999</v>
      </c>
      <c r="J1304" s="86">
        <f>I1304/D1299</f>
        <v>448</v>
      </c>
      <c r="K1304" s="86">
        <v>448</v>
      </c>
    </row>
    <row r="1305" spans="1:11" s="92" customFormat="1" x14ac:dyDescent="0.3">
      <c r="A1305" s="336"/>
      <c r="B1305" s="336"/>
      <c r="C1305" s="349"/>
      <c r="D1305" s="280"/>
      <c r="E1305" s="336"/>
      <c r="F1305" s="336"/>
      <c r="G1305" s="287"/>
      <c r="H1305" s="116" t="s">
        <v>76</v>
      </c>
      <c r="I1305" s="86">
        <v>0</v>
      </c>
      <c r="J1305" s="86">
        <v>0</v>
      </c>
      <c r="K1305" s="86">
        <v>10</v>
      </c>
    </row>
    <row r="1306" spans="1:11" s="92" customFormat="1" x14ac:dyDescent="0.3">
      <c r="A1306" s="336"/>
      <c r="B1306" s="336"/>
      <c r="C1306" s="349"/>
      <c r="D1306" s="280"/>
      <c r="E1306" s="336"/>
      <c r="F1306" s="336"/>
      <c r="G1306" s="285" t="s">
        <v>77</v>
      </c>
      <c r="H1306" s="116" t="s">
        <v>667</v>
      </c>
      <c r="I1306" s="86">
        <f>D1299*K1306</f>
        <v>6395968.7999999998</v>
      </c>
      <c r="J1306" s="86">
        <f>I1306/D1299</f>
        <v>2691</v>
      </c>
      <c r="K1306" s="86">
        <v>2691</v>
      </c>
    </row>
    <row r="1307" spans="1:11" s="92" customFormat="1" x14ac:dyDescent="0.3">
      <c r="A1307" s="336"/>
      <c r="B1307" s="336"/>
      <c r="C1307" s="349"/>
      <c r="D1307" s="280"/>
      <c r="E1307" s="336"/>
      <c r="F1307" s="336"/>
      <c r="G1307" s="287"/>
      <c r="H1307" s="116" t="s">
        <v>76</v>
      </c>
      <c r="I1307" s="86">
        <v>0</v>
      </c>
      <c r="J1307" s="86">
        <v>0</v>
      </c>
      <c r="K1307" s="86">
        <v>58</v>
      </c>
    </row>
    <row r="1308" spans="1:11" s="92" customFormat="1" ht="49.5" customHeight="1" x14ac:dyDescent="0.3">
      <c r="A1308" s="336"/>
      <c r="B1308" s="336"/>
      <c r="C1308" s="349"/>
      <c r="D1308" s="280"/>
      <c r="E1308" s="336"/>
      <c r="F1308" s="336"/>
      <c r="G1308" s="285" t="s">
        <v>675</v>
      </c>
      <c r="H1308" s="116" t="s">
        <v>688</v>
      </c>
      <c r="I1308" s="86">
        <f>D1299*K1308</f>
        <v>2795116.8</v>
      </c>
      <c r="J1308" s="86">
        <f>I1308/D1299</f>
        <v>1176</v>
      </c>
      <c r="K1308" s="86">
        <v>1176</v>
      </c>
    </row>
    <row r="1309" spans="1:11" s="92" customFormat="1" ht="96.75" customHeight="1" x14ac:dyDescent="0.3">
      <c r="A1309" s="337"/>
      <c r="B1309" s="337"/>
      <c r="C1309" s="350"/>
      <c r="D1309" s="281"/>
      <c r="E1309" s="337"/>
      <c r="F1309" s="337"/>
      <c r="G1309" s="287"/>
      <c r="H1309" s="116" t="s">
        <v>76</v>
      </c>
      <c r="I1309" s="86">
        <v>0</v>
      </c>
      <c r="J1309" s="86">
        <v>0</v>
      </c>
      <c r="K1309" s="86">
        <v>25</v>
      </c>
    </row>
    <row r="1310" spans="1:11" s="92" customFormat="1" ht="15.75" customHeight="1" x14ac:dyDescent="0.3">
      <c r="A1310" s="285">
        <f>A1299+1</f>
        <v>9</v>
      </c>
      <c r="B1310" s="285">
        <v>5865</v>
      </c>
      <c r="C1310" s="295" t="s">
        <v>499</v>
      </c>
      <c r="D1310" s="279">
        <v>2034.2</v>
      </c>
      <c r="E1310" s="279" t="s">
        <v>75</v>
      </c>
      <c r="F1310" s="335">
        <v>4</v>
      </c>
      <c r="G1310" s="285" t="s">
        <v>72</v>
      </c>
      <c r="H1310" s="116" t="s">
        <v>73</v>
      </c>
      <c r="I1310" s="86">
        <f>I1312+I1311</f>
        <v>3026136.64</v>
      </c>
      <c r="J1310" s="86">
        <f>J1312+J1311</f>
        <v>1487.63</v>
      </c>
      <c r="K1310" s="86">
        <f>K1312+K1311</f>
        <v>4793</v>
      </c>
    </row>
    <row r="1311" spans="1:11" s="92" customFormat="1" ht="46.5" x14ac:dyDescent="0.3">
      <c r="A1311" s="286"/>
      <c r="B1311" s="286"/>
      <c r="C1311" s="296"/>
      <c r="D1311" s="280"/>
      <c r="E1311" s="280"/>
      <c r="F1311" s="336"/>
      <c r="G1311" s="286"/>
      <c r="H1311" s="159" t="s">
        <v>705</v>
      </c>
      <c r="I1311" s="158">
        <f>201243.1</f>
        <v>201243.1</v>
      </c>
      <c r="J1311" s="86">
        <f>I1311/D1310</f>
        <v>98.93</v>
      </c>
      <c r="K1311" s="86">
        <f>151+13</f>
        <v>164</v>
      </c>
    </row>
    <row r="1312" spans="1:11" s="92" customFormat="1" x14ac:dyDescent="0.3">
      <c r="A1312" s="287"/>
      <c r="B1312" s="287"/>
      <c r="C1312" s="297"/>
      <c r="D1312" s="281"/>
      <c r="E1312" s="281"/>
      <c r="F1312" s="337"/>
      <c r="G1312" s="287"/>
      <c r="H1312" s="116" t="s">
        <v>74</v>
      </c>
      <c r="I1312" s="86">
        <f>D1310*K1312*30/100</f>
        <v>2824893.54</v>
      </c>
      <c r="J1312" s="86">
        <f>I1312/D1310</f>
        <v>1388.7</v>
      </c>
      <c r="K1312" s="86">
        <v>4629</v>
      </c>
    </row>
    <row r="1313" spans="1:11" s="92" customFormat="1" ht="15.75" customHeight="1" x14ac:dyDescent="0.3">
      <c r="A1313" s="308">
        <f>A1310+1</f>
        <v>10</v>
      </c>
      <c r="B1313" s="308">
        <v>5866</v>
      </c>
      <c r="C1313" s="301" t="s">
        <v>500</v>
      </c>
      <c r="D1313" s="274">
        <v>2046.3</v>
      </c>
      <c r="E1313" s="274" t="s">
        <v>75</v>
      </c>
      <c r="F1313" s="334">
        <v>4</v>
      </c>
      <c r="G1313" s="308" t="s">
        <v>72</v>
      </c>
      <c r="H1313" s="116" t="s">
        <v>73</v>
      </c>
      <c r="I1313" s="86">
        <f>I1314</f>
        <v>202037.92</v>
      </c>
      <c r="J1313" s="86">
        <f>J1314</f>
        <v>98.73</v>
      </c>
      <c r="K1313" s="86">
        <f>K1314</f>
        <v>164</v>
      </c>
    </row>
    <row r="1314" spans="1:11" s="92" customFormat="1" ht="46.5" x14ac:dyDescent="0.3">
      <c r="A1314" s="308">
        <v>65</v>
      </c>
      <c r="B1314" s="308"/>
      <c r="C1314" s="301"/>
      <c r="D1314" s="274"/>
      <c r="E1314" s="274"/>
      <c r="F1314" s="334"/>
      <c r="G1314" s="308"/>
      <c r="H1314" s="159" t="s">
        <v>705</v>
      </c>
      <c r="I1314" s="86">
        <f>202037.92</f>
        <v>202037.92</v>
      </c>
      <c r="J1314" s="86">
        <f>I1314/D1313</f>
        <v>98.73</v>
      </c>
      <c r="K1314" s="86">
        <f>151+13</f>
        <v>164</v>
      </c>
    </row>
    <row r="1315" spans="1:11" s="92" customFormat="1" ht="15.75" customHeight="1" x14ac:dyDescent="0.3">
      <c r="A1315" s="308">
        <f>A1313+1</f>
        <v>11</v>
      </c>
      <c r="B1315" s="308">
        <v>5867</v>
      </c>
      <c r="C1315" s="301" t="s">
        <v>501</v>
      </c>
      <c r="D1315" s="274">
        <v>2973.5</v>
      </c>
      <c r="E1315" s="274" t="s">
        <v>722</v>
      </c>
      <c r="F1315" s="334">
        <v>4</v>
      </c>
      <c r="G1315" s="308" t="s">
        <v>72</v>
      </c>
      <c r="H1315" s="116" t="s">
        <v>73</v>
      </c>
      <c r="I1315" s="86">
        <f>I1316</f>
        <v>487654</v>
      </c>
      <c r="J1315" s="86">
        <f>J1316</f>
        <v>164</v>
      </c>
      <c r="K1315" s="86">
        <f>K1316</f>
        <v>164</v>
      </c>
    </row>
    <row r="1316" spans="1:11" s="92" customFormat="1" ht="46.5" x14ac:dyDescent="0.3">
      <c r="A1316" s="308">
        <v>65</v>
      </c>
      <c r="B1316" s="308"/>
      <c r="C1316" s="301"/>
      <c r="D1316" s="274"/>
      <c r="E1316" s="274"/>
      <c r="F1316" s="334"/>
      <c r="G1316" s="308"/>
      <c r="H1316" s="159" t="s">
        <v>705</v>
      </c>
      <c r="I1316" s="86">
        <f>D1315*K1316</f>
        <v>487654</v>
      </c>
      <c r="J1316" s="86">
        <f>I1316/D1315</f>
        <v>164</v>
      </c>
      <c r="K1316" s="86">
        <f>151+13</f>
        <v>164</v>
      </c>
    </row>
    <row r="1317" spans="1:11" s="92" customFormat="1" ht="15.75" customHeight="1" x14ac:dyDescent="0.35">
      <c r="A1317" s="285">
        <f>A1315+1</f>
        <v>12</v>
      </c>
      <c r="B1317" s="285">
        <v>5868</v>
      </c>
      <c r="C1317" s="295" t="s">
        <v>731</v>
      </c>
      <c r="D1317" s="279">
        <v>2283.48</v>
      </c>
      <c r="E1317" s="279" t="s">
        <v>75</v>
      </c>
      <c r="F1317" s="335">
        <v>4</v>
      </c>
      <c r="G1317" s="33"/>
      <c r="H1317" s="116" t="s">
        <v>73</v>
      </c>
      <c r="I1317" s="86">
        <f>I1318+I1319+I1320+I1321+I1322+I1323</f>
        <v>4473219.96</v>
      </c>
      <c r="J1317" s="86">
        <f>J1318+J1319+J1320+J1321+J1322+J1323</f>
        <v>1958.95</v>
      </c>
      <c r="K1317" s="86">
        <f>K1318+K1319+K1320+K1321+K1322+K1323</f>
        <v>3640</v>
      </c>
    </row>
    <row r="1318" spans="1:11" s="92" customFormat="1" x14ac:dyDescent="0.3">
      <c r="A1318" s="286"/>
      <c r="B1318" s="286"/>
      <c r="C1318" s="296"/>
      <c r="D1318" s="280"/>
      <c r="E1318" s="280"/>
      <c r="F1318" s="336"/>
      <c r="G1318" s="285" t="s">
        <v>77</v>
      </c>
      <c r="H1318" s="116" t="s">
        <v>74</v>
      </c>
      <c r="I1318" s="86">
        <v>2482025.4</v>
      </c>
      <c r="J1318" s="86">
        <f>I1318/D1317</f>
        <v>1086.95</v>
      </c>
      <c r="K1318" s="86">
        <v>2691</v>
      </c>
    </row>
    <row r="1319" spans="1:11" s="92" customFormat="1" x14ac:dyDescent="0.3">
      <c r="A1319" s="286"/>
      <c r="B1319" s="286"/>
      <c r="C1319" s="296"/>
      <c r="D1319" s="280"/>
      <c r="E1319" s="280"/>
      <c r="F1319" s="336"/>
      <c r="G1319" s="287"/>
      <c r="H1319" s="116" t="s">
        <v>76</v>
      </c>
      <c r="I1319" s="86">
        <v>0</v>
      </c>
      <c r="J1319" s="86">
        <f>I1319/D1317</f>
        <v>0</v>
      </c>
      <c r="K1319" s="86">
        <v>58</v>
      </c>
    </row>
    <row r="1320" spans="1:11" s="92" customFormat="1" x14ac:dyDescent="0.3">
      <c r="A1320" s="286"/>
      <c r="B1320" s="286"/>
      <c r="C1320" s="296"/>
      <c r="D1320" s="280"/>
      <c r="E1320" s="280"/>
      <c r="F1320" s="336"/>
      <c r="G1320" s="285" t="s">
        <v>78</v>
      </c>
      <c r="H1320" s="116" t="s">
        <v>74</v>
      </c>
      <c r="I1320" s="86">
        <f>D1317*K1320</f>
        <v>1057251.24</v>
      </c>
      <c r="J1320" s="86">
        <f>I1320/D1317</f>
        <v>463</v>
      </c>
      <c r="K1320" s="86">
        <v>463</v>
      </c>
    </row>
    <row r="1321" spans="1:11" s="92" customFormat="1" x14ac:dyDescent="0.3">
      <c r="A1321" s="286"/>
      <c r="B1321" s="286"/>
      <c r="C1321" s="296"/>
      <c r="D1321" s="280"/>
      <c r="E1321" s="280"/>
      <c r="F1321" s="336"/>
      <c r="G1321" s="287"/>
      <c r="H1321" s="116" t="s">
        <v>76</v>
      </c>
      <c r="I1321" s="86">
        <v>0</v>
      </c>
      <c r="J1321" s="86">
        <f>I1321/D1317</f>
        <v>0</v>
      </c>
      <c r="K1321" s="86">
        <v>10</v>
      </c>
    </row>
    <row r="1322" spans="1:11" s="92" customFormat="1" x14ac:dyDescent="0.3">
      <c r="A1322" s="286"/>
      <c r="B1322" s="286"/>
      <c r="C1322" s="296"/>
      <c r="D1322" s="280"/>
      <c r="E1322" s="280"/>
      <c r="F1322" s="336"/>
      <c r="G1322" s="285" t="s">
        <v>79</v>
      </c>
      <c r="H1322" s="116" t="s">
        <v>74</v>
      </c>
      <c r="I1322" s="86">
        <f>D1317*K1322</f>
        <v>933943.32</v>
      </c>
      <c r="J1322" s="86">
        <f>I1322/D1317</f>
        <v>409</v>
      </c>
      <c r="K1322" s="86">
        <v>409</v>
      </c>
    </row>
    <row r="1323" spans="1:11" s="92" customFormat="1" x14ac:dyDescent="0.3">
      <c r="A1323" s="287"/>
      <c r="B1323" s="287"/>
      <c r="C1323" s="297"/>
      <c r="D1323" s="281"/>
      <c r="E1323" s="281"/>
      <c r="F1323" s="337"/>
      <c r="G1323" s="287"/>
      <c r="H1323" s="116" t="s">
        <v>76</v>
      </c>
      <c r="I1323" s="86">
        <v>0</v>
      </c>
      <c r="J1323" s="86">
        <f>I1323/D1317</f>
        <v>0</v>
      </c>
      <c r="K1323" s="86">
        <v>9</v>
      </c>
    </row>
    <row r="1324" spans="1:11" s="92" customFormat="1" ht="15.75" customHeight="1" x14ac:dyDescent="0.3">
      <c r="A1324" s="285">
        <f>A1317+1</f>
        <v>13</v>
      </c>
      <c r="B1324" s="285">
        <v>5869</v>
      </c>
      <c r="C1324" s="295" t="s">
        <v>191</v>
      </c>
      <c r="D1324" s="279">
        <v>2371.4299999999998</v>
      </c>
      <c r="E1324" s="279" t="s">
        <v>75</v>
      </c>
      <c r="F1324" s="335">
        <v>4</v>
      </c>
      <c r="G1324" s="285" t="s">
        <v>79</v>
      </c>
      <c r="H1324" s="116" t="s">
        <v>73</v>
      </c>
      <c r="I1324" s="86">
        <f>I1325+I1326</f>
        <v>418828.35</v>
      </c>
      <c r="J1324" s="86">
        <f>J1325+J1326</f>
        <v>176.61</v>
      </c>
      <c r="K1324" s="86">
        <f>K1325+K1326</f>
        <v>418</v>
      </c>
    </row>
    <row r="1325" spans="1:11" s="92" customFormat="1" ht="15.75" customHeight="1" x14ac:dyDescent="0.3">
      <c r="A1325" s="286"/>
      <c r="B1325" s="286"/>
      <c r="C1325" s="296"/>
      <c r="D1325" s="280"/>
      <c r="E1325" s="280"/>
      <c r="F1325" s="336"/>
      <c r="G1325" s="286"/>
      <c r="H1325" s="116" t="s">
        <v>74</v>
      </c>
      <c r="I1325" s="86">
        <f>598326.21*0.7</f>
        <v>418828.35</v>
      </c>
      <c r="J1325" s="86">
        <f>I1325/D1324</f>
        <v>176.61</v>
      </c>
      <c r="K1325" s="86">
        <v>409</v>
      </c>
    </row>
    <row r="1326" spans="1:11" s="92" customFormat="1" x14ac:dyDescent="0.3">
      <c r="A1326" s="287"/>
      <c r="B1326" s="287"/>
      <c r="C1326" s="297"/>
      <c r="D1326" s="281"/>
      <c r="E1326" s="281"/>
      <c r="F1326" s="337"/>
      <c r="G1326" s="287"/>
      <c r="H1326" s="116" t="s">
        <v>76</v>
      </c>
      <c r="I1326" s="86">
        <v>0</v>
      </c>
      <c r="J1326" s="86">
        <v>0</v>
      </c>
      <c r="K1326" s="86">
        <v>9</v>
      </c>
    </row>
    <row r="1327" spans="1:11" s="92" customFormat="1" ht="15.75" customHeight="1" x14ac:dyDescent="0.3">
      <c r="A1327" s="285">
        <f>A1324+1</f>
        <v>14</v>
      </c>
      <c r="B1327" s="285">
        <v>5873</v>
      </c>
      <c r="C1327" s="295" t="s">
        <v>502</v>
      </c>
      <c r="D1327" s="279">
        <v>2929.4</v>
      </c>
      <c r="E1327" s="279" t="s">
        <v>75</v>
      </c>
      <c r="F1327" s="335">
        <v>4</v>
      </c>
      <c r="G1327" s="285" t="s">
        <v>72</v>
      </c>
      <c r="H1327" s="116" t="s">
        <v>73</v>
      </c>
      <c r="I1327" s="86">
        <f>I1329+I1328</f>
        <v>4310186.87</v>
      </c>
      <c r="J1327" s="86">
        <f>J1329+J1328</f>
        <v>1471.35</v>
      </c>
      <c r="K1327" s="86">
        <f>K1329+K1328</f>
        <v>4793</v>
      </c>
    </row>
    <row r="1328" spans="1:11" s="92" customFormat="1" ht="46.5" x14ac:dyDescent="0.3">
      <c r="A1328" s="286"/>
      <c r="B1328" s="286"/>
      <c r="C1328" s="296"/>
      <c r="D1328" s="280"/>
      <c r="E1328" s="280"/>
      <c r="F1328" s="336"/>
      <c r="G1328" s="286"/>
      <c r="H1328" s="159" t="s">
        <v>705</v>
      </c>
      <c r="I1328" s="86">
        <v>242129.09</v>
      </c>
      <c r="J1328" s="86">
        <f>I1328/D1327</f>
        <v>82.65</v>
      </c>
      <c r="K1328" s="86">
        <f>151+13</f>
        <v>164</v>
      </c>
    </row>
    <row r="1329" spans="1:11" s="92" customFormat="1" x14ac:dyDescent="0.3">
      <c r="A1329" s="287"/>
      <c r="B1329" s="287"/>
      <c r="C1329" s="297"/>
      <c r="D1329" s="281"/>
      <c r="E1329" s="281"/>
      <c r="F1329" s="337"/>
      <c r="G1329" s="287"/>
      <c r="H1329" s="116" t="s">
        <v>74</v>
      </c>
      <c r="I1329" s="86">
        <f>D1327*K1329*30/100</f>
        <v>4068057.78</v>
      </c>
      <c r="J1329" s="86">
        <f>I1329/D1327</f>
        <v>1388.7</v>
      </c>
      <c r="K1329" s="86">
        <v>4629</v>
      </c>
    </row>
    <row r="1330" spans="1:11" s="92" customFormat="1" ht="15.75" customHeight="1" x14ac:dyDescent="0.3">
      <c r="A1330" s="335">
        <f>A1327+1</f>
        <v>15</v>
      </c>
      <c r="B1330" s="335">
        <v>5874</v>
      </c>
      <c r="C1330" s="348" t="s">
        <v>193</v>
      </c>
      <c r="D1330" s="279">
        <v>2947.8</v>
      </c>
      <c r="E1330" s="335" t="s">
        <v>75</v>
      </c>
      <c r="F1330" s="335">
        <v>4</v>
      </c>
      <c r="G1330" s="285" t="s">
        <v>72</v>
      </c>
      <c r="H1330" s="116" t="s">
        <v>73</v>
      </c>
      <c r="I1330" s="86">
        <f>I1331+I1332</f>
        <v>9551756.3399999999</v>
      </c>
      <c r="J1330" s="86">
        <f>J1331+J1332</f>
        <v>3240.3</v>
      </c>
      <c r="K1330" s="86">
        <f>K1331+K1332</f>
        <v>4728</v>
      </c>
    </row>
    <row r="1331" spans="1:11" s="92" customFormat="1" x14ac:dyDescent="0.3">
      <c r="A1331" s="336">
        <v>75</v>
      </c>
      <c r="B1331" s="336"/>
      <c r="C1331" s="349"/>
      <c r="D1331" s="280"/>
      <c r="E1331" s="336"/>
      <c r="F1331" s="336"/>
      <c r="G1331" s="286"/>
      <c r="H1331" s="116" t="s">
        <v>667</v>
      </c>
      <c r="I1331" s="86">
        <f>D1330*K1331*70/100</f>
        <v>9551756.3399999999</v>
      </c>
      <c r="J1331" s="86">
        <f>I1331/D1330</f>
        <v>3240.3</v>
      </c>
      <c r="K1331" s="86">
        <v>4629</v>
      </c>
    </row>
    <row r="1332" spans="1:11" s="92" customFormat="1" x14ac:dyDescent="0.3">
      <c r="A1332" s="337"/>
      <c r="B1332" s="337"/>
      <c r="C1332" s="350"/>
      <c r="D1332" s="281"/>
      <c r="E1332" s="337"/>
      <c r="F1332" s="337"/>
      <c r="G1332" s="287"/>
      <c r="H1332" s="116" t="s">
        <v>76</v>
      </c>
      <c r="I1332" s="86">
        <v>0</v>
      </c>
      <c r="J1332" s="86">
        <v>0</v>
      </c>
      <c r="K1332" s="86">
        <v>99</v>
      </c>
    </row>
    <row r="1333" spans="1:11" s="92" customFormat="1" ht="15.75" customHeight="1" x14ac:dyDescent="0.3">
      <c r="A1333" s="285">
        <f>A1330+1</f>
        <v>16</v>
      </c>
      <c r="B1333" s="285">
        <v>5877</v>
      </c>
      <c r="C1333" s="295" t="s">
        <v>676</v>
      </c>
      <c r="D1333" s="279">
        <v>887.8</v>
      </c>
      <c r="E1333" s="279" t="s">
        <v>80</v>
      </c>
      <c r="F1333" s="291">
        <v>2</v>
      </c>
      <c r="G1333" s="285" t="s">
        <v>77</v>
      </c>
      <c r="H1333" s="116" t="s">
        <v>73</v>
      </c>
      <c r="I1333" s="86">
        <f>I1334+I1335+I1336+I1337+I1338+I1339</f>
        <v>3155687.9</v>
      </c>
      <c r="J1333" s="86">
        <f>J1334+J1335+J1336+J1337+J1338+J1339</f>
        <v>3554.5</v>
      </c>
      <c r="K1333" s="86">
        <f>K1334+K1335+K1336+K1337+K1338+K1339</f>
        <v>3642</v>
      </c>
    </row>
    <row r="1334" spans="1:11" s="92" customFormat="1" x14ac:dyDescent="0.3">
      <c r="A1334" s="286"/>
      <c r="B1334" s="286"/>
      <c r="C1334" s="296"/>
      <c r="D1334" s="280"/>
      <c r="E1334" s="280"/>
      <c r="F1334" s="292"/>
      <c r="G1334" s="286"/>
      <c r="H1334" s="116" t="s">
        <v>74</v>
      </c>
      <c r="I1334" s="86">
        <v>2379750.7000000002</v>
      </c>
      <c r="J1334" s="86">
        <f>I1334/D1333</f>
        <v>2680.5</v>
      </c>
      <c r="K1334" s="86">
        <v>2691</v>
      </c>
    </row>
    <row r="1335" spans="1:11" s="92" customFormat="1" x14ac:dyDescent="0.3">
      <c r="A1335" s="286"/>
      <c r="B1335" s="286"/>
      <c r="C1335" s="296"/>
      <c r="D1335" s="280"/>
      <c r="E1335" s="280"/>
      <c r="F1335" s="292"/>
      <c r="G1335" s="287"/>
      <c r="H1335" s="116" t="s">
        <v>76</v>
      </c>
      <c r="I1335" s="86">
        <v>0</v>
      </c>
      <c r="J1335" s="86">
        <f>I1335/D1333</f>
        <v>0</v>
      </c>
      <c r="K1335" s="86">
        <v>58</v>
      </c>
    </row>
    <row r="1336" spans="1:11" s="92" customFormat="1" ht="16.5" customHeight="1" x14ac:dyDescent="0.3">
      <c r="A1336" s="286"/>
      <c r="B1336" s="286"/>
      <c r="C1336" s="296"/>
      <c r="D1336" s="280"/>
      <c r="E1336" s="280"/>
      <c r="F1336" s="292"/>
      <c r="G1336" s="285" t="s">
        <v>78</v>
      </c>
      <c r="H1336" s="116" t="s">
        <v>74</v>
      </c>
      <c r="I1336" s="86">
        <f>D1333*K1336</f>
        <v>401285.6</v>
      </c>
      <c r="J1336" s="86">
        <f>I1336/D1333</f>
        <v>452</v>
      </c>
      <c r="K1336" s="86">
        <v>452</v>
      </c>
    </row>
    <row r="1337" spans="1:11" s="92" customFormat="1" x14ac:dyDescent="0.3">
      <c r="A1337" s="286"/>
      <c r="B1337" s="286"/>
      <c r="C1337" s="296"/>
      <c r="D1337" s="280"/>
      <c r="E1337" s="280"/>
      <c r="F1337" s="292"/>
      <c r="G1337" s="287"/>
      <c r="H1337" s="116" t="s">
        <v>76</v>
      </c>
      <c r="I1337" s="86">
        <v>0</v>
      </c>
      <c r="J1337" s="86">
        <f>I1337/D1333</f>
        <v>0</v>
      </c>
      <c r="K1337" s="86">
        <v>10</v>
      </c>
    </row>
    <row r="1338" spans="1:11" s="92" customFormat="1" x14ac:dyDescent="0.3">
      <c r="A1338" s="286"/>
      <c r="B1338" s="286"/>
      <c r="C1338" s="296"/>
      <c r="D1338" s="280"/>
      <c r="E1338" s="280"/>
      <c r="F1338" s="292"/>
      <c r="G1338" s="285" t="s">
        <v>79</v>
      </c>
      <c r="H1338" s="116" t="s">
        <v>74</v>
      </c>
      <c r="I1338" s="86">
        <f>D1333*K1338</f>
        <v>374651.6</v>
      </c>
      <c r="J1338" s="86">
        <f>I1338/D1333</f>
        <v>422</v>
      </c>
      <c r="K1338" s="86">
        <v>422</v>
      </c>
    </row>
    <row r="1339" spans="1:11" s="92" customFormat="1" x14ac:dyDescent="0.3">
      <c r="A1339" s="287"/>
      <c r="B1339" s="287"/>
      <c r="C1339" s="297"/>
      <c r="D1339" s="281"/>
      <c r="E1339" s="281"/>
      <c r="F1339" s="294"/>
      <c r="G1339" s="287"/>
      <c r="H1339" s="116" t="s">
        <v>76</v>
      </c>
      <c r="I1339" s="86">
        <v>0</v>
      </c>
      <c r="J1339" s="86">
        <f>I1339/D1333</f>
        <v>0</v>
      </c>
      <c r="K1339" s="86">
        <v>9</v>
      </c>
    </row>
    <row r="1340" spans="1:11" s="92" customFormat="1" ht="15.75" customHeight="1" x14ac:dyDescent="0.3">
      <c r="A1340" s="308">
        <f>A1333+1</f>
        <v>17</v>
      </c>
      <c r="B1340" s="308">
        <v>5897</v>
      </c>
      <c r="C1340" s="301" t="s">
        <v>503</v>
      </c>
      <c r="D1340" s="274">
        <v>4728.8999999999996</v>
      </c>
      <c r="E1340" s="274" t="s">
        <v>75</v>
      </c>
      <c r="F1340" s="334">
        <v>5</v>
      </c>
      <c r="G1340" s="308" t="s">
        <v>72</v>
      </c>
      <c r="H1340" s="116" t="s">
        <v>73</v>
      </c>
      <c r="I1340" s="86">
        <f>I1341</f>
        <v>775539.6</v>
      </c>
      <c r="J1340" s="86">
        <f>J1341</f>
        <v>164</v>
      </c>
      <c r="K1340" s="86">
        <f>K1341</f>
        <v>164</v>
      </c>
    </row>
    <row r="1341" spans="1:11" s="92" customFormat="1" ht="46.5" x14ac:dyDescent="0.3">
      <c r="A1341" s="308">
        <v>65</v>
      </c>
      <c r="B1341" s="308"/>
      <c r="C1341" s="301"/>
      <c r="D1341" s="274"/>
      <c r="E1341" s="274"/>
      <c r="F1341" s="334"/>
      <c r="G1341" s="308"/>
      <c r="H1341" s="159" t="s">
        <v>705</v>
      </c>
      <c r="I1341" s="86">
        <f>D1340*K1341</f>
        <v>775539.6</v>
      </c>
      <c r="J1341" s="86">
        <f>I1341/D1340</f>
        <v>164</v>
      </c>
      <c r="K1341" s="86">
        <f>151+13</f>
        <v>164</v>
      </c>
    </row>
    <row r="1342" spans="1:11" s="92" customFormat="1" ht="15.75" customHeight="1" x14ac:dyDescent="0.3">
      <c r="A1342" s="285">
        <f>A1340+1</f>
        <v>18</v>
      </c>
      <c r="B1342" s="285">
        <v>5913</v>
      </c>
      <c r="C1342" s="295" t="s">
        <v>196</v>
      </c>
      <c r="D1342" s="279">
        <v>659.4</v>
      </c>
      <c r="E1342" s="279" t="s">
        <v>75</v>
      </c>
      <c r="F1342" s="335">
        <v>2</v>
      </c>
      <c r="G1342" s="285" t="s">
        <v>72</v>
      </c>
      <c r="H1342" s="116" t="s">
        <v>73</v>
      </c>
      <c r="I1342" s="86">
        <f>I1343+I1344</f>
        <v>3193210.44</v>
      </c>
      <c r="J1342" s="86">
        <f>J1343+J1344</f>
        <v>4842.6000000000004</v>
      </c>
      <c r="K1342" s="86">
        <f>K1343+K1344</f>
        <v>7066</v>
      </c>
    </row>
    <row r="1343" spans="1:11" s="92" customFormat="1" x14ac:dyDescent="0.3">
      <c r="A1343" s="286"/>
      <c r="B1343" s="286"/>
      <c r="C1343" s="296"/>
      <c r="D1343" s="280"/>
      <c r="E1343" s="280"/>
      <c r="F1343" s="336"/>
      <c r="G1343" s="286"/>
      <c r="H1343" s="116" t="s">
        <v>667</v>
      </c>
      <c r="I1343" s="86">
        <f>D1342*K1343*70/100</f>
        <v>3193210.44</v>
      </c>
      <c r="J1343" s="86">
        <f>I1343/D1342</f>
        <v>4842.6000000000004</v>
      </c>
      <c r="K1343" s="86">
        <v>6918</v>
      </c>
    </row>
    <row r="1344" spans="1:11" s="92" customFormat="1" x14ac:dyDescent="0.3">
      <c r="A1344" s="287"/>
      <c r="B1344" s="287"/>
      <c r="C1344" s="297"/>
      <c r="D1344" s="281"/>
      <c r="E1344" s="281"/>
      <c r="F1344" s="337"/>
      <c r="G1344" s="287"/>
      <c r="H1344" s="116" t="s">
        <v>76</v>
      </c>
      <c r="I1344" s="86">
        <v>0</v>
      </c>
      <c r="J1344" s="86">
        <v>0</v>
      </c>
      <c r="K1344" s="86">
        <v>148</v>
      </c>
    </row>
    <row r="1345" spans="1:11" s="92" customFormat="1" ht="15.75" customHeight="1" x14ac:dyDescent="0.3">
      <c r="A1345" s="285">
        <f>A1342+1</f>
        <v>19</v>
      </c>
      <c r="B1345" s="285">
        <v>5940</v>
      </c>
      <c r="C1345" s="295" t="s">
        <v>504</v>
      </c>
      <c r="D1345" s="279">
        <v>3856.6</v>
      </c>
      <c r="E1345" s="285" t="s">
        <v>71</v>
      </c>
      <c r="F1345" s="285">
        <v>5</v>
      </c>
      <c r="G1345" s="285" t="s">
        <v>85</v>
      </c>
      <c r="H1345" s="116" t="s">
        <v>73</v>
      </c>
      <c r="I1345" s="86">
        <f>I1346+I1347</f>
        <v>3937588.6</v>
      </c>
      <c r="J1345" s="86">
        <f>J1346+J1347</f>
        <v>1021</v>
      </c>
      <c r="K1345" s="86">
        <f>K1346+K1347</f>
        <v>1043</v>
      </c>
    </row>
    <row r="1346" spans="1:11" s="92" customFormat="1" x14ac:dyDescent="0.3">
      <c r="A1346" s="286"/>
      <c r="B1346" s="286"/>
      <c r="C1346" s="296"/>
      <c r="D1346" s="280"/>
      <c r="E1346" s="286"/>
      <c r="F1346" s="286"/>
      <c r="G1346" s="286"/>
      <c r="H1346" s="116" t="s">
        <v>74</v>
      </c>
      <c r="I1346" s="86">
        <f>D1345*K1346</f>
        <v>3937588.6</v>
      </c>
      <c r="J1346" s="86">
        <f>I1346/D1345</f>
        <v>1021</v>
      </c>
      <c r="K1346" s="86">
        <v>1021</v>
      </c>
    </row>
    <row r="1347" spans="1:11" s="92" customFormat="1" x14ac:dyDescent="0.3">
      <c r="A1347" s="287"/>
      <c r="B1347" s="287"/>
      <c r="C1347" s="297"/>
      <c r="D1347" s="281"/>
      <c r="E1347" s="287"/>
      <c r="F1347" s="287"/>
      <c r="G1347" s="287"/>
      <c r="H1347" s="116" t="s">
        <v>76</v>
      </c>
      <c r="I1347" s="86">
        <v>0</v>
      </c>
      <c r="J1347" s="86">
        <v>0</v>
      </c>
      <c r="K1347" s="86">
        <v>22</v>
      </c>
    </row>
    <row r="1348" spans="1:11" s="92" customFormat="1" ht="15.75" customHeight="1" x14ac:dyDescent="0.3">
      <c r="A1348" s="285">
        <f>A1345+1</f>
        <v>20</v>
      </c>
      <c r="B1348" s="285">
        <v>5947</v>
      </c>
      <c r="C1348" s="295" t="s">
        <v>198</v>
      </c>
      <c r="D1348" s="279">
        <v>501.3</v>
      </c>
      <c r="E1348" s="279" t="s">
        <v>665</v>
      </c>
      <c r="F1348" s="335">
        <v>2</v>
      </c>
      <c r="G1348" s="285" t="s">
        <v>72</v>
      </c>
      <c r="H1348" s="116" t="s">
        <v>73</v>
      </c>
      <c r="I1348" s="86">
        <f>I1349+I1350</f>
        <v>2427595.38</v>
      </c>
      <c r="J1348" s="86">
        <f>J1349+J1350</f>
        <v>4842.6000000000004</v>
      </c>
      <c r="K1348" s="86">
        <f>K1349+K1350</f>
        <v>7066</v>
      </c>
    </row>
    <row r="1349" spans="1:11" s="92" customFormat="1" x14ac:dyDescent="0.3">
      <c r="A1349" s="286">
        <v>65</v>
      </c>
      <c r="B1349" s="286"/>
      <c r="C1349" s="296"/>
      <c r="D1349" s="280"/>
      <c r="E1349" s="280"/>
      <c r="F1349" s="336"/>
      <c r="G1349" s="286"/>
      <c r="H1349" s="116" t="s">
        <v>667</v>
      </c>
      <c r="I1349" s="86">
        <f>D1348*K1349*70/100</f>
        <v>2427595.38</v>
      </c>
      <c r="J1349" s="86">
        <f>I1349/D1348</f>
        <v>4842.6000000000004</v>
      </c>
      <c r="K1349" s="86">
        <v>6918</v>
      </c>
    </row>
    <row r="1350" spans="1:11" s="92" customFormat="1" x14ac:dyDescent="0.3">
      <c r="A1350" s="287"/>
      <c r="B1350" s="287"/>
      <c r="C1350" s="297"/>
      <c r="D1350" s="281"/>
      <c r="E1350" s="281"/>
      <c r="F1350" s="337"/>
      <c r="G1350" s="287"/>
      <c r="H1350" s="116" t="s">
        <v>76</v>
      </c>
      <c r="I1350" s="86">
        <v>0</v>
      </c>
      <c r="J1350" s="86">
        <v>0</v>
      </c>
      <c r="K1350" s="86">
        <v>148</v>
      </c>
    </row>
    <row r="1351" spans="1:11" s="92" customFormat="1" ht="15.75" customHeight="1" x14ac:dyDescent="0.3">
      <c r="A1351" s="285">
        <f>A1348+1</f>
        <v>21</v>
      </c>
      <c r="B1351" s="285">
        <v>5948</v>
      </c>
      <c r="C1351" s="295" t="s">
        <v>505</v>
      </c>
      <c r="D1351" s="279">
        <v>3853.4</v>
      </c>
      <c r="E1351" s="285" t="s">
        <v>71</v>
      </c>
      <c r="F1351" s="285">
        <v>5</v>
      </c>
      <c r="G1351" s="285" t="s">
        <v>85</v>
      </c>
      <c r="H1351" s="116" t="s">
        <v>73</v>
      </c>
      <c r="I1351" s="86">
        <f>I1352+I1353</f>
        <v>3934321.4</v>
      </c>
      <c r="J1351" s="86">
        <f>J1352+J1353</f>
        <v>1021</v>
      </c>
      <c r="K1351" s="86">
        <f>K1352+K1353</f>
        <v>1043</v>
      </c>
    </row>
    <row r="1352" spans="1:11" s="92" customFormat="1" x14ac:dyDescent="0.3">
      <c r="A1352" s="286">
        <v>75</v>
      </c>
      <c r="B1352" s="286"/>
      <c r="C1352" s="296"/>
      <c r="D1352" s="280"/>
      <c r="E1352" s="286"/>
      <c r="F1352" s="286"/>
      <c r="G1352" s="286"/>
      <c r="H1352" s="116" t="s">
        <v>74</v>
      </c>
      <c r="I1352" s="86">
        <f>D1351*K1352</f>
        <v>3934321.4</v>
      </c>
      <c r="J1352" s="86">
        <f>I1352/D1351</f>
        <v>1021</v>
      </c>
      <c r="K1352" s="86">
        <v>1021</v>
      </c>
    </row>
    <row r="1353" spans="1:11" s="92" customFormat="1" x14ac:dyDescent="0.3">
      <c r="A1353" s="287"/>
      <c r="B1353" s="287"/>
      <c r="C1353" s="297"/>
      <c r="D1353" s="281"/>
      <c r="E1353" s="287"/>
      <c r="F1353" s="287"/>
      <c r="G1353" s="287"/>
      <c r="H1353" s="116" t="s">
        <v>76</v>
      </c>
      <c r="I1353" s="86">
        <v>0</v>
      </c>
      <c r="J1353" s="86">
        <v>0</v>
      </c>
      <c r="K1353" s="86">
        <v>22</v>
      </c>
    </row>
    <row r="1354" spans="1:11" s="92" customFormat="1" ht="15.75" customHeight="1" x14ac:dyDescent="0.3">
      <c r="A1354" s="285">
        <f>A1351+1</f>
        <v>22</v>
      </c>
      <c r="B1354" s="335">
        <v>6071</v>
      </c>
      <c r="C1354" s="348" t="s">
        <v>199</v>
      </c>
      <c r="D1354" s="279">
        <v>615.65</v>
      </c>
      <c r="E1354" s="335" t="s">
        <v>80</v>
      </c>
      <c r="F1354" s="335">
        <v>2</v>
      </c>
      <c r="G1354" s="13"/>
      <c r="H1354" s="116" t="s">
        <v>73</v>
      </c>
      <c r="I1354" s="86">
        <f>I1355+I1356+I1357+I1358</f>
        <v>376654.67</v>
      </c>
      <c r="J1354" s="86">
        <f>J1355+J1356+J1357+J1358</f>
        <v>611.79999999999995</v>
      </c>
      <c r="K1354" s="86">
        <f>K1355+K1356+K1357+K1358</f>
        <v>893</v>
      </c>
    </row>
    <row r="1355" spans="1:11" s="92" customFormat="1" x14ac:dyDescent="0.3">
      <c r="A1355" s="286"/>
      <c r="B1355" s="336"/>
      <c r="C1355" s="349"/>
      <c r="D1355" s="280"/>
      <c r="E1355" s="336"/>
      <c r="F1355" s="336"/>
      <c r="G1355" s="285" t="s">
        <v>78</v>
      </c>
      <c r="H1355" s="116" t="s">
        <v>667</v>
      </c>
      <c r="I1355" s="86">
        <f>D1354*K1355*70/100</f>
        <v>194791.66</v>
      </c>
      <c r="J1355" s="86">
        <f>I1355/D1354</f>
        <v>316.39999999999998</v>
      </c>
      <c r="K1355" s="86">
        <v>452</v>
      </c>
    </row>
    <row r="1356" spans="1:11" s="92" customFormat="1" x14ac:dyDescent="0.3">
      <c r="A1356" s="286"/>
      <c r="B1356" s="336"/>
      <c r="C1356" s="349"/>
      <c r="D1356" s="280"/>
      <c r="E1356" s="336"/>
      <c r="F1356" s="336"/>
      <c r="G1356" s="287"/>
      <c r="H1356" s="116" t="s">
        <v>76</v>
      </c>
      <c r="I1356" s="86">
        <v>0</v>
      </c>
      <c r="J1356" s="86">
        <v>0</v>
      </c>
      <c r="K1356" s="86">
        <v>10</v>
      </c>
    </row>
    <row r="1357" spans="1:11" s="92" customFormat="1" x14ac:dyDescent="0.3">
      <c r="A1357" s="286"/>
      <c r="B1357" s="336"/>
      <c r="C1357" s="349"/>
      <c r="D1357" s="280"/>
      <c r="E1357" s="336"/>
      <c r="F1357" s="336"/>
      <c r="G1357" s="285" t="s">
        <v>79</v>
      </c>
      <c r="H1357" s="116" t="s">
        <v>667</v>
      </c>
      <c r="I1357" s="86">
        <f>D1354*K1357*70/100</f>
        <v>181863.01</v>
      </c>
      <c r="J1357" s="86">
        <f>I1357/D1354</f>
        <v>295.39999999999998</v>
      </c>
      <c r="K1357" s="86">
        <v>422</v>
      </c>
    </row>
    <row r="1358" spans="1:11" s="92" customFormat="1" x14ac:dyDescent="0.3">
      <c r="A1358" s="287"/>
      <c r="B1358" s="337"/>
      <c r="C1358" s="350"/>
      <c r="D1358" s="281"/>
      <c r="E1358" s="337"/>
      <c r="F1358" s="337"/>
      <c r="G1358" s="287"/>
      <c r="H1358" s="116" t="s">
        <v>76</v>
      </c>
      <c r="I1358" s="86">
        <v>0</v>
      </c>
      <c r="J1358" s="86">
        <v>0</v>
      </c>
      <c r="K1358" s="86">
        <v>9</v>
      </c>
    </row>
    <row r="1359" spans="1:11" s="92" customFormat="1" ht="15.75" customHeight="1" x14ac:dyDescent="0.3">
      <c r="A1359" s="285">
        <f>A1354+1</f>
        <v>23</v>
      </c>
      <c r="B1359" s="285">
        <v>6072</v>
      </c>
      <c r="C1359" s="295" t="s">
        <v>201</v>
      </c>
      <c r="D1359" s="279">
        <v>534.9</v>
      </c>
      <c r="E1359" s="285" t="s">
        <v>80</v>
      </c>
      <c r="F1359" s="285">
        <v>2</v>
      </c>
      <c r="G1359" s="285" t="s">
        <v>72</v>
      </c>
      <c r="H1359" s="116" t="s">
        <v>73</v>
      </c>
      <c r="I1359" s="86">
        <f>I1360+I1361</f>
        <v>2590306.7400000002</v>
      </c>
      <c r="J1359" s="86">
        <f>J1360+J1361</f>
        <v>4842.6000000000004</v>
      </c>
      <c r="K1359" s="86">
        <f>K1360+K1361</f>
        <v>7066</v>
      </c>
    </row>
    <row r="1360" spans="1:11" s="92" customFormat="1" x14ac:dyDescent="0.3">
      <c r="A1360" s="286">
        <v>65</v>
      </c>
      <c r="B1360" s="286"/>
      <c r="C1360" s="296"/>
      <c r="D1360" s="280"/>
      <c r="E1360" s="286"/>
      <c r="F1360" s="286"/>
      <c r="G1360" s="286"/>
      <c r="H1360" s="116" t="s">
        <v>667</v>
      </c>
      <c r="I1360" s="86">
        <f>D1359*K1360*70/100</f>
        <v>2590306.7400000002</v>
      </c>
      <c r="J1360" s="86">
        <f>I1360/D1359</f>
        <v>4842.6000000000004</v>
      </c>
      <c r="K1360" s="86">
        <v>6918</v>
      </c>
    </row>
    <row r="1361" spans="1:11" s="92" customFormat="1" x14ac:dyDescent="0.3">
      <c r="A1361" s="287"/>
      <c r="B1361" s="287"/>
      <c r="C1361" s="297"/>
      <c r="D1361" s="281"/>
      <c r="E1361" s="287"/>
      <c r="F1361" s="287"/>
      <c r="G1361" s="287"/>
      <c r="H1361" s="116" t="s">
        <v>76</v>
      </c>
      <c r="I1361" s="86">
        <v>0</v>
      </c>
      <c r="J1361" s="86">
        <v>0</v>
      </c>
      <c r="K1361" s="86">
        <v>148</v>
      </c>
    </row>
    <row r="1362" spans="1:11" s="92" customFormat="1" ht="15.75" customHeight="1" x14ac:dyDescent="0.3">
      <c r="A1362" s="285">
        <f>A1359+1</f>
        <v>24</v>
      </c>
      <c r="B1362" s="285">
        <v>6074</v>
      </c>
      <c r="C1362" s="295" t="s">
        <v>202</v>
      </c>
      <c r="D1362" s="279">
        <v>599.02</v>
      </c>
      <c r="E1362" s="285" t="s">
        <v>80</v>
      </c>
      <c r="F1362" s="285">
        <v>2</v>
      </c>
      <c r="G1362" s="285" t="s">
        <v>72</v>
      </c>
      <c r="H1362" s="116" t="s">
        <v>73</v>
      </c>
      <c r="I1362" s="86">
        <f>I1363+I1364</f>
        <v>2900814.25</v>
      </c>
      <c r="J1362" s="86">
        <f>J1363+J1364</f>
        <v>4842.6000000000004</v>
      </c>
      <c r="K1362" s="86">
        <f>K1363+K1364</f>
        <v>7066</v>
      </c>
    </row>
    <row r="1363" spans="1:11" s="92" customFormat="1" x14ac:dyDescent="0.3">
      <c r="A1363" s="286">
        <v>65</v>
      </c>
      <c r="B1363" s="286"/>
      <c r="C1363" s="296"/>
      <c r="D1363" s="280"/>
      <c r="E1363" s="286"/>
      <c r="F1363" s="286"/>
      <c r="G1363" s="286"/>
      <c r="H1363" s="116" t="s">
        <v>667</v>
      </c>
      <c r="I1363" s="86">
        <f>D1362*K1363*70/100</f>
        <v>2900814.25</v>
      </c>
      <c r="J1363" s="86">
        <f>I1363/D1362</f>
        <v>4842.6000000000004</v>
      </c>
      <c r="K1363" s="86">
        <v>6918</v>
      </c>
    </row>
    <row r="1364" spans="1:11" s="92" customFormat="1" x14ac:dyDescent="0.3">
      <c r="A1364" s="287"/>
      <c r="B1364" s="287"/>
      <c r="C1364" s="297"/>
      <c r="D1364" s="281"/>
      <c r="E1364" s="287"/>
      <c r="F1364" s="287"/>
      <c r="G1364" s="287"/>
      <c r="H1364" s="116" t="s">
        <v>76</v>
      </c>
      <c r="I1364" s="86">
        <v>0</v>
      </c>
      <c r="J1364" s="86">
        <v>0</v>
      </c>
      <c r="K1364" s="86">
        <v>148</v>
      </c>
    </row>
    <row r="1365" spans="1:11" s="92" customFormat="1" ht="15.75" customHeight="1" x14ac:dyDescent="0.3">
      <c r="A1365" s="285">
        <f>A1362+1</f>
        <v>25</v>
      </c>
      <c r="B1365" s="285">
        <v>6076</v>
      </c>
      <c r="C1365" s="295" t="s">
        <v>203</v>
      </c>
      <c r="D1365" s="279">
        <v>529.9</v>
      </c>
      <c r="E1365" s="285" t="s">
        <v>80</v>
      </c>
      <c r="F1365" s="285">
        <v>2</v>
      </c>
      <c r="G1365" s="285" t="s">
        <v>72</v>
      </c>
      <c r="H1365" s="116" t="s">
        <v>73</v>
      </c>
      <c r="I1365" s="86">
        <f>I1366+I1367</f>
        <v>2566093.7400000002</v>
      </c>
      <c r="J1365" s="86">
        <f>J1366+J1367</f>
        <v>4842.6000000000004</v>
      </c>
      <c r="K1365" s="86">
        <f>K1366+K1367</f>
        <v>7066</v>
      </c>
    </row>
    <row r="1366" spans="1:11" s="92" customFormat="1" x14ac:dyDescent="0.3">
      <c r="A1366" s="286">
        <v>65</v>
      </c>
      <c r="B1366" s="286"/>
      <c r="C1366" s="296"/>
      <c r="D1366" s="280"/>
      <c r="E1366" s="286"/>
      <c r="F1366" s="286"/>
      <c r="G1366" s="286"/>
      <c r="H1366" s="116" t="s">
        <v>667</v>
      </c>
      <c r="I1366" s="86">
        <f>D1365*K1366*70/100</f>
        <v>2566093.7400000002</v>
      </c>
      <c r="J1366" s="86">
        <f>I1366/D1365</f>
        <v>4842.6000000000004</v>
      </c>
      <c r="K1366" s="86">
        <v>6918</v>
      </c>
    </row>
    <row r="1367" spans="1:11" s="92" customFormat="1" x14ac:dyDescent="0.3">
      <c r="A1367" s="287"/>
      <c r="B1367" s="287"/>
      <c r="C1367" s="297"/>
      <c r="D1367" s="281"/>
      <c r="E1367" s="287"/>
      <c r="F1367" s="287"/>
      <c r="G1367" s="287"/>
      <c r="H1367" s="116" t="s">
        <v>76</v>
      </c>
      <c r="I1367" s="86">
        <v>0</v>
      </c>
      <c r="J1367" s="86">
        <v>0</v>
      </c>
      <c r="K1367" s="86">
        <v>148</v>
      </c>
    </row>
    <row r="1368" spans="1:11" s="92" customFormat="1" ht="15.75" customHeight="1" x14ac:dyDescent="0.35">
      <c r="A1368" s="335">
        <f>A1365+1</f>
        <v>26</v>
      </c>
      <c r="B1368" s="335">
        <v>6087</v>
      </c>
      <c r="C1368" s="348" t="s">
        <v>204</v>
      </c>
      <c r="D1368" s="279">
        <v>2447.1999999999998</v>
      </c>
      <c r="E1368" s="335" t="s">
        <v>75</v>
      </c>
      <c r="F1368" s="335">
        <v>5</v>
      </c>
      <c r="G1368" s="33"/>
      <c r="H1368" s="116" t="s">
        <v>73</v>
      </c>
      <c r="I1368" s="86">
        <f>I1369+I1370+I1371+I1372+I1373+I1374</f>
        <v>3230304</v>
      </c>
      <c r="J1368" s="86">
        <f>J1369+J1370+J1371+J1372+J1373+J1374</f>
        <v>1320</v>
      </c>
      <c r="K1368" s="86">
        <f>K1369+K1370+K1371+K1372+K1373+K1374</f>
        <v>1349</v>
      </c>
    </row>
    <row r="1369" spans="1:11" s="92" customFormat="1" x14ac:dyDescent="0.3">
      <c r="A1369" s="336"/>
      <c r="B1369" s="336"/>
      <c r="C1369" s="349"/>
      <c r="D1369" s="280"/>
      <c r="E1369" s="336"/>
      <c r="F1369" s="336"/>
      <c r="G1369" s="285" t="s">
        <v>90</v>
      </c>
      <c r="H1369" s="116" t="s">
        <v>667</v>
      </c>
      <c r="I1369" s="86">
        <f>D1368*K1369</f>
        <v>1096345.6000000001</v>
      </c>
      <c r="J1369" s="86">
        <f>I1369/D1368</f>
        <v>448</v>
      </c>
      <c r="K1369" s="86">
        <v>448</v>
      </c>
    </row>
    <row r="1370" spans="1:11" s="92" customFormat="1" x14ac:dyDescent="0.3">
      <c r="A1370" s="336"/>
      <c r="B1370" s="336"/>
      <c r="C1370" s="349"/>
      <c r="D1370" s="280"/>
      <c r="E1370" s="336"/>
      <c r="F1370" s="336"/>
      <c r="G1370" s="287"/>
      <c r="H1370" s="116" t="s">
        <v>76</v>
      </c>
      <c r="I1370" s="86">
        <v>0</v>
      </c>
      <c r="J1370" s="86">
        <f>I1370/D1368</f>
        <v>0</v>
      </c>
      <c r="K1370" s="86">
        <v>10</v>
      </c>
    </row>
    <row r="1371" spans="1:11" s="92" customFormat="1" x14ac:dyDescent="0.3">
      <c r="A1371" s="336"/>
      <c r="B1371" s="336"/>
      <c r="C1371" s="349"/>
      <c r="D1371" s="280"/>
      <c r="E1371" s="336"/>
      <c r="F1371" s="336"/>
      <c r="G1371" s="285" t="s">
        <v>78</v>
      </c>
      <c r="H1371" s="116" t="s">
        <v>667</v>
      </c>
      <c r="I1371" s="86">
        <f>D1368*K1371</f>
        <v>1133053.6000000001</v>
      </c>
      <c r="J1371" s="86">
        <f>I1371/D1368</f>
        <v>463</v>
      </c>
      <c r="K1371" s="86">
        <v>463</v>
      </c>
    </row>
    <row r="1372" spans="1:11" s="92" customFormat="1" x14ac:dyDescent="0.3">
      <c r="A1372" s="336"/>
      <c r="B1372" s="336"/>
      <c r="C1372" s="349"/>
      <c r="D1372" s="280"/>
      <c r="E1372" s="336"/>
      <c r="F1372" s="336"/>
      <c r="G1372" s="287"/>
      <c r="H1372" s="116" t="s">
        <v>76</v>
      </c>
      <c r="I1372" s="86">
        <v>0</v>
      </c>
      <c r="J1372" s="86">
        <f>I1372/D1368</f>
        <v>0</v>
      </c>
      <c r="K1372" s="86">
        <v>10</v>
      </c>
    </row>
    <row r="1373" spans="1:11" s="92" customFormat="1" x14ac:dyDescent="0.3">
      <c r="A1373" s="336"/>
      <c r="B1373" s="336"/>
      <c r="C1373" s="349"/>
      <c r="D1373" s="280"/>
      <c r="E1373" s="336"/>
      <c r="F1373" s="336"/>
      <c r="G1373" s="285" t="s">
        <v>79</v>
      </c>
      <c r="H1373" s="116" t="s">
        <v>667</v>
      </c>
      <c r="I1373" s="86">
        <f>D1368*K1373</f>
        <v>1000904.8</v>
      </c>
      <c r="J1373" s="86">
        <f>I1373/D1368</f>
        <v>409</v>
      </c>
      <c r="K1373" s="86">
        <v>409</v>
      </c>
    </row>
    <row r="1374" spans="1:11" s="92" customFormat="1" x14ac:dyDescent="0.3">
      <c r="A1374" s="337"/>
      <c r="B1374" s="337"/>
      <c r="C1374" s="350"/>
      <c r="D1374" s="281"/>
      <c r="E1374" s="337"/>
      <c r="F1374" s="337"/>
      <c r="G1374" s="287"/>
      <c r="H1374" s="116" t="s">
        <v>76</v>
      </c>
      <c r="I1374" s="86">
        <v>0</v>
      </c>
      <c r="J1374" s="86">
        <f>I1374/D1368</f>
        <v>0</v>
      </c>
      <c r="K1374" s="86">
        <v>9</v>
      </c>
    </row>
    <row r="1375" spans="1:11" s="92" customFormat="1" ht="15.75" customHeight="1" x14ac:dyDescent="0.3">
      <c r="A1375" s="285">
        <f>A1368+1</f>
        <v>27</v>
      </c>
      <c r="B1375" s="285">
        <v>6139</v>
      </c>
      <c r="C1375" s="295" t="s">
        <v>206</v>
      </c>
      <c r="D1375" s="279">
        <v>2152.6</v>
      </c>
      <c r="E1375" s="285" t="s">
        <v>75</v>
      </c>
      <c r="F1375" s="285">
        <v>3</v>
      </c>
      <c r="G1375" s="285" t="s">
        <v>72</v>
      </c>
      <c r="H1375" s="116" t="s">
        <v>73</v>
      </c>
      <c r="I1375" s="86">
        <f>I1376+I1377</f>
        <v>6975069.7800000003</v>
      </c>
      <c r="J1375" s="86">
        <f>J1376+J1377</f>
        <v>3240.3</v>
      </c>
      <c r="K1375" s="86">
        <f>K1376+K1377</f>
        <v>4728</v>
      </c>
    </row>
    <row r="1376" spans="1:11" s="92" customFormat="1" x14ac:dyDescent="0.3">
      <c r="A1376" s="286">
        <v>65</v>
      </c>
      <c r="B1376" s="286"/>
      <c r="C1376" s="296"/>
      <c r="D1376" s="280"/>
      <c r="E1376" s="286"/>
      <c r="F1376" s="286"/>
      <c r="G1376" s="286"/>
      <c r="H1376" s="116" t="s">
        <v>667</v>
      </c>
      <c r="I1376" s="86">
        <f>D1375*K1376*70/100</f>
        <v>6975069.7800000003</v>
      </c>
      <c r="J1376" s="86">
        <f>I1376/D1375</f>
        <v>3240.3</v>
      </c>
      <c r="K1376" s="86">
        <v>4629</v>
      </c>
    </row>
    <row r="1377" spans="1:11" s="92" customFormat="1" x14ac:dyDescent="0.3">
      <c r="A1377" s="287"/>
      <c r="B1377" s="287"/>
      <c r="C1377" s="297"/>
      <c r="D1377" s="281"/>
      <c r="E1377" s="287"/>
      <c r="F1377" s="287"/>
      <c r="G1377" s="287"/>
      <c r="H1377" s="116" t="s">
        <v>76</v>
      </c>
      <c r="I1377" s="86">
        <v>0</v>
      </c>
      <c r="J1377" s="86">
        <v>0</v>
      </c>
      <c r="K1377" s="86">
        <v>99</v>
      </c>
    </row>
    <row r="1378" spans="1:11" s="92" customFormat="1" ht="15.75" customHeight="1" x14ac:dyDescent="0.3">
      <c r="A1378" s="285">
        <f>A1375+1</f>
        <v>28</v>
      </c>
      <c r="B1378" s="285">
        <v>6147</v>
      </c>
      <c r="C1378" s="295" t="s">
        <v>208</v>
      </c>
      <c r="D1378" s="279">
        <v>2345.3000000000002</v>
      </c>
      <c r="E1378" s="285" t="s">
        <v>80</v>
      </c>
      <c r="F1378" s="285">
        <v>4</v>
      </c>
      <c r="G1378" s="285" t="s">
        <v>72</v>
      </c>
      <c r="H1378" s="116" t="s">
        <v>73</v>
      </c>
      <c r="I1378" s="86">
        <f>I1379+I1380</f>
        <v>7599475.5899999999</v>
      </c>
      <c r="J1378" s="86">
        <f>J1379+J1380</f>
        <v>3240.3</v>
      </c>
      <c r="K1378" s="86">
        <f>K1379+K1380</f>
        <v>4728</v>
      </c>
    </row>
    <row r="1379" spans="1:11" s="92" customFormat="1" x14ac:dyDescent="0.3">
      <c r="A1379" s="286">
        <v>65</v>
      </c>
      <c r="B1379" s="286"/>
      <c r="C1379" s="296"/>
      <c r="D1379" s="280"/>
      <c r="E1379" s="286"/>
      <c r="F1379" s="286"/>
      <c r="G1379" s="286"/>
      <c r="H1379" s="116" t="s">
        <v>667</v>
      </c>
      <c r="I1379" s="86">
        <f>D1378*K1379*70/100</f>
        <v>7599475.5899999999</v>
      </c>
      <c r="J1379" s="86">
        <f>I1379/D1378</f>
        <v>3240.3</v>
      </c>
      <c r="K1379" s="86">
        <v>4629</v>
      </c>
    </row>
    <row r="1380" spans="1:11" s="92" customFormat="1" x14ac:dyDescent="0.3">
      <c r="A1380" s="287"/>
      <c r="B1380" s="287"/>
      <c r="C1380" s="297"/>
      <c r="D1380" s="281"/>
      <c r="E1380" s="287"/>
      <c r="F1380" s="287"/>
      <c r="G1380" s="287"/>
      <c r="H1380" s="116" t="s">
        <v>76</v>
      </c>
      <c r="I1380" s="86">
        <v>0</v>
      </c>
      <c r="J1380" s="86">
        <v>0</v>
      </c>
      <c r="K1380" s="86">
        <v>99</v>
      </c>
    </row>
    <row r="1381" spans="1:11" s="92" customFormat="1" ht="15.75" customHeight="1" x14ac:dyDescent="0.3">
      <c r="A1381" s="308">
        <f>A1378+1</f>
        <v>29</v>
      </c>
      <c r="B1381" s="308">
        <v>6169</v>
      </c>
      <c r="C1381" s="301" t="s">
        <v>506</v>
      </c>
      <c r="D1381" s="274">
        <v>3518</v>
      </c>
      <c r="E1381" s="274" t="s">
        <v>71</v>
      </c>
      <c r="F1381" s="334">
        <v>5</v>
      </c>
      <c r="G1381" s="308" t="s">
        <v>72</v>
      </c>
      <c r="H1381" s="116" t="s">
        <v>73</v>
      </c>
      <c r="I1381" s="86">
        <f>I1382</f>
        <v>576952</v>
      </c>
      <c r="J1381" s="86">
        <f>J1382</f>
        <v>164</v>
      </c>
      <c r="K1381" s="86">
        <f>K1382</f>
        <v>164</v>
      </c>
    </row>
    <row r="1382" spans="1:11" s="92" customFormat="1" ht="46.5" x14ac:dyDescent="0.3">
      <c r="A1382" s="308">
        <v>65</v>
      </c>
      <c r="B1382" s="308"/>
      <c r="C1382" s="301"/>
      <c r="D1382" s="274"/>
      <c r="E1382" s="274"/>
      <c r="F1382" s="334"/>
      <c r="G1382" s="308"/>
      <c r="H1382" s="159" t="s">
        <v>705</v>
      </c>
      <c r="I1382" s="86">
        <f>D1381*K1382</f>
        <v>576952</v>
      </c>
      <c r="J1382" s="86">
        <f>I1382/D1381</f>
        <v>164</v>
      </c>
      <c r="K1382" s="86">
        <f>151+13</f>
        <v>164</v>
      </c>
    </row>
    <row r="1383" spans="1:11" s="92" customFormat="1" ht="15.75" customHeight="1" x14ac:dyDescent="0.3">
      <c r="A1383" s="308">
        <f>A1381+1</f>
        <v>30</v>
      </c>
      <c r="B1383" s="308">
        <v>6174</v>
      </c>
      <c r="C1383" s="301" t="s">
        <v>507</v>
      </c>
      <c r="D1383" s="274">
        <v>4381.5200000000004</v>
      </c>
      <c r="E1383" s="274" t="s">
        <v>71</v>
      </c>
      <c r="F1383" s="334">
        <v>5</v>
      </c>
      <c r="G1383" s="308" t="s">
        <v>72</v>
      </c>
      <c r="H1383" s="116" t="s">
        <v>73</v>
      </c>
      <c r="I1383" s="86">
        <f>I1384</f>
        <v>718569.28</v>
      </c>
      <c r="J1383" s="86">
        <f>J1384</f>
        <v>164</v>
      </c>
      <c r="K1383" s="86">
        <f>K1384</f>
        <v>164</v>
      </c>
    </row>
    <row r="1384" spans="1:11" s="92" customFormat="1" ht="46.5" x14ac:dyDescent="0.3">
      <c r="A1384" s="308">
        <v>65</v>
      </c>
      <c r="B1384" s="308"/>
      <c r="C1384" s="301"/>
      <c r="D1384" s="274"/>
      <c r="E1384" s="274"/>
      <c r="F1384" s="334"/>
      <c r="G1384" s="308"/>
      <c r="H1384" s="159" t="s">
        <v>705</v>
      </c>
      <c r="I1384" s="86">
        <f>D1383*K1384</f>
        <v>718569.28</v>
      </c>
      <c r="J1384" s="86">
        <f>I1384/D1383</f>
        <v>164</v>
      </c>
      <c r="K1384" s="86">
        <f>151+13</f>
        <v>164</v>
      </c>
    </row>
    <row r="1385" spans="1:11" s="92" customFormat="1" ht="15.75" customHeight="1" x14ac:dyDescent="0.3">
      <c r="A1385" s="285">
        <f>A1383+1</f>
        <v>31</v>
      </c>
      <c r="B1385" s="285">
        <v>6207</v>
      </c>
      <c r="C1385" s="295" t="s">
        <v>213</v>
      </c>
      <c r="D1385" s="279">
        <v>2063.3000000000002</v>
      </c>
      <c r="E1385" s="285" t="s">
        <v>75</v>
      </c>
      <c r="F1385" s="285">
        <v>4</v>
      </c>
      <c r="G1385" s="285" t="s">
        <v>72</v>
      </c>
      <c r="H1385" s="116" t="s">
        <v>73</v>
      </c>
      <c r="I1385" s="86">
        <f>I1386+I1387</f>
        <v>9551015.6999999993</v>
      </c>
      <c r="J1385" s="86">
        <f>J1386+J1387</f>
        <v>4629</v>
      </c>
      <c r="K1385" s="86">
        <f>K1386+K1387</f>
        <v>4728</v>
      </c>
    </row>
    <row r="1386" spans="1:11" s="92" customFormat="1" x14ac:dyDescent="0.3">
      <c r="A1386" s="286">
        <v>65</v>
      </c>
      <c r="B1386" s="286"/>
      <c r="C1386" s="296"/>
      <c r="D1386" s="280"/>
      <c r="E1386" s="286"/>
      <c r="F1386" s="286"/>
      <c r="G1386" s="286"/>
      <c r="H1386" s="116" t="s">
        <v>667</v>
      </c>
      <c r="I1386" s="86">
        <f>D1385*K1386</f>
        <v>9551015.6999999993</v>
      </c>
      <c r="J1386" s="86">
        <f>I1386/D1385</f>
        <v>4629</v>
      </c>
      <c r="K1386" s="86">
        <v>4629</v>
      </c>
    </row>
    <row r="1387" spans="1:11" s="92" customFormat="1" x14ac:dyDescent="0.3">
      <c r="A1387" s="287"/>
      <c r="B1387" s="287"/>
      <c r="C1387" s="297"/>
      <c r="D1387" s="281"/>
      <c r="E1387" s="287"/>
      <c r="F1387" s="287"/>
      <c r="G1387" s="287"/>
      <c r="H1387" s="116" t="s">
        <v>76</v>
      </c>
      <c r="I1387" s="86">
        <v>0</v>
      </c>
      <c r="J1387" s="86">
        <v>0</v>
      </c>
      <c r="K1387" s="86">
        <v>99</v>
      </c>
    </row>
    <row r="1388" spans="1:11" s="92" customFormat="1" ht="15.75" customHeight="1" x14ac:dyDescent="0.3">
      <c r="A1388" s="335">
        <f>A1385+1</f>
        <v>32</v>
      </c>
      <c r="B1388" s="335">
        <v>6208</v>
      </c>
      <c r="C1388" s="348" t="s">
        <v>214</v>
      </c>
      <c r="D1388" s="279">
        <v>1569.5</v>
      </c>
      <c r="E1388" s="335" t="s">
        <v>75</v>
      </c>
      <c r="F1388" s="335">
        <v>3</v>
      </c>
      <c r="G1388" s="13"/>
      <c r="H1388" s="116" t="s">
        <v>73</v>
      </c>
      <c r="I1388" s="86">
        <f>I1389+I1390+I1391+I1392+I1393+I1394</f>
        <v>5592128.5</v>
      </c>
      <c r="J1388" s="86">
        <f>J1389+J1390+J1391+J1392+J1393+J1394</f>
        <v>3563</v>
      </c>
      <c r="K1388" s="86">
        <f>K1389+K1390+K1391+K1392+K1393+K1394</f>
        <v>3640</v>
      </c>
    </row>
    <row r="1389" spans="1:11" s="92" customFormat="1" x14ac:dyDescent="0.3">
      <c r="A1389" s="336"/>
      <c r="B1389" s="336"/>
      <c r="C1389" s="349"/>
      <c r="D1389" s="280"/>
      <c r="E1389" s="336"/>
      <c r="F1389" s="336"/>
      <c r="G1389" s="285" t="s">
        <v>78</v>
      </c>
      <c r="H1389" s="116" t="s">
        <v>667</v>
      </c>
      <c r="I1389" s="86">
        <f>D1388*K1389</f>
        <v>726678.5</v>
      </c>
      <c r="J1389" s="86">
        <f>I1389/D1388</f>
        <v>463</v>
      </c>
      <c r="K1389" s="86">
        <v>463</v>
      </c>
    </row>
    <row r="1390" spans="1:11" s="92" customFormat="1" x14ac:dyDescent="0.3">
      <c r="A1390" s="336"/>
      <c r="B1390" s="336"/>
      <c r="C1390" s="349"/>
      <c r="D1390" s="280"/>
      <c r="E1390" s="336"/>
      <c r="F1390" s="336"/>
      <c r="G1390" s="287"/>
      <c r="H1390" s="116" t="s">
        <v>76</v>
      </c>
      <c r="I1390" s="86">
        <v>0</v>
      </c>
      <c r="J1390" s="86">
        <v>0</v>
      </c>
      <c r="K1390" s="86">
        <v>10</v>
      </c>
    </row>
    <row r="1391" spans="1:11" s="92" customFormat="1" x14ac:dyDescent="0.3">
      <c r="A1391" s="336"/>
      <c r="B1391" s="336"/>
      <c r="C1391" s="349"/>
      <c r="D1391" s="280"/>
      <c r="E1391" s="336"/>
      <c r="F1391" s="336"/>
      <c r="G1391" s="285" t="s">
        <v>79</v>
      </c>
      <c r="H1391" s="116" t="s">
        <v>667</v>
      </c>
      <c r="I1391" s="86">
        <f>D1388*K1391</f>
        <v>641925.5</v>
      </c>
      <c r="J1391" s="86">
        <f>I1391/D1388</f>
        <v>409</v>
      </c>
      <c r="K1391" s="86">
        <v>409</v>
      </c>
    </row>
    <row r="1392" spans="1:11" s="92" customFormat="1" x14ac:dyDescent="0.3">
      <c r="A1392" s="336"/>
      <c r="B1392" s="336"/>
      <c r="C1392" s="349"/>
      <c r="D1392" s="280"/>
      <c r="E1392" s="336"/>
      <c r="F1392" s="336"/>
      <c r="G1392" s="287"/>
      <c r="H1392" s="116" t="s">
        <v>76</v>
      </c>
      <c r="I1392" s="86">
        <v>0</v>
      </c>
      <c r="J1392" s="86">
        <v>0</v>
      </c>
      <c r="K1392" s="86">
        <v>9</v>
      </c>
    </row>
    <row r="1393" spans="1:11" s="92" customFormat="1" x14ac:dyDescent="0.3">
      <c r="A1393" s="336"/>
      <c r="B1393" s="336"/>
      <c r="C1393" s="349"/>
      <c r="D1393" s="280"/>
      <c r="E1393" s="336"/>
      <c r="F1393" s="336"/>
      <c r="G1393" s="285" t="s">
        <v>77</v>
      </c>
      <c r="H1393" s="116" t="s">
        <v>667</v>
      </c>
      <c r="I1393" s="86">
        <f>D1388*K1393</f>
        <v>4223524.5</v>
      </c>
      <c r="J1393" s="86">
        <f>I1393/D1388</f>
        <v>2691</v>
      </c>
      <c r="K1393" s="86">
        <v>2691</v>
      </c>
    </row>
    <row r="1394" spans="1:11" s="92" customFormat="1" x14ac:dyDescent="0.3">
      <c r="A1394" s="337"/>
      <c r="B1394" s="337"/>
      <c r="C1394" s="350"/>
      <c r="D1394" s="281"/>
      <c r="E1394" s="337"/>
      <c r="F1394" s="337"/>
      <c r="G1394" s="287"/>
      <c r="H1394" s="116" t="s">
        <v>76</v>
      </c>
      <c r="I1394" s="86">
        <v>0</v>
      </c>
      <c r="J1394" s="86">
        <v>0</v>
      </c>
      <c r="K1394" s="86">
        <v>58</v>
      </c>
    </row>
    <row r="1395" spans="1:11" s="92" customFormat="1" ht="15.75" customHeight="1" x14ac:dyDescent="0.3">
      <c r="A1395" s="335">
        <f>A1388+1</f>
        <v>33</v>
      </c>
      <c r="B1395" s="335">
        <v>6234</v>
      </c>
      <c r="C1395" s="348" t="s">
        <v>215</v>
      </c>
      <c r="D1395" s="279">
        <v>2118.1</v>
      </c>
      <c r="E1395" s="335" t="s">
        <v>75</v>
      </c>
      <c r="F1395" s="335">
        <v>4</v>
      </c>
      <c r="G1395" s="13"/>
      <c r="H1395" s="116" t="s">
        <v>73</v>
      </c>
      <c r="I1395" s="86">
        <f>I1396+I1397+I1398+I1399+I1400+I1401</f>
        <v>7546790.2999999998</v>
      </c>
      <c r="J1395" s="86">
        <f>J1396+J1397+J1398+J1399+J1400+J1401</f>
        <v>3563</v>
      </c>
      <c r="K1395" s="86">
        <f>K1396+K1397+K1398+K1399+K1400+K1401</f>
        <v>3640</v>
      </c>
    </row>
    <row r="1396" spans="1:11" s="92" customFormat="1" ht="15.75" customHeight="1" x14ac:dyDescent="0.3">
      <c r="A1396" s="336"/>
      <c r="B1396" s="336"/>
      <c r="C1396" s="349"/>
      <c r="D1396" s="280"/>
      <c r="E1396" s="336"/>
      <c r="F1396" s="336"/>
      <c r="G1396" s="285" t="s">
        <v>78</v>
      </c>
      <c r="H1396" s="116" t="s">
        <v>667</v>
      </c>
      <c r="I1396" s="86">
        <f>D1395*K1396</f>
        <v>980680.3</v>
      </c>
      <c r="J1396" s="86">
        <f>I1396/D1395</f>
        <v>463</v>
      </c>
      <c r="K1396" s="86">
        <v>463</v>
      </c>
    </row>
    <row r="1397" spans="1:11" s="92" customFormat="1" x14ac:dyDescent="0.3">
      <c r="A1397" s="336"/>
      <c r="B1397" s="336"/>
      <c r="C1397" s="349"/>
      <c r="D1397" s="280"/>
      <c r="E1397" s="336"/>
      <c r="F1397" s="336"/>
      <c r="G1397" s="287"/>
      <c r="H1397" s="116" t="s">
        <v>76</v>
      </c>
      <c r="I1397" s="86">
        <v>0</v>
      </c>
      <c r="J1397" s="86">
        <v>0</v>
      </c>
      <c r="K1397" s="86">
        <v>10</v>
      </c>
    </row>
    <row r="1398" spans="1:11" s="92" customFormat="1" ht="15.75" customHeight="1" x14ac:dyDescent="0.3">
      <c r="A1398" s="336"/>
      <c r="B1398" s="336"/>
      <c r="C1398" s="349"/>
      <c r="D1398" s="280"/>
      <c r="E1398" s="336"/>
      <c r="F1398" s="336"/>
      <c r="G1398" s="285" t="s">
        <v>79</v>
      </c>
      <c r="H1398" s="116" t="s">
        <v>667</v>
      </c>
      <c r="I1398" s="86">
        <f>D1395*K1398</f>
        <v>866302.9</v>
      </c>
      <c r="J1398" s="86">
        <f>I1398/D1395</f>
        <v>409</v>
      </c>
      <c r="K1398" s="86">
        <v>409</v>
      </c>
    </row>
    <row r="1399" spans="1:11" s="92" customFormat="1" x14ac:dyDescent="0.3">
      <c r="A1399" s="336"/>
      <c r="B1399" s="336"/>
      <c r="C1399" s="349"/>
      <c r="D1399" s="280"/>
      <c r="E1399" s="336"/>
      <c r="F1399" s="336"/>
      <c r="G1399" s="287"/>
      <c r="H1399" s="116" t="s">
        <v>76</v>
      </c>
      <c r="I1399" s="86">
        <v>0</v>
      </c>
      <c r="J1399" s="86">
        <v>0</v>
      </c>
      <c r="K1399" s="86">
        <v>9</v>
      </c>
    </row>
    <row r="1400" spans="1:11" s="92" customFormat="1" ht="15.75" customHeight="1" x14ac:dyDescent="0.3">
      <c r="A1400" s="336"/>
      <c r="B1400" s="336"/>
      <c r="C1400" s="349"/>
      <c r="D1400" s="280"/>
      <c r="E1400" s="336"/>
      <c r="F1400" s="336"/>
      <c r="G1400" s="285" t="s">
        <v>77</v>
      </c>
      <c r="H1400" s="116" t="s">
        <v>667</v>
      </c>
      <c r="I1400" s="86">
        <f>D1395*K1400</f>
        <v>5699807.0999999996</v>
      </c>
      <c r="J1400" s="86">
        <f>I1400/D1395</f>
        <v>2691</v>
      </c>
      <c r="K1400" s="86">
        <v>2691</v>
      </c>
    </row>
    <row r="1401" spans="1:11" s="92" customFormat="1" x14ac:dyDescent="0.3">
      <c r="A1401" s="337"/>
      <c r="B1401" s="337"/>
      <c r="C1401" s="350"/>
      <c r="D1401" s="281"/>
      <c r="E1401" s="337"/>
      <c r="F1401" s="337"/>
      <c r="G1401" s="287"/>
      <c r="H1401" s="116" t="s">
        <v>76</v>
      </c>
      <c r="I1401" s="86">
        <v>0</v>
      </c>
      <c r="J1401" s="86">
        <v>0</v>
      </c>
      <c r="K1401" s="86">
        <v>58</v>
      </c>
    </row>
    <row r="1402" spans="1:11" s="92" customFormat="1" ht="15.75" customHeight="1" x14ac:dyDescent="0.3">
      <c r="A1402" s="285">
        <f>A1395+1</f>
        <v>34</v>
      </c>
      <c r="B1402" s="285">
        <v>6237</v>
      </c>
      <c r="C1402" s="295" t="s">
        <v>508</v>
      </c>
      <c r="D1402" s="279">
        <v>542.70000000000005</v>
      </c>
      <c r="E1402" s="279" t="s">
        <v>665</v>
      </c>
      <c r="F1402" s="335">
        <v>2</v>
      </c>
      <c r="G1402" s="13"/>
      <c r="H1402" s="116" t="s">
        <v>73</v>
      </c>
      <c r="I1402" s="86">
        <f>I1403+I1404</f>
        <v>156454.39999999999</v>
      </c>
      <c r="J1402" s="86">
        <f>J1403+J1404</f>
        <v>288.29000000000002</v>
      </c>
      <c r="K1402" s="86">
        <f>K1403+K1404</f>
        <v>299</v>
      </c>
    </row>
    <row r="1403" spans="1:11" s="92" customFormat="1" ht="46.5" x14ac:dyDescent="0.3">
      <c r="A1403" s="286"/>
      <c r="B1403" s="286"/>
      <c r="C1403" s="296"/>
      <c r="D1403" s="280"/>
      <c r="E1403" s="280"/>
      <c r="F1403" s="336"/>
      <c r="G1403" s="124" t="s">
        <v>72</v>
      </c>
      <c r="H1403" s="159" t="s">
        <v>705</v>
      </c>
      <c r="I1403" s="86">
        <v>90787.7</v>
      </c>
      <c r="J1403" s="86">
        <f>I1403/D1402</f>
        <v>167.29</v>
      </c>
      <c r="K1403" s="86">
        <f>164+14</f>
        <v>178</v>
      </c>
    </row>
    <row r="1404" spans="1:11" s="92" customFormat="1" ht="108.5" x14ac:dyDescent="0.3">
      <c r="A1404" s="287"/>
      <c r="B1404" s="287"/>
      <c r="C1404" s="297"/>
      <c r="D1404" s="281"/>
      <c r="E1404" s="281"/>
      <c r="F1404" s="337"/>
      <c r="G1404" s="124" t="s">
        <v>109</v>
      </c>
      <c r="H1404" s="116" t="s">
        <v>666</v>
      </c>
      <c r="I1404" s="86">
        <f>D1402*K1404</f>
        <v>65666.7</v>
      </c>
      <c r="J1404" s="86">
        <f>I1404/D1402</f>
        <v>121</v>
      </c>
      <c r="K1404" s="86">
        <f>112+9</f>
        <v>121</v>
      </c>
    </row>
    <row r="1405" spans="1:11" s="92" customFormat="1" ht="15.75" customHeight="1" x14ac:dyDescent="0.35">
      <c r="A1405" s="335">
        <f>A1402+1</f>
        <v>35</v>
      </c>
      <c r="B1405" s="335">
        <v>6244</v>
      </c>
      <c r="C1405" s="348" t="s">
        <v>216</v>
      </c>
      <c r="D1405" s="279">
        <v>520.5</v>
      </c>
      <c r="E1405" s="335" t="s">
        <v>80</v>
      </c>
      <c r="F1405" s="335">
        <v>2</v>
      </c>
      <c r="G1405" s="33"/>
      <c r="H1405" s="160" t="s">
        <v>73</v>
      </c>
      <c r="I1405" s="218">
        <f>I1406+I1407+I1408+I1409+I1410+I1411</f>
        <v>1298907.75</v>
      </c>
      <c r="J1405" s="218">
        <f>J1406+J1407+J1408+J1409+J1410+J1411</f>
        <v>2495.5</v>
      </c>
      <c r="K1405" s="218">
        <f>K1406+K1407+K1408+K1409+K1410+K1411</f>
        <v>3642</v>
      </c>
    </row>
    <row r="1406" spans="1:11" s="92" customFormat="1" x14ac:dyDescent="0.3">
      <c r="A1406" s="336"/>
      <c r="B1406" s="336"/>
      <c r="C1406" s="349"/>
      <c r="D1406" s="280"/>
      <c r="E1406" s="336"/>
      <c r="F1406" s="336"/>
      <c r="G1406" s="308" t="s">
        <v>77</v>
      </c>
      <c r="H1406" s="116" t="s">
        <v>667</v>
      </c>
      <c r="I1406" s="86">
        <f>D1405*K1406*70/100</f>
        <v>980465.85</v>
      </c>
      <c r="J1406" s="86">
        <f>I1406/D1405</f>
        <v>1883.7</v>
      </c>
      <c r="K1406" s="86">
        <v>2691</v>
      </c>
    </row>
    <row r="1407" spans="1:11" s="92" customFormat="1" x14ac:dyDescent="0.3">
      <c r="A1407" s="336"/>
      <c r="B1407" s="336"/>
      <c r="C1407" s="349"/>
      <c r="D1407" s="280"/>
      <c r="E1407" s="336"/>
      <c r="F1407" s="336"/>
      <c r="G1407" s="308"/>
      <c r="H1407" s="116" t="s">
        <v>76</v>
      </c>
      <c r="I1407" s="86">
        <v>0</v>
      </c>
      <c r="J1407" s="86">
        <v>0</v>
      </c>
      <c r="K1407" s="86">
        <v>58</v>
      </c>
    </row>
    <row r="1408" spans="1:11" s="92" customFormat="1" x14ac:dyDescent="0.3">
      <c r="A1408" s="336"/>
      <c r="B1408" s="336"/>
      <c r="C1408" s="349"/>
      <c r="D1408" s="280"/>
      <c r="E1408" s="336"/>
      <c r="F1408" s="336"/>
      <c r="G1408" s="308" t="s">
        <v>78</v>
      </c>
      <c r="H1408" s="116" t="s">
        <v>667</v>
      </c>
      <c r="I1408" s="86">
        <f>D1405*K1408*0.7</f>
        <v>164686.20000000001</v>
      </c>
      <c r="J1408" s="86">
        <f>I1408/D1405</f>
        <v>316.39999999999998</v>
      </c>
      <c r="K1408" s="86">
        <v>452</v>
      </c>
    </row>
    <row r="1409" spans="1:11" s="92" customFormat="1" x14ac:dyDescent="0.3">
      <c r="A1409" s="336"/>
      <c r="B1409" s="336"/>
      <c r="C1409" s="349"/>
      <c r="D1409" s="280"/>
      <c r="E1409" s="336"/>
      <c r="F1409" s="336"/>
      <c r="G1409" s="308"/>
      <c r="H1409" s="116" t="s">
        <v>76</v>
      </c>
      <c r="I1409" s="86">
        <v>0</v>
      </c>
      <c r="J1409" s="86">
        <v>0</v>
      </c>
      <c r="K1409" s="86">
        <v>10</v>
      </c>
    </row>
    <row r="1410" spans="1:11" s="92" customFormat="1" x14ac:dyDescent="0.3">
      <c r="A1410" s="336"/>
      <c r="B1410" s="336"/>
      <c r="C1410" s="349"/>
      <c r="D1410" s="280"/>
      <c r="E1410" s="336"/>
      <c r="F1410" s="336"/>
      <c r="G1410" s="308" t="s">
        <v>79</v>
      </c>
      <c r="H1410" s="116" t="s">
        <v>667</v>
      </c>
      <c r="I1410" s="86">
        <f>D1405*K1410*0.7</f>
        <v>153755.70000000001</v>
      </c>
      <c r="J1410" s="86">
        <f>I1410/D1405</f>
        <v>295.39999999999998</v>
      </c>
      <c r="K1410" s="86">
        <v>422</v>
      </c>
    </row>
    <row r="1411" spans="1:11" s="92" customFormat="1" x14ac:dyDescent="0.3">
      <c r="A1411" s="337"/>
      <c r="B1411" s="337"/>
      <c r="C1411" s="350"/>
      <c r="D1411" s="281"/>
      <c r="E1411" s="337"/>
      <c r="F1411" s="337"/>
      <c r="G1411" s="308"/>
      <c r="H1411" s="116" t="s">
        <v>76</v>
      </c>
      <c r="I1411" s="86">
        <v>0</v>
      </c>
      <c r="J1411" s="86">
        <v>0</v>
      </c>
      <c r="K1411" s="86">
        <v>9</v>
      </c>
    </row>
    <row r="1412" spans="1:11" s="92" customFormat="1" ht="15.75" customHeight="1" x14ac:dyDescent="0.3">
      <c r="A1412" s="308">
        <f>A1405+1</f>
        <v>36</v>
      </c>
      <c r="B1412" s="308">
        <v>6248</v>
      </c>
      <c r="C1412" s="301" t="s">
        <v>510</v>
      </c>
      <c r="D1412" s="274">
        <v>526.4</v>
      </c>
      <c r="E1412" s="274" t="s">
        <v>80</v>
      </c>
      <c r="F1412" s="334">
        <v>2</v>
      </c>
      <c r="G1412" s="308" t="s">
        <v>72</v>
      </c>
      <c r="H1412" s="116" t="s">
        <v>73</v>
      </c>
      <c r="I1412" s="86">
        <f>I1413</f>
        <v>93699.199999999997</v>
      </c>
      <c r="J1412" s="86">
        <f>J1413</f>
        <v>178</v>
      </c>
      <c r="K1412" s="86">
        <f>K1413</f>
        <v>178</v>
      </c>
    </row>
    <row r="1413" spans="1:11" s="92" customFormat="1" ht="46.5" x14ac:dyDescent="0.3">
      <c r="A1413" s="308">
        <v>65</v>
      </c>
      <c r="B1413" s="308"/>
      <c r="C1413" s="301"/>
      <c r="D1413" s="274"/>
      <c r="E1413" s="274"/>
      <c r="F1413" s="334"/>
      <c r="G1413" s="308"/>
      <c r="H1413" s="159" t="s">
        <v>705</v>
      </c>
      <c r="I1413" s="86">
        <f>D1412*K1413</f>
        <v>93699.199999999997</v>
      </c>
      <c r="J1413" s="86">
        <f>I1413/D1412</f>
        <v>178</v>
      </c>
      <c r="K1413" s="86">
        <f>164+14</f>
        <v>178</v>
      </c>
    </row>
    <row r="1414" spans="1:11" s="92" customFormat="1" ht="15.75" customHeight="1" x14ac:dyDescent="0.3">
      <c r="A1414" s="308">
        <f>A1412+1</f>
        <v>37</v>
      </c>
      <c r="B1414" s="308">
        <v>6250</v>
      </c>
      <c r="C1414" s="301" t="s">
        <v>511</v>
      </c>
      <c r="D1414" s="274">
        <v>520.9</v>
      </c>
      <c r="E1414" s="274" t="s">
        <v>80</v>
      </c>
      <c r="F1414" s="334">
        <v>2</v>
      </c>
      <c r="G1414" s="308" t="s">
        <v>72</v>
      </c>
      <c r="H1414" s="116" t="s">
        <v>73</v>
      </c>
      <c r="I1414" s="86">
        <f>I1415</f>
        <v>92720.2</v>
      </c>
      <c r="J1414" s="86">
        <f>J1415</f>
        <v>178</v>
      </c>
      <c r="K1414" s="86">
        <f>K1415</f>
        <v>178</v>
      </c>
    </row>
    <row r="1415" spans="1:11" s="92" customFormat="1" ht="46.5" x14ac:dyDescent="0.3">
      <c r="A1415" s="308">
        <v>65</v>
      </c>
      <c r="B1415" s="308"/>
      <c r="C1415" s="301"/>
      <c r="D1415" s="274"/>
      <c r="E1415" s="274"/>
      <c r="F1415" s="334"/>
      <c r="G1415" s="308"/>
      <c r="H1415" s="159" t="s">
        <v>705</v>
      </c>
      <c r="I1415" s="86">
        <f>D1414*K1415</f>
        <v>92720.2</v>
      </c>
      <c r="J1415" s="86">
        <f>I1415/D1414</f>
        <v>178</v>
      </c>
      <c r="K1415" s="86">
        <f>164+14</f>
        <v>178</v>
      </c>
    </row>
    <row r="1416" spans="1:11" s="92" customFormat="1" ht="15.75" customHeight="1" x14ac:dyDescent="0.3">
      <c r="A1416" s="308">
        <f>A1414+1</f>
        <v>38</v>
      </c>
      <c r="B1416" s="308">
        <v>6271</v>
      </c>
      <c r="C1416" s="301" t="s">
        <v>512</v>
      </c>
      <c r="D1416" s="274">
        <v>1461</v>
      </c>
      <c r="E1416" s="274" t="s">
        <v>80</v>
      </c>
      <c r="F1416" s="334">
        <v>3</v>
      </c>
      <c r="G1416" s="308" t="s">
        <v>72</v>
      </c>
      <c r="H1416" s="116" t="s">
        <v>73</v>
      </c>
      <c r="I1416" s="86">
        <f>I1417</f>
        <v>156557.54</v>
      </c>
      <c r="J1416" s="86">
        <f>J1417</f>
        <v>107.16</v>
      </c>
      <c r="K1416" s="86">
        <f>K1417</f>
        <v>178</v>
      </c>
    </row>
    <row r="1417" spans="1:11" s="92" customFormat="1" ht="46.5" x14ac:dyDescent="0.3">
      <c r="A1417" s="308">
        <v>65</v>
      </c>
      <c r="B1417" s="308"/>
      <c r="C1417" s="301"/>
      <c r="D1417" s="274"/>
      <c r="E1417" s="274"/>
      <c r="F1417" s="334"/>
      <c r="G1417" s="308"/>
      <c r="H1417" s="159" t="s">
        <v>705</v>
      </c>
      <c r="I1417" s="86">
        <f>156557.54</f>
        <v>156557.54</v>
      </c>
      <c r="J1417" s="86">
        <f>I1417/D1416</f>
        <v>107.16</v>
      </c>
      <c r="K1417" s="86">
        <f>164+14</f>
        <v>178</v>
      </c>
    </row>
    <row r="1418" spans="1:11" s="92" customFormat="1" ht="15.75" customHeight="1" x14ac:dyDescent="0.3">
      <c r="A1418" s="308">
        <f>A1416+1</f>
        <v>39</v>
      </c>
      <c r="B1418" s="308">
        <v>6282</v>
      </c>
      <c r="C1418" s="301" t="s">
        <v>513</v>
      </c>
      <c r="D1418" s="274">
        <v>532.9</v>
      </c>
      <c r="E1418" s="274" t="s">
        <v>80</v>
      </c>
      <c r="F1418" s="334">
        <v>2</v>
      </c>
      <c r="G1418" s="308" t="s">
        <v>72</v>
      </c>
      <c r="H1418" s="116" t="s">
        <v>73</v>
      </c>
      <c r="I1418" s="86">
        <f>I1419</f>
        <v>94856.2</v>
      </c>
      <c r="J1418" s="86">
        <f>J1419</f>
        <v>178</v>
      </c>
      <c r="K1418" s="86">
        <f>K1419</f>
        <v>178</v>
      </c>
    </row>
    <row r="1419" spans="1:11" s="92" customFormat="1" ht="46.5" x14ac:dyDescent="0.3">
      <c r="A1419" s="308">
        <v>65</v>
      </c>
      <c r="B1419" s="308"/>
      <c r="C1419" s="301"/>
      <c r="D1419" s="274"/>
      <c r="E1419" s="274"/>
      <c r="F1419" s="334"/>
      <c r="G1419" s="308"/>
      <c r="H1419" s="159" t="s">
        <v>705</v>
      </c>
      <c r="I1419" s="86">
        <f>D1418*K1419</f>
        <v>94856.2</v>
      </c>
      <c r="J1419" s="86">
        <f>I1419/D1418</f>
        <v>178</v>
      </c>
      <c r="K1419" s="86">
        <f>164+14</f>
        <v>178</v>
      </c>
    </row>
    <row r="1420" spans="1:11" s="92" customFormat="1" ht="15.75" customHeight="1" x14ac:dyDescent="0.3">
      <c r="A1420" s="285">
        <f>A1418+1</f>
        <v>40</v>
      </c>
      <c r="B1420" s="285">
        <v>6296</v>
      </c>
      <c r="C1420" s="295" t="s">
        <v>217</v>
      </c>
      <c r="D1420" s="279">
        <v>1473.9</v>
      </c>
      <c r="E1420" s="335" t="s">
        <v>80</v>
      </c>
      <c r="F1420" s="335">
        <v>3</v>
      </c>
      <c r="G1420" s="285" t="s">
        <v>72</v>
      </c>
      <c r="H1420" s="116" t="s">
        <v>73</v>
      </c>
      <c r="I1420" s="86">
        <f>I1421+I1422</f>
        <v>4775878.17</v>
      </c>
      <c r="J1420" s="86">
        <f>J1421+J1422</f>
        <v>3240.3</v>
      </c>
      <c r="K1420" s="86">
        <f>K1421+K1422</f>
        <v>4728</v>
      </c>
    </row>
    <row r="1421" spans="1:11" s="92" customFormat="1" x14ac:dyDescent="0.3">
      <c r="A1421" s="286">
        <v>65</v>
      </c>
      <c r="B1421" s="286"/>
      <c r="C1421" s="296"/>
      <c r="D1421" s="280"/>
      <c r="E1421" s="336"/>
      <c r="F1421" s="336"/>
      <c r="G1421" s="286"/>
      <c r="H1421" s="116" t="s">
        <v>667</v>
      </c>
      <c r="I1421" s="86">
        <f>D1420*K1421*70/100</f>
        <v>4775878.17</v>
      </c>
      <c r="J1421" s="86">
        <f>I1421/D1420</f>
        <v>3240.3</v>
      </c>
      <c r="K1421" s="86">
        <v>4629</v>
      </c>
    </row>
    <row r="1422" spans="1:11" s="92" customFormat="1" x14ac:dyDescent="0.3">
      <c r="A1422" s="287"/>
      <c r="B1422" s="287"/>
      <c r="C1422" s="297"/>
      <c r="D1422" s="281"/>
      <c r="E1422" s="337"/>
      <c r="F1422" s="337"/>
      <c r="G1422" s="287"/>
      <c r="H1422" s="116" t="s">
        <v>76</v>
      </c>
      <c r="I1422" s="86">
        <v>0</v>
      </c>
      <c r="J1422" s="86">
        <v>0</v>
      </c>
      <c r="K1422" s="86">
        <v>99</v>
      </c>
    </row>
    <row r="1423" spans="1:11" s="92" customFormat="1" x14ac:dyDescent="0.3">
      <c r="A1423" s="285">
        <f>A1420+1</f>
        <v>41</v>
      </c>
      <c r="B1423" s="285">
        <v>6341</v>
      </c>
      <c r="C1423" s="295" t="s">
        <v>514</v>
      </c>
      <c r="D1423" s="279">
        <v>884.5</v>
      </c>
      <c r="E1423" s="279" t="s">
        <v>80</v>
      </c>
      <c r="F1423" s="335">
        <v>2</v>
      </c>
      <c r="G1423" s="285" t="s">
        <v>72</v>
      </c>
      <c r="H1423" s="116" t="s">
        <v>73</v>
      </c>
      <c r="I1423" s="86">
        <f>I1424</f>
        <v>110728.95</v>
      </c>
      <c r="J1423" s="86">
        <f>J1424</f>
        <v>125.19</v>
      </c>
      <c r="K1423" s="86">
        <f>K1424</f>
        <v>178</v>
      </c>
    </row>
    <row r="1424" spans="1:11" s="92" customFormat="1" ht="46.5" x14ac:dyDescent="0.3">
      <c r="A1424" s="287">
        <v>65</v>
      </c>
      <c r="B1424" s="287"/>
      <c r="C1424" s="297"/>
      <c r="D1424" s="281"/>
      <c r="E1424" s="281"/>
      <c r="F1424" s="337"/>
      <c r="G1424" s="287"/>
      <c r="H1424" s="159" t="s">
        <v>705</v>
      </c>
      <c r="I1424" s="86">
        <v>110728.95</v>
      </c>
      <c r="J1424" s="86">
        <f>I1424/D1423</f>
        <v>125.19</v>
      </c>
      <c r="K1424" s="86">
        <f>164+14</f>
        <v>178</v>
      </c>
    </row>
    <row r="1425" spans="1:11" s="92" customFormat="1" ht="15.75" customHeight="1" x14ac:dyDescent="0.3">
      <c r="A1425" s="285">
        <f>A1423+1</f>
        <v>42</v>
      </c>
      <c r="B1425" s="285">
        <v>6343</v>
      </c>
      <c r="C1425" s="295" t="s">
        <v>223</v>
      </c>
      <c r="D1425" s="279">
        <v>877.1</v>
      </c>
      <c r="E1425" s="285" t="s">
        <v>80</v>
      </c>
      <c r="F1425" s="285">
        <v>2</v>
      </c>
      <c r="G1425" s="285" t="s">
        <v>72</v>
      </c>
      <c r="H1425" s="116" t="s">
        <v>73</v>
      </c>
      <c r="I1425" s="86">
        <f>I1426+I1427</f>
        <v>6067777.7999999998</v>
      </c>
      <c r="J1425" s="86">
        <f>J1426+J1427</f>
        <v>6918</v>
      </c>
      <c r="K1425" s="86">
        <f>K1426+K1427</f>
        <v>7066</v>
      </c>
    </row>
    <row r="1426" spans="1:11" s="92" customFormat="1" x14ac:dyDescent="0.3">
      <c r="A1426" s="286"/>
      <c r="B1426" s="286"/>
      <c r="C1426" s="296"/>
      <c r="D1426" s="280"/>
      <c r="E1426" s="286"/>
      <c r="F1426" s="286"/>
      <c r="G1426" s="286"/>
      <c r="H1426" s="116" t="s">
        <v>667</v>
      </c>
      <c r="I1426" s="86">
        <f>D1425*K1426</f>
        <v>6067777.7999999998</v>
      </c>
      <c r="J1426" s="86">
        <f>I1426/D1425</f>
        <v>6918</v>
      </c>
      <c r="K1426" s="86">
        <v>6918</v>
      </c>
    </row>
    <row r="1427" spans="1:11" s="92" customFormat="1" x14ac:dyDescent="0.3">
      <c r="A1427" s="287"/>
      <c r="B1427" s="287"/>
      <c r="C1427" s="297"/>
      <c r="D1427" s="281"/>
      <c r="E1427" s="287"/>
      <c r="F1427" s="287"/>
      <c r="G1427" s="287"/>
      <c r="H1427" s="116" t="s">
        <v>76</v>
      </c>
      <c r="I1427" s="86">
        <v>0</v>
      </c>
      <c r="J1427" s="86">
        <v>0</v>
      </c>
      <c r="K1427" s="86">
        <v>148</v>
      </c>
    </row>
    <row r="1428" spans="1:11" s="92" customFormat="1" x14ac:dyDescent="0.3">
      <c r="A1428" s="308">
        <f>A1425+1</f>
        <v>43</v>
      </c>
      <c r="B1428" s="308">
        <v>6345</v>
      </c>
      <c r="C1428" s="301" t="s">
        <v>515</v>
      </c>
      <c r="D1428" s="274">
        <v>889.8</v>
      </c>
      <c r="E1428" s="274" t="s">
        <v>80</v>
      </c>
      <c r="F1428" s="334">
        <v>2</v>
      </c>
      <c r="G1428" s="308" t="s">
        <v>72</v>
      </c>
      <c r="H1428" s="116" t="s">
        <v>73</v>
      </c>
      <c r="I1428" s="86">
        <f>I1429</f>
        <v>107863.13</v>
      </c>
      <c r="J1428" s="86">
        <f>J1429</f>
        <v>121.22</v>
      </c>
      <c r="K1428" s="86">
        <f>K1429</f>
        <v>178</v>
      </c>
    </row>
    <row r="1429" spans="1:11" s="92" customFormat="1" ht="46.5" x14ac:dyDescent="0.3">
      <c r="A1429" s="308">
        <v>65</v>
      </c>
      <c r="B1429" s="308"/>
      <c r="C1429" s="301"/>
      <c r="D1429" s="274"/>
      <c r="E1429" s="274"/>
      <c r="F1429" s="334"/>
      <c r="G1429" s="308"/>
      <c r="H1429" s="159" t="s">
        <v>705</v>
      </c>
      <c r="I1429" s="86">
        <v>107863.13</v>
      </c>
      <c r="J1429" s="86">
        <f>I1429/D1428</f>
        <v>121.22</v>
      </c>
      <c r="K1429" s="86">
        <f>164+14</f>
        <v>178</v>
      </c>
    </row>
    <row r="1430" spans="1:11" s="92" customFormat="1" ht="15.75" customHeight="1" x14ac:dyDescent="0.3">
      <c r="A1430" s="335">
        <f>A1428+1</f>
        <v>44</v>
      </c>
      <c r="B1430" s="335">
        <v>6351</v>
      </c>
      <c r="C1430" s="348" t="s">
        <v>225</v>
      </c>
      <c r="D1430" s="279">
        <v>899.1</v>
      </c>
      <c r="E1430" s="335" t="s">
        <v>665</v>
      </c>
      <c r="F1430" s="335">
        <v>2</v>
      </c>
      <c r="G1430" s="13"/>
      <c r="H1430" s="116" t="s">
        <v>73</v>
      </c>
      <c r="I1430" s="86">
        <f>I1431+I1432+I1433+I1434+I1435+I1436</f>
        <v>3205291.5</v>
      </c>
      <c r="J1430" s="86">
        <f>J1431+J1432+J1433+J1434+J1435+J1436</f>
        <v>3565</v>
      </c>
      <c r="K1430" s="86">
        <f>K1431+K1432+K1433+K1434+K1435+K1436</f>
        <v>3642</v>
      </c>
    </row>
    <row r="1431" spans="1:11" s="92" customFormat="1" x14ac:dyDescent="0.3">
      <c r="A1431" s="336"/>
      <c r="B1431" s="336"/>
      <c r="C1431" s="349"/>
      <c r="D1431" s="280"/>
      <c r="E1431" s="336"/>
      <c r="F1431" s="336"/>
      <c r="G1431" s="285" t="s">
        <v>77</v>
      </c>
      <c r="H1431" s="116" t="s">
        <v>667</v>
      </c>
      <c r="I1431" s="86">
        <f>D1430*K1431</f>
        <v>2419478.1</v>
      </c>
      <c r="J1431" s="86">
        <f>I1431/D1430</f>
        <v>2691</v>
      </c>
      <c r="K1431" s="86">
        <v>2691</v>
      </c>
    </row>
    <row r="1432" spans="1:11" s="92" customFormat="1" x14ac:dyDescent="0.3">
      <c r="A1432" s="336"/>
      <c r="B1432" s="336"/>
      <c r="C1432" s="349"/>
      <c r="D1432" s="280"/>
      <c r="E1432" s="336"/>
      <c r="F1432" s="336"/>
      <c r="G1432" s="287"/>
      <c r="H1432" s="116" t="s">
        <v>76</v>
      </c>
      <c r="I1432" s="86">
        <v>0</v>
      </c>
      <c r="J1432" s="86">
        <v>0</v>
      </c>
      <c r="K1432" s="86">
        <v>58</v>
      </c>
    </row>
    <row r="1433" spans="1:11" s="92" customFormat="1" x14ac:dyDescent="0.3">
      <c r="A1433" s="336"/>
      <c r="B1433" s="336"/>
      <c r="C1433" s="349"/>
      <c r="D1433" s="280"/>
      <c r="E1433" s="336"/>
      <c r="F1433" s="336"/>
      <c r="G1433" s="285" t="s">
        <v>78</v>
      </c>
      <c r="H1433" s="116" t="s">
        <v>667</v>
      </c>
      <c r="I1433" s="86">
        <f>D1430*K1433</f>
        <v>406393.2</v>
      </c>
      <c r="J1433" s="86">
        <f>I1433/D1430</f>
        <v>452</v>
      </c>
      <c r="K1433" s="86">
        <v>452</v>
      </c>
    </row>
    <row r="1434" spans="1:11" s="92" customFormat="1" x14ac:dyDescent="0.3">
      <c r="A1434" s="336"/>
      <c r="B1434" s="336"/>
      <c r="C1434" s="349"/>
      <c r="D1434" s="280"/>
      <c r="E1434" s="336"/>
      <c r="F1434" s="336"/>
      <c r="G1434" s="287"/>
      <c r="H1434" s="116" t="s">
        <v>76</v>
      </c>
      <c r="I1434" s="86">
        <v>0</v>
      </c>
      <c r="J1434" s="86">
        <v>0</v>
      </c>
      <c r="K1434" s="86">
        <v>10</v>
      </c>
    </row>
    <row r="1435" spans="1:11" s="92" customFormat="1" x14ac:dyDescent="0.3">
      <c r="A1435" s="336"/>
      <c r="B1435" s="336"/>
      <c r="C1435" s="349"/>
      <c r="D1435" s="280"/>
      <c r="E1435" s="336"/>
      <c r="F1435" s="336"/>
      <c r="G1435" s="285" t="s">
        <v>79</v>
      </c>
      <c r="H1435" s="116" t="s">
        <v>667</v>
      </c>
      <c r="I1435" s="86">
        <f>D1430*K1435</f>
        <v>379420.2</v>
      </c>
      <c r="J1435" s="86">
        <f>I1435/D1430</f>
        <v>422</v>
      </c>
      <c r="K1435" s="86">
        <v>422</v>
      </c>
    </row>
    <row r="1436" spans="1:11" s="92" customFormat="1" x14ac:dyDescent="0.3">
      <c r="A1436" s="337"/>
      <c r="B1436" s="337"/>
      <c r="C1436" s="350"/>
      <c r="D1436" s="281"/>
      <c r="E1436" s="337"/>
      <c r="F1436" s="337"/>
      <c r="G1436" s="287"/>
      <c r="H1436" s="116" t="s">
        <v>76</v>
      </c>
      <c r="I1436" s="86">
        <v>0</v>
      </c>
      <c r="J1436" s="86">
        <v>0</v>
      </c>
      <c r="K1436" s="86">
        <v>9</v>
      </c>
    </row>
    <row r="1437" spans="1:11" s="92" customFormat="1" ht="15.75" customHeight="1" x14ac:dyDescent="0.3">
      <c r="A1437" s="285">
        <f>A1430+1</f>
        <v>45</v>
      </c>
      <c r="B1437" s="285">
        <v>6354</v>
      </c>
      <c r="C1437" s="295" t="s">
        <v>226</v>
      </c>
      <c r="D1437" s="279">
        <v>2328</v>
      </c>
      <c r="E1437" s="285" t="s">
        <v>80</v>
      </c>
      <c r="F1437" s="285">
        <v>4</v>
      </c>
      <c r="G1437" s="285" t="s">
        <v>72</v>
      </c>
      <c r="H1437" s="116" t="s">
        <v>73</v>
      </c>
      <c r="I1437" s="86">
        <f>I1438+I1439</f>
        <v>7543418.4000000004</v>
      </c>
      <c r="J1437" s="86">
        <f>J1438+J1439</f>
        <v>3240.3</v>
      </c>
      <c r="K1437" s="86">
        <f>K1438+K1439</f>
        <v>4728</v>
      </c>
    </row>
    <row r="1438" spans="1:11" s="92" customFormat="1" x14ac:dyDescent="0.3">
      <c r="A1438" s="286">
        <v>65</v>
      </c>
      <c r="B1438" s="286"/>
      <c r="C1438" s="296"/>
      <c r="D1438" s="280"/>
      <c r="E1438" s="286"/>
      <c r="F1438" s="286"/>
      <c r="G1438" s="286"/>
      <c r="H1438" s="116" t="s">
        <v>667</v>
      </c>
      <c r="I1438" s="86">
        <f>D1437*K1438*70/100</f>
        <v>7543418.4000000004</v>
      </c>
      <c r="J1438" s="86">
        <f>I1438/D1437</f>
        <v>3240.3</v>
      </c>
      <c r="K1438" s="86">
        <v>4629</v>
      </c>
    </row>
    <row r="1439" spans="1:11" s="92" customFormat="1" x14ac:dyDescent="0.3">
      <c r="A1439" s="287"/>
      <c r="B1439" s="287"/>
      <c r="C1439" s="297"/>
      <c r="D1439" s="281"/>
      <c r="E1439" s="287"/>
      <c r="F1439" s="287"/>
      <c r="G1439" s="287"/>
      <c r="H1439" s="116" t="s">
        <v>76</v>
      </c>
      <c r="I1439" s="86">
        <v>0</v>
      </c>
      <c r="J1439" s="86">
        <v>0</v>
      </c>
      <c r="K1439" s="86">
        <v>99</v>
      </c>
    </row>
    <row r="1440" spans="1:11" s="92" customFormat="1" ht="15.75" customHeight="1" x14ac:dyDescent="0.3">
      <c r="A1440" s="285">
        <f>A1437+1</f>
        <v>46</v>
      </c>
      <c r="B1440" s="285">
        <v>6356</v>
      </c>
      <c r="C1440" s="295" t="s">
        <v>227</v>
      </c>
      <c r="D1440" s="279">
        <v>2350</v>
      </c>
      <c r="E1440" s="285" t="s">
        <v>80</v>
      </c>
      <c r="F1440" s="285">
        <v>4</v>
      </c>
      <c r="G1440" s="285" t="s">
        <v>72</v>
      </c>
      <c r="H1440" s="116" t="s">
        <v>73</v>
      </c>
      <c r="I1440" s="86">
        <f>I1441+I1442</f>
        <v>7614705</v>
      </c>
      <c r="J1440" s="86">
        <f>J1441+J1442</f>
        <v>3240.3</v>
      </c>
      <c r="K1440" s="86">
        <f>K1441+K1442</f>
        <v>4728</v>
      </c>
    </row>
    <row r="1441" spans="1:11" s="92" customFormat="1" x14ac:dyDescent="0.3">
      <c r="A1441" s="286">
        <v>65</v>
      </c>
      <c r="B1441" s="286"/>
      <c r="C1441" s="296"/>
      <c r="D1441" s="280"/>
      <c r="E1441" s="286"/>
      <c r="F1441" s="286"/>
      <c r="G1441" s="286"/>
      <c r="H1441" s="116" t="s">
        <v>667</v>
      </c>
      <c r="I1441" s="86">
        <f>D1440*K1441*70/100</f>
        <v>7614705</v>
      </c>
      <c r="J1441" s="86">
        <f>I1441/D1440</f>
        <v>3240.3</v>
      </c>
      <c r="K1441" s="86">
        <v>4629</v>
      </c>
    </row>
    <row r="1442" spans="1:11" s="92" customFormat="1" x14ac:dyDescent="0.3">
      <c r="A1442" s="287"/>
      <c r="B1442" s="287"/>
      <c r="C1442" s="297"/>
      <c r="D1442" s="281"/>
      <c r="E1442" s="287"/>
      <c r="F1442" s="287"/>
      <c r="G1442" s="287"/>
      <c r="H1442" s="116" t="s">
        <v>76</v>
      </c>
      <c r="I1442" s="86">
        <v>0</v>
      </c>
      <c r="J1442" s="86">
        <v>0</v>
      </c>
      <c r="K1442" s="86">
        <v>99</v>
      </c>
    </row>
    <row r="1443" spans="1:11" s="92" customFormat="1" ht="15.75" customHeight="1" x14ac:dyDescent="0.3">
      <c r="A1443" s="308">
        <f>A1440+1</f>
        <v>47</v>
      </c>
      <c r="B1443" s="308">
        <v>6366</v>
      </c>
      <c r="C1443" s="301" t="s">
        <v>516</v>
      </c>
      <c r="D1443" s="274">
        <v>2500</v>
      </c>
      <c r="E1443" s="274" t="s">
        <v>75</v>
      </c>
      <c r="F1443" s="334">
        <v>5</v>
      </c>
      <c r="G1443" s="308" t="s">
        <v>72</v>
      </c>
      <c r="H1443" s="116" t="s">
        <v>73</v>
      </c>
      <c r="I1443" s="86">
        <f>I1444</f>
        <v>410000</v>
      </c>
      <c r="J1443" s="86">
        <f>J1444</f>
        <v>164</v>
      </c>
      <c r="K1443" s="86">
        <f>K1444</f>
        <v>164</v>
      </c>
    </row>
    <row r="1444" spans="1:11" s="92" customFormat="1" ht="46.5" x14ac:dyDescent="0.3">
      <c r="A1444" s="308">
        <v>65</v>
      </c>
      <c r="B1444" s="308"/>
      <c r="C1444" s="301"/>
      <c r="D1444" s="274"/>
      <c r="E1444" s="274"/>
      <c r="F1444" s="334"/>
      <c r="G1444" s="308"/>
      <c r="H1444" s="159" t="s">
        <v>705</v>
      </c>
      <c r="I1444" s="86">
        <f>D1443*K1444</f>
        <v>410000</v>
      </c>
      <c r="J1444" s="86">
        <f>I1444/D1443</f>
        <v>164</v>
      </c>
      <c r="K1444" s="86">
        <f>151+13</f>
        <v>164</v>
      </c>
    </row>
    <row r="1445" spans="1:11" s="92" customFormat="1" ht="15.75" customHeight="1" x14ac:dyDescent="0.3">
      <c r="A1445" s="285">
        <f>A1443+1</f>
        <v>48</v>
      </c>
      <c r="B1445" s="285">
        <v>6389</v>
      </c>
      <c r="C1445" s="295" t="s">
        <v>517</v>
      </c>
      <c r="D1445" s="279">
        <v>2320</v>
      </c>
      <c r="E1445" s="279" t="s">
        <v>75</v>
      </c>
      <c r="F1445" s="335">
        <v>4</v>
      </c>
      <c r="G1445" s="285" t="s">
        <v>72</v>
      </c>
      <c r="H1445" s="116" t="s">
        <v>73</v>
      </c>
      <c r="I1445" s="86">
        <f>I1447+I1446</f>
        <v>3436447.58</v>
      </c>
      <c r="J1445" s="86">
        <f>J1447+J1446</f>
        <v>1481.23</v>
      </c>
      <c r="K1445" s="86">
        <f>K1447+K1446</f>
        <v>4793</v>
      </c>
    </row>
    <row r="1446" spans="1:11" s="92" customFormat="1" ht="46.5" x14ac:dyDescent="0.3">
      <c r="A1446" s="286"/>
      <c r="B1446" s="286"/>
      <c r="C1446" s="296"/>
      <c r="D1446" s="280"/>
      <c r="E1446" s="280"/>
      <c r="F1446" s="336"/>
      <c r="G1446" s="286"/>
      <c r="H1446" s="159" t="s">
        <v>705</v>
      </c>
      <c r="I1446" s="86">
        <f>214663.58</f>
        <v>214663.58</v>
      </c>
      <c r="J1446" s="86">
        <f>I1446/D1445</f>
        <v>92.53</v>
      </c>
      <c r="K1446" s="86">
        <f>151+13</f>
        <v>164</v>
      </c>
    </row>
    <row r="1447" spans="1:11" s="92" customFormat="1" x14ac:dyDescent="0.3">
      <c r="A1447" s="287"/>
      <c r="B1447" s="286"/>
      <c r="C1447" s="297"/>
      <c r="D1447" s="281"/>
      <c r="E1447" s="281"/>
      <c r="F1447" s="337"/>
      <c r="G1447" s="287"/>
      <c r="H1447" s="116" t="s">
        <v>74</v>
      </c>
      <c r="I1447" s="86">
        <f>D1445*K1447*30/100</f>
        <v>3221784</v>
      </c>
      <c r="J1447" s="86">
        <f>I1447/D1445</f>
        <v>1388.7</v>
      </c>
      <c r="K1447" s="86">
        <v>4629</v>
      </c>
    </row>
    <row r="1448" spans="1:11" s="92" customFormat="1" ht="15.75" customHeight="1" x14ac:dyDescent="0.3">
      <c r="A1448" s="285">
        <f>A1445+1</f>
        <v>49</v>
      </c>
      <c r="B1448" s="285">
        <v>6392</v>
      </c>
      <c r="C1448" s="295" t="s">
        <v>518</v>
      </c>
      <c r="D1448" s="279">
        <v>2953.7</v>
      </c>
      <c r="E1448" s="279" t="s">
        <v>75</v>
      </c>
      <c r="F1448" s="335">
        <v>4</v>
      </c>
      <c r="G1448" s="285" t="s">
        <v>77</v>
      </c>
      <c r="H1448" s="116" t="s">
        <v>73</v>
      </c>
      <c r="I1448" s="86">
        <f>I1450+I1449</f>
        <v>2730104.91</v>
      </c>
      <c r="J1448" s="86">
        <f>J1450+J1449</f>
        <v>924.3</v>
      </c>
      <c r="K1448" s="86">
        <f>K1450+K1449</f>
        <v>2808</v>
      </c>
    </row>
    <row r="1449" spans="1:11" s="92" customFormat="1" ht="31" x14ac:dyDescent="0.3">
      <c r="A1449" s="286"/>
      <c r="B1449" s="286"/>
      <c r="C1449" s="296"/>
      <c r="D1449" s="280"/>
      <c r="E1449" s="280"/>
      <c r="F1449" s="336"/>
      <c r="G1449" s="286"/>
      <c r="H1449" s="116" t="s">
        <v>666</v>
      </c>
      <c r="I1449" s="86">
        <f>D1448*K1449</f>
        <v>345582.9</v>
      </c>
      <c r="J1449" s="86">
        <f>I1449/D1448</f>
        <v>117</v>
      </c>
      <c r="K1449" s="86">
        <f>108+9</f>
        <v>117</v>
      </c>
    </row>
    <row r="1450" spans="1:11" s="92" customFormat="1" x14ac:dyDescent="0.3">
      <c r="A1450" s="286"/>
      <c r="B1450" s="286"/>
      <c r="C1450" s="296"/>
      <c r="D1450" s="280"/>
      <c r="E1450" s="281"/>
      <c r="F1450" s="337"/>
      <c r="G1450" s="287"/>
      <c r="H1450" s="116" t="s">
        <v>74</v>
      </c>
      <c r="I1450" s="86">
        <f>D1448*K1450*30/100</f>
        <v>2384522.0099999998</v>
      </c>
      <c r="J1450" s="86">
        <f>I1450/D1448</f>
        <v>807.3</v>
      </c>
      <c r="K1450" s="86">
        <v>2691</v>
      </c>
    </row>
    <row r="1451" spans="1:11" s="92" customFormat="1" ht="15.75" customHeight="1" x14ac:dyDescent="0.3">
      <c r="A1451" s="285">
        <f>A1448+1</f>
        <v>50</v>
      </c>
      <c r="B1451" s="285">
        <v>6394</v>
      </c>
      <c r="C1451" s="295" t="s">
        <v>519</v>
      </c>
      <c r="D1451" s="279">
        <v>2015.8</v>
      </c>
      <c r="E1451" s="279" t="s">
        <v>75</v>
      </c>
      <c r="F1451" s="335">
        <v>4</v>
      </c>
      <c r="G1451" s="285" t="s">
        <v>72</v>
      </c>
      <c r="H1451" s="116" t="s">
        <v>73</v>
      </c>
      <c r="I1451" s="86">
        <f>I1453+I1452</f>
        <v>3002844.53</v>
      </c>
      <c r="J1451" s="86">
        <f>J1453+J1452</f>
        <v>1489.65</v>
      </c>
      <c r="K1451" s="86">
        <f>K1453+K1452</f>
        <v>4793</v>
      </c>
    </row>
    <row r="1452" spans="1:11" s="92" customFormat="1" ht="46.5" x14ac:dyDescent="0.3">
      <c r="A1452" s="286"/>
      <c r="B1452" s="286"/>
      <c r="C1452" s="296"/>
      <c r="D1452" s="280"/>
      <c r="E1452" s="280"/>
      <c r="F1452" s="336"/>
      <c r="G1452" s="286"/>
      <c r="H1452" s="159" t="s">
        <v>705</v>
      </c>
      <c r="I1452" s="86">
        <f>203503.07</f>
        <v>203503.07</v>
      </c>
      <c r="J1452" s="86">
        <f>I1452/D1451</f>
        <v>100.95</v>
      </c>
      <c r="K1452" s="86">
        <f>151+13</f>
        <v>164</v>
      </c>
    </row>
    <row r="1453" spans="1:11" s="92" customFormat="1" x14ac:dyDescent="0.3">
      <c r="A1453" s="287"/>
      <c r="B1453" s="287"/>
      <c r="C1453" s="297"/>
      <c r="D1453" s="281"/>
      <c r="E1453" s="281"/>
      <c r="F1453" s="337"/>
      <c r="G1453" s="287"/>
      <c r="H1453" s="116" t="s">
        <v>74</v>
      </c>
      <c r="I1453" s="86">
        <f>D1451*K1453*30/100</f>
        <v>2799341.46</v>
      </c>
      <c r="J1453" s="86">
        <f>I1453/D1451</f>
        <v>1388.7</v>
      </c>
      <c r="K1453" s="86">
        <v>4629</v>
      </c>
    </row>
    <row r="1454" spans="1:11" s="92" customFormat="1" ht="15.75" customHeight="1" x14ac:dyDescent="0.3">
      <c r="A1454" s="308">
        <f>A1451+1</f>
        <v>51</v>
      </c>
      <c r="B1454" s="308">
        <v>6397</v>
      </c>
      <c r="C1454" s="301" t="s">
        <v>520</v>
      </c>
      <c r="D1454" s="274">
        <v>2127</v>
      </c>
      <c r="E1454" s="279" t="s">
        <v>75</v>
      </c>
      <c r="F1454" s="335">
        <v>4</v>
      </c>
      <c r="G1454" s="308" t="s">
        <v>72</v>
      </c>
      <c r="H1454" s="116" t="s">
        <v>73</v>
      </c>
      <c r="I1454" s="86">
        <f>I1455</f>
        <v>348828</v>
      </c>
      <c r="J1454" s="86">
        <f>J1455</f>
        <v>164</v>
      </c>
      <c r="K1454" s="86">
        <f>K1455</f>
        <v>164</v>
      </c>
    </row>
    <row r="1455" spans="1:11" s="92" customFormat="1" ht="46.5" x14ac:dyDescent="0.3">
      <c r="A1455" s="308">
        <v>65</v>
      </c>
      <c r="B1455" s="308"/>
      <c r="C1455" s="301"/>
      <c r="D1455" s="274"/>
      <c r="E1455" s="281"/>
      <c r="F1455" s="337"/>
      <c r="G1455" s="308"/>
      <c r="H1455" s="159" t="s">
        <v>705</v>
      </c>
      <c r="I1455" s="86">
        <f>D1454*K1455</f>
        <v>348828</v>
      </c>
      <c r="J1455" s="86">
        <f>I1455/D1454</f>
        <v>164</v>
      </c>
      <c r="K1455" s="86">
        <f>151+13</f>
        <v>164</v>
      </c>
    </row>
    <row r="1456" spans="1:11" s="92" customFormat="1" ht="15.75" customHeight="1" x14ac:dyDescent="0.3">
      <c r="A1456" s="308">
        <f>A1454+1</f>
        <v>52</v>
      </c>
      <c r="B1456" s="308">
        <v>6406</v>
      </c>
      <c r="C1456" s="301" t="s">
        <v>521</v>
      </c>
      <c r="D1456" s="274">
        <v>4336.58</v>
      </c>
      <c r="E1456" s="274" t="s">
        <v>71</v>
      </c>
      <c r="F1456" s="334">
        <v>5</v>
      </c>
      <c r="G1456" s="308" t="s">
        <v>72</v>
      </c>
      <c r="H1456" s="116" t="s">
        <v>73</v>
      </c>
      <c r="I1456" s="86">
        <f>I1457</f>
        <v>711199.12</v>
      </c>
      <c r="J1456" s="86">
        <f>J1457</f>
        <v>164</v>
      </c>
      <c r="K1456" s="86">
        <f>K1457</f>
        <v>164</v>
      </c>
    </row>
    <row r="1457" spans="1:11" s="92" customFormat="1" ht="46.5" x14ac:dyDescent="0.3">
      <c r="A1457" s="308">
        <v>65</v>
      </c>
      <c r="B1457" s="308"/>
      <c r="C1457" s="301"/>
      <c r="D1457" s="274"/>
      <c r="E1457" s="274"/>
      <c r="F1457" s="334"/>
      <c r="G1457" s="308"/>
      <c r="H1457" s="159" t="s">
        <v>705</v>
      </c>
      <c r="I1457" s="86">
        <f>D1456*K1457</f>
        <v>711199.12</v>
      </c>
      <c r="J1457" s="86">
        <f>I1457/D1456</f>
        <v>164</v>
      </c>
      <c r="K1457" s="86">
        <f>151+13</f>
        <v>164</v>
      </c>
    </row>
    <row r="1458" spans="1:11" s="92" customFormat="1" ht="15.75" customHeight="1" x14ac:dyDescent="0.3">
      <c r="A1458" s="285">
        <f>A1456+1</f>
        <v>53</v>
      </c>
      <c r="B1458" s="285">
        <v>6420</v>
      </c>
      <c r="C1458" s="295" t="s">
        <v>229</v>
      </c>
      <c r="D1458" s="279">
        <v>486</v>
      </c>
      <c r="E1458" s="285" t="s">
        <v>665</v>
      </c>
      <c r="F1458" s="285">
        <v>2</v>
      </c>
      <c r="G1458" s="285" t="s">
        <v>72</v>
      </c>
      <c r="H1458" s="116" t="s">
        <v>73</v>
      </c>
      <c r="I1458" s="86">
        <f>I1459+I1460</f>
        <v>2353503.6</v>
      </c>
      <c r="J1458" s="86">
        <f>J1459+J1460</f>
        <v>4842.6000000000004</v>
      </c>
      <c r="K1458" s="86">
        <f>K1459+K1460</f>
        <v>7066</v>
      </c>
    </row>
    <row r="1459" spans="1:11" s="92" customFormat="1" x14ac:dyDescent="0.3">
      <c r="A1459" s="286">
        <v>65</v>
      </c>
      <c r="B1459" s="286"/>
      <c r="C1459" s="296"/>
      <c r="D1459" s="280"/>
      <c r="E1459" s="286"/>
      <c r="F1459" s="286"/>
      <c r="G1459" s="286"/>
      <c r="H1459" s="116" t="s">
        <v>667</v>
      </c>
      <c r="I1459" s="86">
        <f>D1458*K1459*70/100</f>
        <v>2353503.6</v>
      </c>
      <c r="J1459" s="86">
        <f>I1459/D1458</f>
        <v>4842.6000000000004</v>
      </c>
      <c r="K1459" s="86">
        <v>6918</v>
      </c>
    </row>
    <row r="1460" spans="1:11" s="92" customFormat="1" x14ac:dyDescent="0.3">
      <c r="A1460" s="287"/>
      <c r="B1460" s="287"/>
      <c r="C1460" s="297"/>
      <c r="D1460" s="281"/>
      <c r="E1460" s="287"/>
      <c r="F1460" s="287"/>
      <c r="G1460" s="287"/>
      <c r="H1460" s="116" t="s">
        <v>76</v>
      </c>
      <c r="I1460" s="86">
        <v>0</v>
      </c>
      <c r="J1460" s="86">
        <v>0</v>
      </c>
      <c r="K1460" s="86">
        <v>148</v>
      </c>
    </row>
    <row r="1461" spans="1:11" s="92" customFormat="1" ht="15.75" customHeight="1" x14ac:dyDescent="0.3">
      <c r="A1461" s="285">
        <f>A1458+1</f>
        <v>54</v>
      </c>
      <c r="B1461" s="285">
        <v>6421</v>
      </c>
      <c r="C1461" s="295" t="s">
        <v>522</v>
      </c>
      <c r="D1461" s="279">
        <v>491.4</v>
      </c>
      <c r="E1461" s="279" t="s">
        <v>665</v>
      </c>
      <c r="F1461" s="335">
        <v>2</v>
      </c>
      <c r="G1461" s="13"/>
      <c r="H1461" s="116" t="s">
        <v>73</v>
      </c>
      <c r="I1461" s="86">
        <f>I1462+I1463</f>
        <v>146928.6</v>
      </c>
      <c r="J1461" s="86">
        <f>J1462+J1463</f>
        <v>299</v>
      </c>
      <c r="K1461" s="86">
        <f>K1462+K1463</f>
        <v>299</v>
      </c>
    </row>
    <row r="1462" spans="1:11" s="92" customFormat="1" ht="46.5" x14ac:dyDescent="0.3">
      <c r="A1462" s="286">
        <v>65</v>
      </c>
      <c r="B1462" s="286"/>
      <c r="C1462" s="296"/>
      <c r="D1462" s="280"/>
      <c r="E1462" s="280"/>
      <c r="F1462" s="336"/>
      <c r="G1462" s="124" t="s">
        <v>72</v>
      </c>
      <c r="H1462" s="159" t="s">
        <v>705</v>
      </c>
      <c r="I1462" s="86">
        <f>D1461*K1462</f>
        <v>87469.2</v>
      </c>
      <c r="J1462" s="86">
        <f>I1462/D1461</f>
        <v>178</v>
      </c>
      <c r="K1462" s="86">
        <f>164+14</f>
        <v>178</v>
      </c>
    </row>
    <row r="1463" spans="1:11" s="92" customFormat="1" ht="108.5" x14ac:dyDescent="0.3">
      <c r="A1463" s="287"/>
      <c r="B1463" s="287"/>
      <c r="C1463" s="297"/>
      <c r="D1463" s="281"/>
      <c r="E1463" s="281"/>
      <c r="F1463" s="337"/>
      <c r="G1463" s="124" t="s">
        <v>109</v>
      </c>
      <c r="H1463" s="116" t="s">
        <v>666</v>
      </c>
      <c r="I1463" s="86">
        <f>D1461*K1463</f>
        <v>59459.4</v>
      </c>
      <c r="J1463" s="86">
        <f>I1463/D1461</f>
        <v>121</v>
      </c>
      <c r="K1463" s="86">
        <f>112+9</f>
        <v>121</v>
      </c>
    </row>
    <row r="1464" spans="1:11" s="92" customFormat="1" ht="15.75" customHeight="1" x14ac:dyDescent="0.3">
      <c r="A1464" s="308">
        <f>A1461+1</f>
        <v>55</v>
      </c>
      <c r="B1464" s="308">
        <v>6447</v>
      </c>
      <c r="C1464" s="301" t="s">
        <v>523</v>
      </c>
      <c r="D1464" s="274">
        <v>4297.8</v>
      </c>
      <c r="E1464" s="274" t="s">
        <v>75</v>
      </c>
      <c r="F1464" s="334">
        <v>4</v>
      </c>
      <c r="G1464" s="308" t="s">
        <v>72</v>
      </c>
      <c r="H1464" s="116" t="s">
        <v>73</v>
      </c>
      <c r="I1464" s="86">
        <f>I1465</f>
        <v>314006.93</v>
      </c>
      <c r="J1464" s="86">
        <f>J1465</f>
        <v>73.06</v>
      </c>
      <c r="K1464" s="86">
        <f>K1465</f>
        <v>164</v>
      </c>
    </row>
    <row r="1465" spans="1:11" s="92" customFormat="1" ht="46.5" x14ac:dyDescent="0.3">
      <c r="A1465" s="308">
        <v>65</v>
      </c>
      <c r="B1465" s="308"/>
      <c r="C1465" s="301"/>
      <c r="D1465" s="274"/>
      <c r="E1465" s="274"/>
      <c r="F1465" s="334"/>
      <c r="G1465" s="308"/>
      <c r="H1465" s="159" t="s">
        <v>705</v>
      </c>
      <c r="I1465" s="86">
        <f>314006.93</f>
        <v>314006.93</v>
      </c>
      <c r="J1465" s="86">
        <f>I1465/D1464</f>
        <v>73.06</v>
      </c>
      <c r="K1465" s="86">
        <f>151+13</f>
        <v>164</v>
      </c>
    </row>
    <row r="1466" spans="1:11" s="92" customFormat="1" ht="15.75" customHeight="1" x14ac:dyDescent="0.3">
      <c r="A1466" s="308">
        <f>A1464+1</f>
        <v>56</v>
      </c>
      <c r="B1466" s="308">
        <v>6452</v>
      </c>
      <c r="C1466" s="301" t="s">
        <v>524</v>
      </c>
      <c r="D1466" s="274">
        <v>2935.1</v>
      </c>
      <c r="E1466" s="274" t="s">
        <v>75</v>
      </c>
      <c r="F1466" s="334">
        <v>4</v>
      </c>
      <c r="G1466" s="308" t="s">
        <v>72</v>
      </c>
      <c r="H1466" s="116" t="s">
        <v>73</v>
      </c>
      <c r="I1466" s="86">
        <f>I1467</f>
        <v>481356.4</v>
      </c>
      <c r="J1466" s="86">
        <f>J1467</f>
        <v>164</v>
      </c>
      <c r="K1466" s="86">
        <f>K1467</f>
        <v>164</v>
      </c>
    </row>
    <row r="1467" spans="1:11" s="92" customFormat="1" ht="46.5" x14ac:dyDescent="0.3">
      <c r="A1467" s="308">
        <v>65</v>
      </c>
      <c r="B1467" s="308"/>
      <c r="C1467" s="301"/>
      <c r="D1467" s="274"/>
      <c r="E1467" s="274"/>
      <c r="F1467" s="334"/>
      <c r="G1467" s="308"/>
      <c r="H1467" s="159" t="s">
        <v>705</v>
      </c>
      <c r="I1467" s="86">
        <f>D1466*K1467</f>
        <v>481356.4</v>
      </c>
      <c r="J1467" s="86">
        <f>I1467/D1466</f>
        <v>164</v>
      </c>
      <c r="K1467" s="86">
        <f>151+13</f>
        <v>164</v>
      </c>
    </row>
    <row r="1468" spans="1:11" s="92" customFormat="1" ht="15.75" customHeight="1" x14ac:dyDescent="0.3">
      <c r="A1468" s="308">
        <f>A1466+1</f>
        <v>57</v>
      </c>
      <c r="B1468" s="308">
        <v>6453</v>
      </c>
      <c r="C1468" s="301" t="s">
        <v>525</v>
      </c>
      <c r="D1468" s="274">
        <v>2955.7</v>
      </c>
      <c r="E1468" s="274" t="s">
        <v>75</v>
      </c>
      <c r="F1468" s="334">
        <v>4</v>
      </c>
      <c r="G1468" s="308" t="s">
        <v>72</v>
      </c>
      <c r="H1468" s="116" t="s">
        <v>73</v>
      </c>
      <c r="I1468" s="86">
        <f>I1469</f>
        <v>484734.8</v>
      </c>
      <c r="J1468" s="86">
        <f>J1469</f>
        <v>164</v>
      </c>
      <c r="K1468" s="86">
        <f>K1469</f>
        <v>164</v>
      </c>
    </row>
    <row r="1469" spans="1:11" s="92" customFormat="1" ht="46.5" x14ac:dyDescent="0.3">
      <c r="A1469" s="308">
        <v>65</v>
      </c>
      <c r="B1469" s="308"/>
      <c r="C1469" s="301"/>
      <c r="D1469" s="274"/>
      <c r="E1469" s="274"/>
      <c r="F1469" s="334"/>
      <c r="G1469" s="308"/>
      <c r="H1469" s="159" t="s">
        <v>705</v>
      </c>
      <c r="I1469" s="86">
        <f>D1468*K1469</f>
        <v>484734.8</v>
      </c>
      <c r="J1469" s="86">
        <f>I1469/D1468</f>
        <v>164</v>
      </c>
      <c r="K1469" s="86">
        <f>151+13</f>
        <v>164</v>
      </c>
    </row>
    <row r="1470" spans="1:11" s="92" customFormat="1" ht="15.75" customHeight="1" x14ac:dyDescent="0.3">
      <c r="A1470" s="285">
        <f>A1468+1</f>
        <v>58</v>
      </c>
      <c r="B1470" s="285">
        <v>6461</v>
      </c>
      <c r="C1470" s="295" t="s">
        <v>526</v>
      </c>
      <c r="D1470" s="279">
        <v>483.4</v>
      </c>
      <c r="E1470" s="279" t="s">
        <v>665</v>
      </c>
      <c r="F1470" s="335">
        <v>2</v>
      </c>
      <c r="G1470" s="308" t="s">
        <v>72</v>
      </c>
      <c r="H1470" s="116" t="s">
        <v>73</v>
      </c>
      <c r="I1470" s="86">
        <f>I1471</f>
        <v>86045.2</v>
      </c>
      <c r="J1470" s="86">
        <f>J1471</f>
        <v>178</v>
      </c>
      <c r="K1470" s="86">
        <f>K1471</f>
        <v>178</v>
      </c>
    </row>
    <row r="1471" spans="1:11" s="92" customFormat="1" ht="46.5" x14ac:dyDescent="0.3">
      <c r="A1471" s="286"/>
      <c r="B1471" s="286"/>
      <c r="C1471" s="296"/>
      <c r="D1471" s="280"/>
      <c r="E1471" s="280"/>
      <c r="F1471" s="336"/>
      <c r="G1471" s="308"/>
      <c r="H1471" s="159" t="s">
        <v>705</v>
      </c>
      <c r="I1471" s="86">
        <f>D1470*K1471</f>
        <v>86045.2</v>
      </c>
      <c r="J1471" s="86">
        <f>I1471/D1470</f>
        <v>178</v>
      </c>
      <c r="K1471" s="86">
        <f>164+14</f>
        <v>178</v>
      </c>
    </row>
    <row r="1472" spans="1:11" s="92" customFormat="1" ht="15.75" customHeight="1" x14ac:dyDescent="0.3">
      <c r="A1472" s="308">
        <f>A1470+1</f>
        <v>59</v>
      </c>
      <c r="B1472" s="308">
        <v>6480</v>
      </c>
      <c r="C1472" s="301" t="s">
        <v>527</v>
      </c>
      <c r="D1472" s="279">
        <v>402.4</v>
      </c>
      <c r="E1472" s="279" t="s">
        <v>665</v>
      </c>
      <c r="F1472" s="335">
        <v>2</v>
      </c>
      <c r="G1472" s="308" t="s">
        <v>72</v>
      </c>
      <c r="H1472" s="116" t="s">
        <v>73</v>
      </c>
      <c r="I1472" s="86">
        <f>I1473+I1474</f>
        <v>120317.6</v>
      </c>
      <c r="J1472" s="86">
        <f>J1473+J1474</f>
        <v>299</v>
      </c>
      <c r="K1472" s="86">
        <f>K1473+K1474</f>
        <v>299</v>
      </c>
    </row>
    <row r="1473" spans="1:11" s="92" customFormat="1" ht="46.5" x14ac:dyDescent="0.3">
      <c r="A1473" s="308"/>
      <c r="B1473" s="308"/>
      <c r="C1473" s="301"/>
      <c r="D1473" s="280"/>
      <c r="E1473" s="280"/>
      <c r="F1473" s="336"/>
      <c r="G1473" s="308"/>
      <c r="H1473" s="159" t="s">
        <v>705</v>
      </c>
      <c r="I1473" s="86">
        <f>D1472*K1473</f>
        <v>71627.199999999997</v>
      </c>
      <c r="J1473" s="86">
        <f>I1473/D1472</f>
        <v>178</v>
      </c>
      <c r="K1473" s="86">
        <f>164+14</f>
        <v>178</v>
      </c>
    </row>
    <row r="1474" spans="1:11" s="92" customFormat="1" ht="108.5" x14ac:dyDescent="0.3">
      <c r="A1474" s="308"/>
      <c r="B1474" s="308"/>
      <c r="C1474" s="301"/>
      <c r="D1474" s="281"/>
      <c r="E1474" s="281"/>
      <c r="F1474" s="337"/>
      <c r="G1474" s="124" t="s">
        <v>109</v>
      </c>
      <c r="H1474" s="116" t="s">
        <v>666</v>
      </c>
      <c r="I1474" s="86">
        <f>D1472*K1474</f>
        <v>48690.400000000001</v>
      </c>
      <c r="J1474" s="86">
        <f>I1474/D1472</f>
        <v>121</v>
      </c>
      <c r="K1474" s="86">
        <f>112+9</f>
        <v>121</v>
      </c>
    </row>
    <row r="1475" spans="1:11" s="92" customFormat="1" ht="15.75" customHeight="1" x14ac:dyDescent="0.3">
      <c r="A1475" s="335">
        <f>A1472+1</f>
        <v>60</v>
      </c>
      <c r="B1475" s="335">
        <v>6482</v>
      </c>
      <c r="C1475" s="348" t="s">
        <v>686</v>
      </c>
      <c r="D1475" s="279">
        <v>892.1</v>
      </c>
      <c r="E1475" s="335" t="s">
        <v>80</v>
      </c>
      <c r="F1475" s="335">
        <v>2</v>
      </c>
      <c r="G1475" s="124"/>
      <c r="H1475" s="116" t="s">
        <v>73</v>
      </c>
      <c r="I1475" s="86">
        <f>I1476+I1477+I1478+I1479+I1480+I1481+I1482+I1483</f>
        <v>3299505.42</v>
      </c>
      <c r="J1475" s="86">
        <f>J1476+J1477+J1478+J1479+J1480+J1481+J1482+J1483</f>
        <v>3698.58</v>
      </c>
      <c r="K1475" s="86">
        <f>K1476+K1477+K1478+K1479+K1480+K1481+K1482+K1483</f>
        <v>4843</v>
      </c>
    </row>
    <row r="1476" spans="1:11" s="92" customFormat="1" x14ac:dyDescent="0.3">
      <c r="A1476" s="336"/>
      <c r="B1476" s="336"/>
      <c r="C1476" s="349"/>
      <c r="D1476" s="280"/>
      <c r="E1476" s="336"/>
      <c r="F1476" s="336"/>
      <c r="G1476" s="285" t="s">
        <v>77</v>
      </c>
      <c r="H1476" s="116" t="s">
        <v>74</v>
      </c>
      <c r="I1476" s="86">
        <v>1473083.63</v>
      </c>
      <c r="J1476" s="86">
        <f>I1476/D1475</f>
        <v>1651.25</v>
      </c>
      <c r="K1476" s="86">
        <v>2691</v>
      </c>
    </row>
    <row r="1477" spans="1:11" s="92" customFormat="1" x14ac:dyDescent="0.3">
      <c r="A1477" s="336"/>
      <c r="B1477" s="336"/>
      <c r="C1477" s="349"/>
      <c r="D1477" s="280"/>
      <c r="E1477" s="336"/>
      <c r="F1477" s="336"/>
      <c r="G1477" s="287"/>
      <c r="H1477" s="116" t="s">
        <v>76</v>
      </c>
      <c r="I1477" s="86">
        <v>0</v>
      </c>
      <c r="J1477" s="86">
        <v>0</v>
      </c>
      <c r="K1477" s="86">
        <v>58</v>
      </c>
    </row>
    <row r="1478" spans="1:11" s="92" customFormat="1" ht="47.25" customHeight="1" x14ac:dyDescent="0.3">
      <c r="A1478" s="336"/>
      <c r="B1478" s="336"/>
      <c r="C1478" s="349"/>
      <c r="D1478" s="280"/>
      <c r="E1478" s="336"/>
      <c r="F1478" s="336"/>
      <c r="G1478" s="285" t="s">
        <v>687</v>
      </c>
      <c r="H1478" s="116" t="s">
        <v>688</v>
      </c>
      <c r="I1478" s="86">
        <v>1046726.39</v>
      </c>
      <c r="J1478" s="86">
        <f>I1478/D1475</f>
        <v>1173.33</v>
      </c>
      <c r="K1478" s="86">
        <v>1176</v>
      </c>
    </row>
    <row r="1479" spans="1:11" s="92" customFormat="1" ht="75.75" customHeight="1" x14ac:dyDescent="0.3">
      <c r="A1479" s="336"/>
      <c r="B1479" s="336"/>
      <c r="C1479" s="349"/>
      <c r="D1479" s="280"/>
      <c r="E1479" s="336"/>
      <c r="F1479" s="336"/>
      <c r="G1479" s="287"/>
      <c r="H1479" s="116" t="s">
        <v>76</v>
      </c>
      <c r="I1479" s="86">
        <v>0</v>
      </c>
      <c r="J1479" s="86">
        <v>0</v>
      </c>
      <c r="K1479" s="86">
        <v>25</v>
      </c>
    </row>
    <row r="1480" spans="1:11" s="92" customFormat="1" x14ac:dyDescent="0.3">
      <c r="A1480" s="336"/>
      <c r="B1480" s="336"/>
      <c r="C1480" s="349"/>
      <c r="D1480" s="280"/>
      <c r="E1480" s="336"/>
      <c r="F1480" s="336"/>
      <c r="G1480" s="285" t="s">
        <v>78</v>
      </c>
      <c r="H1480" s="116" t="s">
        <v>74</v>
      </c>
      <c r="I1480" s="86">
        <f>D1475*K1480</f>
        <v>403229.2</v>
      </c>
      <c r="J1480" s="86">
        <f>I1480/D1475</f>
        <v>452</v>
      </c>
      <c r="K1480" s="86">
        <v>452</v>
      </c>
    </row>
    <row r="1481" spans="1:11" s="92" customFormat="1" x14ac:dyDescent="0.3">
      <c r="A1481" s="336"/>
      <c r="B1481" s="336"/>
      <c r="C1481" s="349"/>
      <c r="D1481" s="280"/>
      <c r="E1481" s="336"/>
      <c r="F1481" s="336"/>
      <c r="G1481" s="287"/>
      <c r="H1481" s="116" t="s">
        <v>76</v>
      </c>
      <c r="I1481" s="86">
        <v>0</v>
      </c>
      <c r="J1481" s="86">
        <v>0</v>
      </c>
      <c r="K1481" s="86">
        <v>10</v>
      </c>
    </row>
    <row r="1482" spans="1:11" s="92" customFormat="1" x14ac:dyDescent="0.3">
      <c r="A1482" s="336"/>
      <c r="B1482" s="336"/>
      <c r="C1482" s="349"/>
      <c r="D1482" s="280"/>
      <c r="E1482" s="336"/>
      <c r="F1482" s="336"/>
      <c r="G1482" s="285" t="s">
        <v>79</v>
      </c>
      <c r="H1482" s="116" t="s">
        <v>74</v>
      </c>
      <c r="I1482" s="86">
        <f>D1475*K1482</f>
        <v>376466.2</v>
      </c>
      <c r="J1482" s="86">
        <f>I1482/D1475</f>
        <v>422</v>
      </c>
      <c r="K1482" s="86">
        <v>422</v>
      </c>
    </row>
    <row r="1483" spans="1:11" s="92" customFormat="1" x14ac:dyDescent="0.3">
      <c r="A1483" s="337"/>
      <c r="B1483" s="337"/>
      <c r="C1483" s="350"/>
      <c r="D1483" s="281"/>
      <c r="E1483" s="337"/>
      <c r="F1483" s="337"/>
      <c r="G1483" s="287"/>
      <c r="H1483" s="116" t="s">
        <v>76</v>
      </c>
      <c r="I1483" s="86">
        <v>0</v>
      </c>
      <c r="J1483" s="86">
        <v>0</v>
      </c>
      <c r="K1483" s="86">
        <v>9</v>
      </c>
    </row>
    <row r="1484" spans="1:11" s="92" customFormat="1" ht="15.75" customHeight="1" x14ac:dyDescent="0.3">
      <c r="A1484" s="308">
        <f>A1475+1</f>
        <v>61</v>
      </c>
      <c r="B1484" s="308">
        <v>6496</v>
      </c>
      <c r="C1484" s="301" t="s">
        <v>528</v>
      </c>
      <c r="D1484" s="274">
        <v>3824.9</v>
      </c>
      <c r="E1484" s="274" t="s">
        <v>71</v>
      </c>
      <c r="F1484" s="334">
        <v>5</v>
      </c>
      <c r="G1484" s="308" t="s">
        <v>72</v>
      </c>
      <c r="H1484" s="116" t="s">
        <v>73</v>
      </c>
      <c r="I1484" s="86">
        <f>I1485</f>
        <v>627283.6</v>
      </c>
      <c r="J1484" s="86">
        <f>J1485</f>
        <v>164</v>
      </c>
      <c r="K1484" s="86">
        <f>K1485</f>
        <v>164</v>
      </c>
    </row>
    <row r="1485" spans="1:11" s="92" customFormat="1" ht="46.5" x14ac:dyDescent="0.3">
      <c r="A1485" s="308">
        <v>65</v>
      </c>
      <c r="B1485" s="308"/>
      <c r="C1485" s="301"/>
      <c r="D1485" s="274"/>
      <c r="E1485" s="274"/>
      <c r="F1485" s="334"/>
      <c r="G1485" s="308"/>
      <c r="H1485" s="159" t="s">
        <v>705</v>
      </c>
      <c r="I1485" s="86">
        <f>D1484*K1485</f>
        <v>627283.6</v>
      </c>
      <c r="J1485" s="86">
        <f>I1485/D1484</f>
        <v>164</v>
      </c>
      <c r="K1485" s="86">
        <f>151+13</f>
        <v>164</v>
      </c>
    </row>
    <row r="1486" spans="1:11" s="92" customFormat="1" ht="15.75" customHeight="1" x14ac:dyDescent="0.3">
      <c r="A1486" s="285">
        <f>A1484+1</f>
        <v>62</v>
      </c>
      <c r="B1486" s="285">
        <v>6550</v>
      </c>
      <c r="C1486" s="295" t="s">
        <v>232</v>
      </c>
      <c r="D1486" s="279">
        <v>485.6</v>
      </c>
      <c r="E1486" s="279" t="s">
        <v>665</v>
      </c>
      <c r="F1486" s="335">
        <v>2</v>
      </c>
      <c r="G1486" s="13"/>
      <c r="H1486" s="116" t="s">
        <v>73</v>
      </c>
      <c r="I1486" s="86">
        <f>SUM(I1487:I1488)</f>
        <v>853830.48</v>
      </c>
      <c r="J1486" s="86">
        <f>SUM(J1487:J1488)</f>
        <v>1758.3</v>
      </c>
      <c r="K1486" s="86">
        <f>SUM(K1487:K1488)</f>
        <v>5343</v>
      </c>
    </row>
    <row r="1487" spans="1:11" s="92" customFormat="1" ht="31" x14ac:dyDescent="0.3">
      <c r="A1487" s="286"/>
      <c r="B1487" s="286"/>
      <c r="C1487" s="296"/>
      <c r="D1487" s="280"/>
      <c r="E1487" s="280"/>
      <c r="F1487" s="336"/>
      <c r="G1487" s="285" t="s">
        <v>82</v>
      </c>
      <c r="H1487" s="116" t="s">
        <v>666</v>
      </c>
      <c r="I1487" s="86">
        <f>D1486*K1487</f>
        <v>107803.2</v>
      </c>
      <c r="J1487" s="86">
        <f>I1487/D1486</f>
        <v>222</v>
      </c>
      <c r="K1487" s="86">
        <f>205+17</f>
        <v>222</v>
      </c>
    </row>
    <row r="1488" spans="1:11" s="92" customFormat="1" x14ac:dyDescent="0.3">
      <c r="A1488" s="286"/>
      <c r="B1488" s="286"/>
      <c r="C1488" s="296"/>
      <c r="D1488" s="280"/>
      <c r="E1488" s="280"/>
      <c r="F1488" s="336"/>
      <c r="G1488" s="287"/>
      <c r="H1488" s="116" t="s">
        <v>74</v>
      </c>
      <c r="I1488" s="86">
        <f>D1486*K1488*30/100</f>
        <v>746027.28</v>
      </c>
      <c r="J1488" s="86">
        <f>I1488/D1486</f>
        <v>1536.3</v>
      </c>
      <c r="K1488" s="86">
        <v>5121</v>
      </c>
    </row>
    <row r="1489" spans="1:11" s="92" customFormat="1" ht="15.75" customHeight="1" x14ac:dyDescent="0.3">
      <c r="A1489" s="285">
        <f>A1486+1</f>
        <v>63</v>
      </c>
      <c r="B1489" s="285">
        <v>6551</v>
      </c>
      <c r="C1489" s="295" t="s">
        <v>234</v>
      </c>
      <c r="D1489" s="279">
        <v>476</v>
      </c>
      <c r="E1489" s="279" t="s">
        <v>665</v>
      </c>
      <c r="F1489" s="335">
        <v>2</v>
      </c>
      <c r="G1489" s="285" t="s">
        <v>82</v>
      </c>
      <c r="H1489" s="116" t="s">
        <v>73</v>
      </c>
      <c r="I1489" s="86">
        <f>I1490+I1491</f>
        <v>836950.8</v>
      </c>
      <c r="J1489" s="86">
        <f>J1490+J1491</f>
        <v>1758.3</v>
      </c>
      <c r="K1489" s="86">
        <f>K1490+K1491</f>
        <v>5343</v>
      </c>
    </row>
    <row r="1490" spans="1:11" s="92" customFormat="1" ht="31" x14ac:dyDescent="0.3">
      <c r="A1490" s="286"/>
      <c r="B1490" s="286"/>
      <c r="C1490" s="296"/>
      <c r="D1490" s="280"/>
      <c r="E1490" s="280"/>
      <c r="F1490" s="336"/>
      <c r="G1490" s="286"/>
      <c r="H1490" s="116" t="s">
        <v>666</v>
      </c>
      <c r="I1490" s="86">
        <f>D1489*K1490</f>
        <v>105672</v>
      </c>
      <c r="J1490" s="86">
        <f>I1490/D1489</f>
        <v>222</v>
      </c>
      <c r="K1490" s="86">
        <f>205+17</f>
        <v>222</v>
      </c>
    </row>
    <row r="1491" spans="1:11" s="92" customFormat="1" x14ac:dyDescent="0.3">
      <c r="A1491" s="286"/>
      <c r="B1491" s="286"/>
      <c r="C1491" s="296"/>
      <c r="D1491" s="280"/>
      <c r="E1491" s="280"/>
      <c r="F1491" s="336"/>
      <c r="G1491" s="287"/>
      <c r="H1491" s="116" t="s">
        <v>74</v>
      </c>
      <c r="I1491" s="86">
        <f>D1489*K1491*30/100</f>
        <v>731278.8</v>
      </c>
      <c r="J1491" s="86">
        <f>I1491/D1489</f>
        <v>1536.3</v>
      </c>
      <c r="K1491" s="86">
        <v>5121</v>
      </c>
    </row>
    <row r="1492" spans="1:11" s="92" customFormat="1" ht="15.75" customHeight="1" x14ac:dyDescent="0.3">
      <c r="A1492" s="335">
        <f>A1489+1</f>
        <v>64</v>
      </c>
      <c r="B1492" s="335">
        <v>6514</v>
      </c>
      <c r="C1492" s="348" t="s">
        <v>235</v>
      </c>
      <c r="D1492" s="279">
        <v>432.5</v>
      </c>
      <c r="E1492" s="335" t="s">
        <v>665</v>
      </c>
      <c r="F1492" s="335">
        <v>2</v>
      </c>
      <c r="G1492" s="13"/>
      <c r="H1492" s="116" t="s">
        <v>73</v>
      </c>
      <c r="I1492" s="86">
        <f>I1493+I1494+I1495+I1496+I1497+I1498</f>
        <v>1541862.5</v>
      </c>
      <c r="J1492" s="86">
        <f>J1493+J1494+J1495+J1496+J1497+J1498</f>
        <v>3565</v>
      </c>
      <c r="K1492" s="86">
        <f>K1493+K1494+K1495+K1496+K1497+K1498</f>
        <v>3642</v>
      </c>
    </row>
    <row r="1493" spans="1:11" s="92" customFormat="1" x14ac:dyDescent="0.3">
      <c r="A1493" s="336"/>
      <c r="B1493" s="336"/>
      <c r="C1493" s="349"/>
      <c r="D1493" s="280"/>
      <c r="E1493" s="336"/>
      <c r="F1493" s="336"/>
      <c r="G1493" s="285" t="s">
        <v>78</v>
      </c>
      <c r="H1493" s="116" t="s">
        <v>74</v>
      </c>
      <c r="I1493" s="86">
        <f>D1492*K1493</f>
        <v>195490</v>
      </c>
      <c r="J1493" s="86">
        <f>I1493/D1492</f>
        <v>452</v>
      </c>
      <c r="K1493" s="86">
        <v>452</v>
      </c>
    </row>
    <row r="1494" spans="1:11" s="92" customFormat="1" x14ac:dyDescent="0.3">
      <c r="A1494" s="336"/>
      <c r="B1494" s="336"/>
      <c r="C1494" s="349"/>
      <c r="D1494" s="280"/>
      <c r="E1494" s="336"/>
      <c r="F1494" s="336"/>
      <c r="G1494" s="287"/>
      <c r="H1494" s="116" t="s">
        <v>76</v>
      </c>
      <c r="I1494" s="86">
        <v>0</v>
      </c>
      <c r="J1494" s="86">
        <v>0</v>
      </c>
      <c r="K1494" s="86">
        <v>10</v>
      </c>
    </row>
    <row r="1495" spans="1:11" s="92" customFormat="1" x14ac:dyDescent="0.3">
      <c r="A1495" s="336"/>
      <c r="B1495" s="336"/>
      <c r="C1495" s="349"/>
      <c r="D1495" s="280"/>
      <c r="E1495" s="336"/>
      <c r="F1495" s="336"/>
      <c r="G1495" s="285" t="s">
        <v>79</v>
      </c>
      <c r="H1495" s="116" t="s">
        <v>74</v>
      </c>
      <c r="I1495" s="86">
        <f>D1492*K1495</f>
        <v>182515</v>
      </c>
      <c r="J1495" s="86">
        <f>I1495/D1492</f>
        <v>422</v>
      </c>
      <c r="K1495" s="86">
        <v>422</v>
      </c>
    </row>
    <row r="1496" spans="1:11" s="92" customFormat="1" x14ac:dyDescent="0.3">
      <c r="A1496" s="336"/>
      <c r="B1496" s="336"/>
      <c r="C1496" s="349"/>
      <c r="D1496" s="280"/>
      <c r="E1496" s="336"/>
      <c r="F1496" s="336"/>
      <c r="G1496" s="287"/>
      <c r="H1496" s="116" t="s">
        <v>76</v>
      </c>
      <c r="I1496" s="86">
        <v>0</v>
      </c>
      <c r="J1496" s="86">
        <v>0</v>
      </c>
      <c r="K1496" s="86">
        <v>9</v>
      </c>
    </row>
    <row r="1497" spans="1:11" s="92" customFormat="1" x14ac:dyDescent="0.3">
      <c r="A1497" s="336"/>
      <c r="B1497" s="336"/>
      <c r="C1497" s="349"/>
      <c r="D1497" s="280"/>
      <c r="E1497" s="336"/>
      <c r="F1497" s="336"/>
      <c r="G1497" s="285" t="s">
        <v>77</v>
      </c>
      <c r="H1497" s="116" t="s">
        <v>74</v>
      </c>
      <c r="I1497" s="86">
        <f>D1492*K1497</f>
        <v>1163857.5</v>
      </c>
      <c r="J1497" s="86">
        <f>I1497/D1492</f>
        <v>2691</v>
      </c>
      <c r="K1497" s="86">
        <v>2691</v>
      </c>
    </row>
    <row r="1498" spans="1:11" s="92" customFormat="1" x14ac:dyDescent="0.3">
      <c r="A1498" s="337"/>
      <c r="B1498" s="337"/>
      <c r="C1498" s="350"/>
      <c r="D1498" s="281"/>
      <c r="E1498" s="337"/>
      <c r="F1498" s="337"/>
      <c r="G1498" s="287"/>
      <c r="H1498" s="116" t="s">
        <v>76</v>
      </c>
      <c r="I1498" s="86">
        <v>0</v>
      </c>
      <c r="J1498" s="86">
        <v>0</v>
      </c>
      <c r="K1498" s="86">
        <v>58</v>
      </c>
    </row>
    <row r="1499" spans="1:11" s="92" customFormat="1" ht="15.75" customHeight="1" x14ac:dyDescent="0.3">
      <c r="A1499" s="335">
        <f>A1492+1</f>
        <v>65</v>
      </c>
      <c r="B1499" s="335">
        <v>6516</v>
      </c>
      <c r="C1499" s="348" t="s">
        <v>236</v>
      </c>
      <c r="D1499" s="279">
        <v>424.9</v>
      </c>
      <c r="E1499" s="335" t="s">
        <v>665</v>
      </c>
      <c r="F1499" s="335">
        <v>2</v>
      </c>
      <c r="G1499" s="13"/>
      <c r="H1499" s="116" t="s">
        <v>73</v>
      </c>
      <c r="I1499" s="86">
        <f>I1500+I1501+I1502+I1503+I1504+I1505</f>
        <v>1514768.5</v>
      </c>
      <c r="J1499" s="86">
        <f>J1500+J1501+J1502+J1503+J1504+J1505</f>
        <v>3565</v>
      </c>
      <c r="K1499" s="86">
        <f>K1500+K1501+K1502+K1503+K1504+K1505</f>
        <v>3642</v>
      </c>
    </row>
    <row r="1500" spans="1:11" s="92" customFormat="1" x14ac:dyDescent="0.3">
      <c r="A1500" s="336"/>
      <c r="B1500" s="336"/>
      <c r="C1500" s="349"/>
      <c r="D1500" s="280"/>
      <c r="E1500" s="336"/>
      <c r="F1500" s="336"/>
      <c r="G1500" s="285" t="s">
        <v>78</v>
      </c>
      <c r="H1500" s="116" t="s">
        <v>74</v>
      </c>
      <c r="I1500" s="86">
        <f>D1499*K1500</f>
        <v>192054.8</v>
      </c>
      <c r="J1500" s="86">
        <f>I1500/D1499</f>
        <v>452</v>
      </c>
      <c r="K1500" s="86">
        <v>452</v>
      </c>
    </row>
    <row r="1501" spans="1:11" s="92" customFormat="1" x14ac:dyDescent="0.3">
      <c r="A1501" s="336"/>
      <c r="B1501" s="336"/>
      <c r="C1501" s="349"/>
      <c r="D1501" s="280"/>
      <c r="E1501" s="336"/>
      <c r="F1501" s="336"/>
      <c r="G1501" s="287"/>
      <c r="H1501" s="116" t="s">
        <v>76</v>
      </c>
      <c r="I1501" s="86">
        <v>0</v>
      </c>
      <c r="J1501" s="86">
        <v>0</v>
      </c>
      <c r="K1501" s="86">
        <v>10</v>
      </c>
    </row>
    <row r="1502" spans="1:11" s="92" customFormat="1" x14ac:dyDescent="0.3">
      <c r="A1502" s="336"/>
      <c r="B1502" s="336"/>
      <c r="C1502" s="349"/>
      <c r="D1502" s="280"/>
      <c r="E1502" s="336"/>
      <c r="F1502" s="336"/>
      <c r="G1502" s="285" t="s">
        <v>79</v>
      </c>
      <c r="H1502" s="116" t="s">
        <v>74</v>
      </c>
      <c r="I1502" s="86">
        <f>D1499*K1502</f>
        <v>179307.8</v>
      </c>
      <c r="J1502" s="86">
        <f>I1502/D1499</f>
        <v>422</v>
      </c>
      <c r="K1502" s="86">
        <v>422</v>
      </c>
    </row>
    <row r="1503" spans="1:11" s="92" customFormat="1" x14ac:dyDescent="0.3">
      <c r="A1503" s="336"/>
      <c r="B1503" s="336"/>
      <c r="C1503" s="349"/>
      <c r="D1503" s="280"/>
      <c r="E1503" s="336"/>
      <c r="F1503" s="336"/>
      <c r="G1503" s="287"/>
      <c r="H1503" s="116" t="s">
        <v>76</v>
      </c>
      <c r="I1503" s="86">
        <v>0</v>
      </c>
      <c r="J1503" s="86">
        <v>0</v>
      </c>
      <c r="K1503" s="86">
        <v>9</v>
      </c>
    </row>
    <row r="1504" spans="1:11" s="92" customFormat="1" x14ac:dyDescent="0.3">
      <c r="A1504" s="336"/>
      <c r="B1504" s="336"/>
      <c r="C1504" s="349"/>
      <c r="D1504" s="280"/>
      <c r="E1504" s="336"/>
      <c r="F1504" s="336"/>
      <c r="G1504" s="285" t="s">
        <v>77</v>
      </c>
      <c r="H1504" s="116" t="s">
        <v>74</v>
      </c>
      <c r="I1504" s="86">
        <f>D1499*K1504</f>
        <v>1143405.8999999999</v>
      </c>
      <c r="J1504" s="86">
        <f>I1504/D1499</f>
        <v>2691</v>
      </c>
      <c r="K1504" s="86">
        <v>2691</v>
      </c>
    </row>
    <row r="1505" spans="1:225" s="92" customFormat="1" x14ac:dyDescent="0.3">
      <c r="A1505" s="337"/>
      <c r="B1505" s="337"/>
      <c r="C1505" s="350"/>
      <c r="D1505" s="281"/>
      <c r="E1505" s="337"/>
      <c r="F1505" s="337"/>
      <c r="G1505" s="287"/>
      <c r="H1505" s="116" t="s">
        <v>76</v>
      </c>
      <c r="I1505" s="86">
        <v>0</v>
      </c>
      <c r="J1505" s="86">
        <v>0</v>
      </c>
      <c r="K1505" s="86">
        <v>58</v>
      </c>
    </row>
    <row r="1506" spans="1:225" s="92" customFormat="1" ht="15.75" customHeight="1" x14ac:dyDescent="0.3">
      <c r="A1506" s="335">
        <f>A1499+1</f>
        <v>66</v>
      </c>
      <c r="B1506" s="335">
        <v>6517</v>
      </c>
      <c r="C1506" s="348" t="s">
        <v>237</v>
      </c>
      <c r="D1506" s="279">
        <v>315.08999999999997</v>
      </c>
      <c r="E1506" s="335" t="s">
        <v>665</v>
      </c>
      <c r="F1506" s="335">
        <v>2</v>
      </c>
      <c r="G1506" s="13"/>
      <c r="H1506" s="116" t="s">
        <v>73</v>
      </c>
      <c r="I1506" s="86">
        <f>I1507+I1508+I1509+I1510+I1511+I1512</f>
        <v>1131488.19</v>
      </c>
      <c r="J1506" s="86">
        <f>J1507+J1508+J1509+J1510+J1511+J1512</f>
        <v>3591</v>
      </c>
      <c r="K1506" s="86">
        <f>K1507+K1508+K1509+K1510+K1511+K1512</f>
        <v>3669</v>
      </c>
    </row>
    <row r="1507" spans="1:225" s="92" customFormat="1" x14ac:dyDescent="0.3">
      <c r="A1507" s="336"/>
      <c r="B1507" s="336"/>
      <c r="C1507" s="349"/>
      <c r="D1507" s="280"/>
      <c r="E1507" s="336"/>
      <c r="F1507" s="336"/>
      <c r="G1507" s="285" t="s">
        <v>77</v>
      </c>
      <c r="H1507" s="116" t="s">
        <v>667</v>
      </c>
      <c r="I1507" s="86">
        <f>D1506*K1507</f>
        <v>847907.19</v>
      </c>
      <c r="J1507" s="86">
        <f>I1507/D1506</f>
        <v>2691</v>
      </c>
      <c r="K1507" s="86">
        <v>2691</v>
      </c>
    </row>
    <row r="1508" spans="1:225" s="92" customFormat="1" x14ac:dyDescent="0.3">
      <c r="A1508" s="336"/>
      <c r="B1508" s="336"/>
      <c r="C1508" s="349"/>
      <c r="D1508" s="280"/>
      <c r="E1508" s="336"/>
      <c r="F1508" s="336"/>
      <c r="G1508" s="287"/>
      <c r="H1508" s="116" t="s">
        <v>76</v>
      </c>
      <c r="I1508" s="86">
        <v>0</v>
      </c>
      <c r="J1508" s="86">
        <v>0</v>
      </c>
      <c r="K1508" s="86">
        <v>58</v>
      </c>
    </row>
    <row r="1509" spans="1:225" s="92" customFormat="1" x14ac:dyDescent="0.3">
      <c r="A1509" s="336"/>
      <c r="B1509" s="336"/>
      <c r="C1509" s="349"/>
      <c r="D1509" s="280"/>
      <c r="E1509" s="336"/>
      <c r="F1509" s="336"/>
      <c r="G1509" s="285" t="s">
        <v>78</v>
      </c>
      <c r="H1509" s="116" t="s">
        <v>667</v>
      </c>
      <c r="I1509" s="86">
        <f>D1506*K1509</f>
        <v>142420.68</v>
      </c>
      <c r="J1509" s="86">
        <f>I1509/D1506</f>
        <v>452</v>
      </c>
      <c r="K1509" s="86">
        <v>452</v>
      </c>
    </row>
    <row r="1510" spans="1:225" s="92" customFormat="1" x14ac:dyDescent="0.3">
      <c r="A1510" s="336"/>
      <c r="B1510" s="336"/>
      <c r="C1510" s="349"/>
      <c r="D1510" s="280"/>
      <c r="E1510" s="336"/>
      <c r="F1510" s="336"/>
      <c r="G1510" s="287"/>
      <c r="H1510" s="116" t="s">
        <v>76</v>
      </c>
      <c r="I1510" s="86">
        <v>0</v>
      </c>
      <c r="J1510" s="86">
        <v>0</v>
      </c>
      <c r="K1510" s="86">
        <v>10</v>
      </c>
    </row>
    <row r="1511" spans="1:225" s="92" customFormat="1" x14ac:dyDescent="0.3">
      <c r="A1511" s="336"/>
      <c r="B1511" s="336"/>
      <c r="C1511" s="349"/>
      <c r="D1511" s="280"/>
      <c r="E1511" s="336"/>
      <c r="F1511" s="336"/>
      <c r="G1511" s="285" t="s">
        <v>90</v>
      </c>
      <c r="H1511" s="116" t="s">
        <v>667</v>
      </c>
      <c r="I1511" s="86">
        <f>D1506*K1511</f>
        <v>141160.32000000001</v>
      </c>
      <c r="J1511" s="86">
        <f>I1511/D1506</f>
        <v>448</v>
      </c>
      <c r="K1511" s="86">
        <v>448</v>
      </c>
    </row>
    <row r="1512" spans="1:225" s="92" customFormat="1" x14ac:dyDescent="0.3">
      <c r="A1512" s="337"/>
      <c r="B1512" s="337"/>
      <c r="C1512" s="350"/>
      <c r="D1512" s="281"/>
      <c r="E1512" s="337"/>
      <c r="F1512" s="337"/>
      <c r="G1512" s="287"/>
      <c r="H1512" s="116" t="s">
        <v>76</v>
      </c>
      <c r="I1512" s="86">
        <v>0</v>
      </c>
      <c r="J1512" s="86">
        <v>0</v>
      </c>
      <c r="K1512" s="86">
        <v>10</v>
      </c>
    </row>
    <row r="1513" spans="1:225" s="92" customFormat="1" ht="15.75" customHeight="1" x14ac:dyDescent="0.3">
      <c r="A1513" s="285">
        <f>A1506+1</f>
        <v>67</v>
      </c>
      <c r="B1513" s="285">
        <v>6524</v>
      </c>
      <c r="C1513" s="295" t="s">
        <v>238</v>
      </c>
      <c r="D1513" s="279">
        <v>536.63</v>
      </c>
      <c r="E1513" s="285" t="s">
        <v>665</v>
      </c>
      <c r="F1513" s="285">
        <v>2</v>
      </c>
      <c r="G1513" s="285" t="s">
        <v>77</v>
      </c>
      <c r="H1513" s="116" t="s">
        <v>73</v>
      </c>
      <c r="I1513" s="86">
        <f>I1514+I1515</f>
        <v>1444071.33</v>
      </c>
      <c r="J1513" s="86">
        <f>J1514+J1515</f>
        <v>2691</v>
      </c>
      <c r="K1513" s="86">
        <f>K1514+K1515</f>
        <v>2749</v>
      </c>
    </row>
    <row r="1514" spans="1:225" s="92" customFormat="1" x14ac:dyDescent="0.3">
      <c r="A1514" s="286"/>
      <c r="B1514" s="286"/>
      <c r="C1514" s="296"/>
      <c r="D1514" s="280"/>
      <c r="E1514" s="286"/>
      <c r="F1514" s="286"/>
      <c r="G1514" s="286"/>
      <c r="H1514" s="116" t="s">
        <v>667</v>
      </c>
      <c r="I1514" s="86">
        <f>D1513*K1514</f>
        <v>1444071.33</v>
      </c>
      <c r="J1514" s="86">
        <f>I1514/D1513</f>
        <v>2691</v>
      </c>
      <c r="K1514" s="86">
        <v>2691</v>
      </c>
    </row>
    <row r="1515" spans="1:225" s="92" customFormat="1" x14ac:dyDescent="0.3">
      <c r="A1515" s="287"/>
      <c r="B1515" s="287"/>
      <c r="C1515" s="297"/>
      <c r="D1515" s="281"/>
      <c r="E1515" s="287"/>
      <c r="F1515" s="287"/>
      <c r="G1515" s="287"/>
      <c r="H1515" s="116" t="s">
        <v>76</v>
      </c>
      <c r="I1515" s="86">
        <v>0</v>
      </c>
      <c r="J1515" s="86">
        <v>0</v>
      </c>
      <c r="K1515" s="86">
        <v>58</v>
      </c>
    </row>
    <row r="1516" spans="1:225" x14ac:dyDescent="0.35">
      <c r="A1516" s="153" t="s">
        <v>46</v>
      </c>
      <c r="B1516" s="143"/>
      <c r="C1516" s="152"/>
      <c r="D1516" s="125">
        <f>D1517+D1522+D1528+D1534+D1537+D1546+D1548+D1553+D1556+D1561+D1566+D1571+D1574+D1577+D1580+D1583+D1585+D1596+D1603+D1605+D1607</f>
        <v>69349.05</v>
      </c>
      <c r="E1516" s="125"/>
      <c r="F1516" s="125"/>
      <c r="G1516" s="125"/>
      <c r="H1516" s="158"/>
      <c r="I1516" s="158">
        <f>I1517+I1522+I1528+I1534+I1537+I1546+I1548+I1553+I1556+I1561+I1566+I1571+I1574+I1577+I1580+I1583+I1585+I1596+I1603+I1605+I1607</f>
        <v>70017854.129999995</v>
      </c>
      <c r="J1516" s="158"/>
      <c r="K1516" s="158"/>
      <c r="L1516" s="45"/>
      <c r="M1516" s="45"/>
      <c r="N1516" s="45"/>
      <c r="O1516" s="45"/>
      <c r="P1516" s="45"/>
      <c r="Q1516" s="45"/>
      <c r="R1516" s="45"/>
      <c r="S1516" s="45"/>
      <c r="T1516" s="45"/>
      <c r="U1516" s="45"/>
      <c r="V1516" s="45"/>
      <c r="W1516" s="45"/>
      <c r="X1516" s="33"/>
      <c r="Y1516" s="33"/>
      <c r="Z1516" s="33"/>
      <c r="AA1516" s="33"/>
      <c r="AB1516" s="33"/>
      <c r="AC1516" s="33"/>
      <c r="AD1516" s="33"/>
      <c r="AE1516" s="33"/>
      <c r="AF1516" s="33"/>
      <c r="AG1516" s="33"/>
      <c r="AH1516" s="33"/>
      <c r="AI1516" s="33"/>
      <c r="AJ1516" s="33"/>
      <c r="AK1516" s="33"/>
      <c r="AL1516" s="33"/>
      <c r="AM1516" s="33"/>
      <c r="AN1516" s="33"/>
      <c r="AO1516" s="33"/>
      <c r="AP1516" s="33"/>
      <c r="AQ1516" s="33"/>
      <c r="AR1516" s="33"/>
      <c r="AS1516" s="33"/>
      <c r="AT1516" s="33"/>
      <c r="AU1516" s="33"/>
      <c r="AV1516" s="33"/>
      <c r="AW1516" s="33"/>
      <c r="AX1516" s="33"/>
      <c r="AY1516" s="33"/>
      <c r="AZ1516" s="33"/>
      <c r="BA1516" s="33"/>
      <c r="BB1516" s="33"/>
      <c r="BC1516" s="33"/>
      <c r="BD1516" s="33"/>
      <c r="BE1516" s="33"/>
      <c r="BF1516" s="33"/>
      <c r="BG1516" s="33"/>
      <c r="BH1516" s="33"/>
      <c r="BI1516" s="33"/>
      <c r="BJ1516" s="33"/>
      <c r="BK1516" s="33"/>
      <c r="BL1516" s="33"/>
      <c r="BM1516" s="33"/>
      <c r="BN1516" s="33"/>
      <c r="BO1516" s="33"/>
      <c r="BP1516" s="33"/>
      <c r="BQ1516" s="33"/>
      <c r="BR1516" s="33"/>
      <c r="BS1516" s="33"/>
      <c r="BT1516" s="33"/>
      <c r="BU1516" s="33"/>
      <c r="BV1516" s="33"/>
      <c r="BW1516" s="33"/>
      <c r="BX1516" s="33"/>
      <c r="BY1516" s="33"/>
      <c r="BZ1516" s="33"/>
      <c r="CA1516" s="33"/>
      <c r="CB1516" s="33"/>
      <c r="CC1516" s="33"/>
      <c r="CD1516" s="33"/>
      <c r="CE1516" s="33"/>
      <c r="CF1516" s="33"/>
      <c r="CG1516" s="33"/>
      <c r="CH1516" s="33"/>
      <c r="CI1516" s="33"/>
      <c r="CJ1516" s="33"/>
      <c r="CK1516" s="33"/>
      <c r="CL1516" s="33"/>
      <c r="CM1516" s="33"/>
      <c r="CN1516" s="33"/>
      <c r="CO1516" s="33"/>
      <c r="CP1516" s="33"/>
      <c r="CQ1516" s="33"/>
      <c r="CR1516" s="33"/>
      <c r="CS1516" s="33"/>
      <c r="CT1516" s="33"/>
      <c r="CU1516" s="33"/>
      <c r="CV1516" s="33"/>
      <c r="CW1516" s="33"/>
      <c r="CX1516" s="33"/>
      <c r="CY1516" s="33"/>
      <c r="CZ1516" s="33"/>
      <c r="DA1516" s="33"/>
      <c r="DB1516" s="33"/>
      <c r="DC1516" s="33"/>
      <c r="DD1516" s="33"/>
      <c r="DE1516" s="33"/>
      <c r="DF1516" s="33"/>
      <c r="DG1516" s="33"/>
      <c r="DH1516" s="33"/>
      <c r="DI1516" s="33"/>
      <c r="DJ1516" s="33"/>
      <c r="DK1516" s="33"/>
      <c r="DL1516" s="33"/>
      <c r="DM1516" s="33"/>
      <c r="DN1516" s="33"/>
      <c r="DO1516" s="33"/>
      <c r="DP1516" s="33"/>
      <c r="DQ1516" s="33"/>
      <c r="DR1516" s="33"/>
      <c r="DS1516" s="33"/>
      <c r="DT1516" s="33"/>
      <c r="DU1516" s="33"/>
      <c r="DV1516" s="33"/>
      <c r="DW1516" s="33"/>
      <c r="DX1516" s="33"/>
      <c r="DY1516" s="33"/>
      <c r="DZ1516" s="33"/>
      <c r="EA1516" s="33"/>
      <c r="EB1516" s="33"/>
      <c r="EC1516" s="33"/>
      <c r="ED1516" s="33"/>
      <c r="EE1516" s="33"/>
      <c r="EF1516" s="33"/>
      <c r="EG1516" s="33"/>
      <c r="EH1516" s="33"/>
      <c r="EI1516" s="33"/>
      <c r="EJ1516" s="33"/>
      <c r="EK1516" s="33"/>
      <c r="EL1516" s="33"/>
      <c r="EM1516" s="33"/>
      <c r="EN1516" s="33"/>
      <c r="EO1516" s="33"/>
      <c r="EP1516" s="33"/>
      <c r="EQ1516" s="33"/>
      <c r="ER1516" s="33"/>
      <c r="ES1516" s="33"/>
      <c r="ET1516" s="33"/>
      <c r="EU1516" s="33"/>
      <c r="EV1516" s="33"/>
      <c r="EW1516" s="33"/>
      <c r="EX1516" s="33"/>
      <c r="EY1516" s="33"/>
      <c r="EZ1516" s="33"/>
      <c r="FA1516" s="33"/>
      <c r="FB1516" s="33"/>
      <c r="FC1516" s="33"/>
      <c r="FD1516" s="33"/>
      <c r="FE1516" s="33"/>
      <c r="FF1516" s="33"/>
      <c r="FG1516" s="33"/>
      <c r="FH1516" s="33"/>
      <c r="FI1516" s="33"/>
      <c r="FJ1516" s="33"/>
      <c r="FK1516" s="33"/>
      <c r="FL1516" s="33"/>
      <c r="FM1516" s="33"/>
      <c r="FN1516" s="33"/>
      <c r="FO1516" s="33"/>
      <c r="FP1516" s="33"/>
      <c r="FQ1516" s="33"/>
      <c r="FR1516" s="33"/>
      <c r="FS1516" s="33"/>
      <c r="FT1516" s="33"/>
      <c r="FU1516" s="33"/>
      <c r="FV1516" s="33"/>
      <c r="FW1516" s="33"/>
      <c r="FX1516" s="33"/>
      <c r="FY1516" s="33"/>
      <c r="FZ1516" s="33"/>
      <c r="GA1516" s="33"/>
      <c r="GB1516" s="33"/>
      <c r="GC1516" s="33"/>
      <c r="GD1516" s="33"/>
      <c r="GE1516" s="33"/>
      <c r="GF1516" s="33"/>
      <c r="GG1516" s="33"/>
      <c r="GH1516" s="33"/>
      <c r="GI1516" s="33"/>
      <c r="GJ1516" s="33"/>
      <c r="GK1516" s="33"/>
      <c r="GL1516" s="33"/>
      <c r="GM1516" s="33"/>
      <c r="GN1516" s="33"/>
      <c r="GO1516" s="33"/>
      <c r="GP1516" s="33"/>
      <c r="GQ1516" s="33"/>
      <c r="GR1516" s="33"/>
      <c r="GS1516" s="33"/>
      <c r="GT1516" s="33"/>
      <c r="GU1516" s="33"/>
      <c r="GV1516" s="33"/>
      <c r="GW1516" s="33"/>
      <c r="GX1516" s="33"/>
      <c r="GY1516" s="33"/>
      <c r="GZ1516" s="33"/>
      <c r="HA1516" s="33"/>
      <c r="HB1516" s="33"/>
      <c r="HC1516" s="33"/>
      <c r="HD1516" s="33"/>
      <c r="HE1516" s="33"/>
      <c r="HF1516" s="33"/>
      <c r="HG1516" s="33"/>
      <c r="HH1516" s="33"/>
      <c r="HI1516" s="33"/>
      <c r="HJ1516" s="33"/>
      <c r="HK1516" s="33"/>
      <c r="HL1516" s="33"/>
      <c r="HM1516" s="33"/>
      <c r="HN1516" s="33"/>
      <c r="HO1516" s="33"/>
    </row>
    <row r="1517" spans="1:225" ht="15.75" customHeight="1" x14ac:dyDescent="0.35">
      <c r="A1517" s="256">
        <v>1</v>
      </c>
      <c r="B1517" s="256">
        <v>5072</v>
      </c>
      <c r="C1517" s="322" t="s">
        <v>529</v>
      </c>
      <c r="D1517" s="262">
        <v>3100.9</v>
      </c>
      <c r="E1517" s="262" t="s">
        <v>75</v>
      </c>
      <c r="F1517" s="265">
        <v>5</v>
      </c>
      <c r="G1517" s="144"/>
      <c r="H1517" s="159" t="s">
        <v>73</v>
      </c>
      <c r="I1517" s="158">
        <f>I1518+I1519+I1520+I1521</f>
        <v>496144</v>
      </c>
      <c r="J1517" s="158">
        <f>J1518+J1519+J1520+J1521</f>
        <v>160</v>
      </c>
      <c r="K1517" s="158">
        <f>K1518+K1519+K1520+K1521</f>
        <v>160</v>
      </c>
      <c r="L1517" s="7"/>
      <c r="M1517" s="7"/>
      <c r="N1517" s="7"/>
      <c r="O1517" s="7"/>
      <c r="P1517" s="7"/>
      <c r="Q1517" s="7"/>
      <c r="R1517" s="7"/>
      <c r="S1517" s="7"/>
      <c r="T1517" s="7"/>
      <c r="U1517" s="7"/>
      <c r="V1517" s="7"/>
      <c r="W1517" s="7"/>
    </row>
    <row r="1518" spans="1:225" ht="31" x14ac:dyDescent="0.35">
      <c r="A1518" s="257"/>
      <c r="B1518" s="257"/>
      <c r="C1518" s="323"/>
      <c r="D1518" s="263"/>
      <c r="E1518" s="263"/>
      <c r="F1518" s="266"/>
      <c r="G1518" s="120" t="s">
        <v>77</v>
      </c>
      <c r="H1518" s="159" t="s">
        <v>666</v>
      </c>
      <c r="I1518" s="158">
        <f>K1518*D1517</f>
        <v>288383.7</v>
      </c>
      <c r="J1518" s="158">
        <f>I1518/D1517</f>
        <v>93</v>
      </c>
      <c r="K1518" s="158">
        <f>86+7</f>
        <v>93</v>
      </c>
      <c r="L1518" s="7"/>
      <c r="M1518" s="7"/>
      <c r="N1518" s="7"/>
      <c r="O1518" s="7"/>
      <c r="P1518" s="7"/>
      <c r="Q1518" s="7"/>
      <c r="R1518" s="7"/>
      <c r="S1518" s="7"/>
      <c r="T1518" s="7"/>
      <c r="U1518" s="7"/>
      <c r="V1518" s="7"/>
      <c r="W1518" s="7"/>
    </row>
    <row r="1519" spans="1:225" ht="48" customHeight="1" x14ac:dyDescent="0.35">
      <c r="A1519" s="257"/>
      <c r="B1519" s="257"/>
      <c r="C1519" s="323"/>
      <c r="D1519" s="263"/>
      <c r="E1519" s="263"/>
      <c r="F1519" s="266"/>
      <c r="G1519" s="120" t="s">
        <v>78</v>
      </c>
      <c r="H1519" s="159" t="s">
        <v>666</v>
      </c>
      <c r="I1519" s="158">
        <f>K1519*D1517</f>
        <v>71320.7</v>
      </c>
      <c r="J1519" s="158">
        <f>I1519/D1517</f>
        <v>23</v>
      </c>
      <c r="K1519" s="158">
        <f>21+2</f>
        <v>23</v>
      </c>
      <c r="L1519" s="7"/>
      <c r="M1519" s="7"/>
      <c r="N1519" s="7"/>
      <c r="O1519" s="7"/>
      <c r="P1519" s="7"/>
      <c r="Q1519" s="7"/>
      <c r="R1519" s="7"/>
      <c r="S1519" s="7"/>
      <c r="T1519" s="7"/>
      <c r="U1519" s="7"/>
      <c r="V1519" s="7"/>
      <c r="W1519" s="7"/>
    </row>
    <row r="1520" spans="1:225" s="1" customFormat="1" ht="48" customHeight="1" x14ac:dyDescent="0.35">
      <c r="A1520" s="257"/>
      <c r="B1520" s="257"/>
      <c r="C1520" s="323"/>
      <c r="D1520" s="263"/>
      <c r="E1520" s="263"/>
      <c r="F1520" s="266"/>
      <c r="G1520" s="120" t="s">
        <v>79</v>
      </c>
      <c r="H1520" s="159" t="s">
        <v>666</v>
      </c>
      <c r="I1520" s="158">
        <f>K1520*D1517</f>
        <v>71320.7</v>
      </c>
      <c r="J1520" s="158">
        <f>I1520/D1517</f>
        <v>23</v>
      </c>
      <c r="K1520" s="158">
        <f>21+2</f>
        <v>23</v>
      </c>
      <c r="L1520" s="7"/>
      <c r="M1520" s="7"/>
      <c r="N1520" s="7"/>
      <c r="O1520" s="7"/>
      <c r="P1520" s="7"/>
      <c r="Q1520" s="7"/>
      <c r="R1520" s="7"/>
      <c r="S1520" s="7"/>
      <c r="T1520" s="7"/>
      <c r="U1520" s="7"/>
      <c r="V1520" s="7"/>
      <c r="W1520" s="7"/>
      <c r="X1520" s="7"/>
      <c r="Y1520" s="7"/>
      <c r="Z1520" s="7"/>
      <c r="AA1520" s="7"/>
      <c r="AB1520" s="7"/>
      <c r="AC1520" s="7"/>
      <c r="AD1520" s="7"/>
      <c r="AE1520" s="7"/>
      <c r="AF1520" s="7"/>
      <c r="AG1520" s="7"/>
      <c r="AH1520" s="7"/>
      <c r="AI1520" s="7"/>
      <c r="AJ1520" s="7"/>
      <c r="AK1520" s="7"/>
      <c r="AL1520" s="7"/>
      <c r="AM1520" s="7"/>
      <c r="AN1520" s="7"/>
      <c r="AO1520" s="7"/>
      <c r="AP1520" s="7"/>
      <c r="AQ1520" s="7"/>
      <c r="AR1520" s="7"/>
      <c r="AS1520" s="7"/>
      <c r="AT1520" s="7"/>
      <c r="AU1520" s="7"/>
      <c r="AV1520" s="7"/>
      <c r="AW1520" s="7"/>
      <c r="AX1520" s="7"/>
      <c r="AY1520" s="7"/>
      <c r="AZ1520" s="7"/>
      <c r="BA1520" s="7"/>
      <c r="BB1520" s="7"/>
      <c r="BC1520" s="7"/>
      <c r="BD1520" s="7"/>
      <c r="BE1520" s="7"/>
      <c r="BF1520" s="7"/>
      <c r="BG1520" s="7"/>
      <c r="BH1520" s="7"/>
      <c r="BI1520" s="7"/>
      <c r="BJ1520" s="7"/>
      <c r="BK1520" s="7"/>
      <c r="BL1520" s="7"/>
      <c r="BM1520" s="7"/>
      <c r="BN1520" s="7"/>
      <c r="BO1520" s="7"/>
      <c r="BP1520" s="7"/>
      <c r="BQ1520" s="7"/>
      <c r="BR1520" s="7"/>
      <c r="BS1520" s="7"/>
      <c r="BT1520" s="7"/>
      <c r="BU1520" s="7"/>
      <c r="BV1520" s="7"/>
      <c r="BW1520" s="7"/>
      <c r="BX1520" s="7"/>
      <c r="BY1520" s="7"/>
      <c r="BZ1520" s="7"/>
      <c r="CA1520" s="7"/>
      <c r="CB1520" s="7"/>
      <c r="CC1520" s="7"/>
      <c r="CD1520" s="7"/>
      <c r="CE1520" s="7"/>
      <c r="CF1520" s="7"/>
      <c r="CG1520" s="7"/>
      <c r="CH1520" s="7"/>
      <c r="CI1520" s="7"/>
      <c r="CJ1520" s="7"/>
      <c r="CK1520" s="7"/>
      <c r="CL1520" s="7"/>
      <c r="CM1520" s="7"/>
      <c r="CN1520" s="7"/>
      <c r="CO1520" s="7"/>
      <c r="CP1520" s="7"/>
      <c r="CQ1520" s="7"/>
      <c r="CR1520" s="7"/>
      <c r="CS1520" s="7"/>
      <c r="CT1520" s="7"/>
      <c r="CU1520" s="7"/>
      <c r="CV1520" s="7"/>
      <c r="CW1520" s="7"/>
      <c r="CX1520" s="7"/>
      <c r="CY1520" s="7"/>
      <c r="CZ1520" s="7"/>
      <c r="DA1520" s="7"/>
      <c r="DB1520" s="7"/>
      <c r="DC1520" s="7"/>
      <c r="DD1520" s="7"/>
      <c r="DE1520" s="7"/>
      <c r="DF1520" s="7"/>
      <c r="DG1520" s="7"/>
      <c r="DH1520" s="7"/>
      <c r="DI1520" s="7"/>
      <c r="DJ1520" s="7"/>
      <c r="DK1520" s="7"/>
      <c r="DL1520" s="7"/>
      <c r="DM1520" s="7"/>
      <c r="DN1520" s="7"/>
      <c r="DO1520" s="7"/>
      <c r="DP1520" s="7"/>
      <c r="DQ1520" s="7"/>
      <c r="DR1520" s="7"/>
      <c r="DS1520" s="7"/>
      <c r="DT1520" s="7"/>
      <c r="DU1520" s="7"/>
      <c r="DV1520" s="7"/>
      <c r="DW1520" s="7"/>
      <c r="DX1520" s="7"/>
      <c r="DY1520" s="7"/>
      <c r="DZ1520" s="7"/>
      <c r="EA1520" s="7"/>
      <c r="EB1520" s="7"/>
      <c r="EC1520" s="7"/>
      <c r="ED1520" s="7"/>
      <c r="EE1520" s="7"/>
      <c r="EF1520" s="7"/>
      <c r="EG1520" s="7"/>
      <c r="EH1520" s="7"/>
      <c r="EI1520" s="7"/>
      <c r="EJ1520" s="7"/>
      <c r="EK1520" s="7"/>
      <c r="EL1520" s="7"/>
      <c r="EM1520" s="7"/>
      <c r="EN1520" s="7"/>
      <c r="EO1520" s="7"/>
      <c r="EP1520" s="7"/>
      <c r="EQ1520" s="7"/>
      <c r="ER1520" s="7"/>
      <c r="ES1520" s="7"/>
      <c r="ET1520" s="7"/>
      <c r="EU1520" s="7"/>
      <c r="EV1520" s="7"/>
      <c r="EW1520" s="7"/>
      <c r="EX1520" s="7"/>
      <c r="EY1520" s="7"/>
      <c r="EZ1520" s="7"/>
      <c r="FA1520" s="7"/>
      <c r="FB1520" s="7"/>
      <c r="FC1520" s="7"/>
      <c r="FD1520" s="7"/>
      <c r="FE1520" s="7"/>
      <c r="FF1520" s="7"/>
      <c r="FG1520" s="7"/>
      <c r="FH1520" s="7"/>
      <c r="FI1520" s="7"/>
      <c r="FJ1520" s="7"/>
      <c r="FK1520" s="7"/>
      <c r="FL1520" s="7"/>
      <c r="FM1520" s="7"/>
      <c r="FN1520" s="7"/>
      <c r="FO1520" s="7"/>
      <c r="FP1520" s="7"/>
      <c r="FQ1520" s="7"/>
      <c r="FR1520" s="7"/>
      <c r="FS1520" s="7"/>
      <c r="FT1520" s="7"/>
      <c r="FU1520" s="7"/>
      <c r="FV1520" s="7"/>
      <c r="FW1520" s="7"/>
      <c r="FX1520" s="7"/>
      <c r="FY1520" s="7"/>
      <c r="FZ1520" s="7"/>
      <c r="GA1520" s="7"/>
      <c r="GB1520" s="7"/>
      <c r="GC1520" s="7"/>
      <c r="GD1520" s="7"/>
      <c r="GE1520" s="7"/>
      <c r="GF1520" s="7"/>
      <c r="GG1520" s="7"/>
      <c r="GH1520" s="7"/>
      <c r="GI1520" s="7"/>
      <c r="GJ1520" s="7"/>
      <c r="GK1520" s="7"/>
      <c r="GL1520" s="7"/>
      <c r="GM1520" s="7"/>
      <c r="GN1520" s="7"/>
      <c r="GO1520" s="7"/>
      <c r="GP1520" s="7"/>
      <c r="GQ1520" s="7"/>
      <c r="GR1520" s="7"/>
      <c r="GS1520" s="7"/>
      <c r="GT1520" s="7"/>
      <c r="GU1520" s="7"/>
      <c r="GV1520" s="7"/>
      <c r="GW1520" s="7"/>
      <c r="GX1520" s="7"/>
      <c r="GY1520" s="7"/>
      <c r="GZ1520" s="7"/>
      <c r="HA1520" s="7"/>
      <c r="HB1520" s="7"/>
      <c r="HC1520" s="7"/>
      <c r="HD1520" s="7"/>
      <c r="HE1520" s="7"/>
      <c r="HF1520" s="7"/>
      <c r="HG1520" s="7"/>
      <c r="HH1520" s="7"/>
      <c r="HI1520" s="7"/>
      <c r="HJ1520" s="7"/>
      <c r="HK1520" s="7"/>
      <c r="HL1520" s="7"/>
      <c r="HM1520" s="7"/>
      <c r="HN1520" s="7"/>
      <c r="HO1520" s="7"/>
      <c r="HP1520" s="7"/>
      <c r="HQ1520" s="7"/>
    </row>
    <row r="1521" spans="1:225" s="1" customFormat="1" ht="31" x14ac:dyDescent="0.35">
      <c r="A1521" s="257"/>
      <c r="B1521" s="257"/>
      <c r="C1521" s="323"/>
      <c r="D1521" s="263"/>
      <c r="E1521" s="263"/>
      <c r="F1521" s="266"/>
      <c r="G1521" s="120" t="s">
        <v>90</v>
      </c>
      <c r="H1521" s="159" t="s">
        <v>666</v>
      </c>
      <c r="I1521" s="158">
        <f>K1521*D1517</f>
        <v>65118.9</v>
      </c>
      <c r="J1521" s="158">
        <f>I1521/D1517</f>
        <v>21</v>
      </c>
      <c r="K1521" s="158">
        <f>19+2</f>
        <v>21</v>
      </c>
      <c r="L1521" s="7"/>
      <c r="M1521" s="7"/>
      <c r="N1521" s="7"/>
      <c r="O1521" s="7"/>
      <c r="P1521" s="7"/>
      <c r="Q1521" s="7"/>
      <c r="R1521" s="7"/>
      <c r="S1521" s="7"/>
      <c r="T1521" s="7"/>
      <c r="U1521" s="7"/>
      <c r="V1521" s="7"/>
      <c r="W1521" s="7"/>
      <c r="X1521" s="7"/>
      <c r="Y1521" s="7"/>
      <c r="Z1521" s="7"/>
      <c r="AA1521" s="7"/>
      <c r="AB1521" s="7"/>
      <c r="AC1521" s="7"/>
      <c r="AD1521" s="7"/>
      <c r="AE1521" s="7"/>
      <c r="AF1521" s="7"/>
      <c r="AG1521" s="7"/>
      <c r="AH1521" s="7"/>
      <c r="AI1521" s="7"/>
      <c r="AJ1521" s="7"/>
      <c r="AK1521" s="7"/>
      <c r="AL1521" s="7"/>
      <c r="AM1521" s="7"/>
      <c r="AN1521" s="7"/>
      <c r="AO1521" s="7"/>
      <c r="AP1521" s="7"/>
      <c r="AQ1521" s="7"/>
      <c r="AR1521" s="7"/>
      <c r="AS1521" s="7"/>
      <c r="AT1521" s="7"/>
      <c r="AU1521" s="7"/>
      <c r="AV1521" s="7"/>
      <c r="AW1521" s="7"/>
      <c r="AX1521" s="7"/>
      <c r="AY1521" s="7"/>
      <c r="AZ1521" s="7"/>
      <c r="BA1521" s="7"/>
      <c r="BB1521" s="7"/>
      <c r="BC1521" s="7"/>
      <c r="BD1521" s="7"/>
      <c r="BE1521" s="7"/>
      <c r="BF1521" s="7"/>
      <c r="BG1521" s="7"/>
      <c r="BH1521" s="7"/>
      <c r="BI1521" s="7"/>
      <c r="BJ1521" s="7"/>
      <c r="BK1521" s="7"/>
      <c r="BL1521" s="7"/>
      <c r="BM1521" s="7"/>
      <c r="BN1521" s="7"/>
      <c r="BO1521" s="7"/>
      <c r="BP1521" s="7"/>
      <c r="BQ1521" s="7"/>
      <c r="BR1521" s="7"/>
      <c r="BS1521" s="7"/>
      <c r="BT1521" s="7"/>
      <c r="BU1521" s="7"/>
      <c r="BV1521" s="7"/>
      <c r="BW1521" s="7"/>
      <c r="BX1521" s="7"/>
      <c r="BY1521" s="7"/>
      <c r="BZ1521" s="7"/>
      <c r="CA1521" s="7"/>
      <c r="CB1521" s="7"/>
      <c r="CC1521" s="7"/>
      <c r="CD1521" s="7"/>
      <c r="CE1521" s="7"/>
      <c r="CF1521" s="7"/>
      <c r="CG1521" s="7"/>
      <c r="CH1521" s="7"/>
      <c r="CI1521" s="7"/>
      <c r="CJ1521" s="7"/>
      <c r="CK1521" s="7"/>
      <c r="CL1521" s="7"/>
      <c r="CM1521" s="7"/>
      <c r="CN1521" s="7"/>
      <c r="CO1521" s="7"/>
      <c r="CP1521" s="7"/>
      <c r="CQ1521" s="7"/>
      <c r="CR1521" s="7"/>
      <c r="CS1521" s="7"/>
      <c r="CT1521" s="7"/>
      <c r="CU1521" s="7"/>
      <c r="CV1521" s="7"/>
      <c r="CW1521" s="7"/>
      <c r="CX1521" s="7"/>
      <c r="CY1521" s="7"/>
      <c r="CZ1521" s="7"/>
      <c r="DA1521" s="7"/>
      <c r="DB1521" s="7"/>
      <c r="DC1521" s="7"/>
      <c r="DD1521" s="7"/>
      <c r="DE1521" s="7"/>
      <c r="DF1521" s="7"/>
      <c r="DG1521" s="7"/>
      <c r="DH1521" s="7"/>
      <c r="DI1521" s="7"/>
      <c r="DJ1521" s="7"/>
      <c r="DK1521" s="7"/>
      <c r="DL1521" s="7"/>
      <c r="DM1521" s="7"/>
      <c r="DN1521" s="7"/>
      <c r="DO1521" s="7"/>
      <c r="DP1521" s="7"/>
      <c r="DQ1521" s="7"/>
      <c r="DR1521" s="7"/>
      <c r="DS1521" s="7"/>
      <c r="DT1521" s="7"/>
      <c r="DU1521" s="7"/>
      <c r="DV1521" s="7"/>
      <c r="DW1521" s="7"/>
      <c r="DX1521" s="7"/>
      <c r="DY1521" s="7"/>
      <c r="DZ1521" s="7"/>
      <c r="EA1521" s="7"/>
      <c r="EB1521" s="7"/>
      <c r="EC1521" s="7"/>
      <c r="ED1521" s="7"/>
      <c r="EE1521" s="7"/>
      <c r="EF1521" s="7"/>
      <c r="EG1521" s="7"/>
      <c r="EH1521" s="7"/>
      <c r="EI1521" s="7"/>
      <c r="EJ1521" s="7"/>
      <c r="EK1521" s="7"/>
      <c r="EL1521" s="7"/>
      <c r="EM1521" s="7"/>
      <c r="EN1521" s="7"/>
      <c r="EO1521" s="7"/>
      <c r="EP1521" s="7"/>
      <c r="EQ1521" s="7"/>
      <c r="ER1521" s="7"/>
      <c r="ES1521" s="7"/>
      <c r="ET1521" s="7"/>
      <c r="EU1521" s="7"/>
      <c r="EV1521" s="7"/>
      <c r="EW1521" s="7"/>
      <c r="EX1521" s="7"/>
      <c r="EY1521" s="7"/>
      <c r="EZ1521" s="7"/>
      <c r="FA1521" s="7"/>
      <c r="FB1521" s="7"/>
      <c r="FC1521" s="7"/>
      <c r="FD1521" s="7"/>
      <c r="FE1521" s="7"/>
      <c r="FF1521" s="7"/>
      <c r="FG1521" s="7"/>
      <c r="FH1521" s="7"/>
      <c r="FI1521" s="7"/>
      <c r="FJ1521" s="7"/>
      <c r="FK1521" s="7"/>
      <c r="FL1521" s="7"/>
      <c r="FM1521" s="7"/>
      <c r="FN1521" s="7"/>
      <c r="FO1521" s="7"/>
      <c r="FP1521" s="7"/>
      <c r="FQ1521" s="7"/>
      <c r="FR1521" s="7"/>
      <c r="FS1521" s="7"/>
      <c r="FT1521" s="7"/>
      <c r="FU1521" s="7"/>
      <c r="FV1521" s="7"/>
      <c r="FW1521" s="7"/>
      <c r="FX1521" s="7"/>
      <c r="FY1521" s="7"/>
      <c r="FZ1521" s="7"/>
      <c r="GA1521" s="7"/>
      <c r="GB1521" s="7"/>
      <c r="GC1521" s="7"/>
      <c r="GD1521" s="7"/>
      <c r="GE1521" s="7"/>
      <c r="GF1521" s="7"/>
      <c r="GG1521" s="7"/>
      <c r="GH1521" s="7"/>
      <c r="GI1521" s="7"/>
      <c r="GJ1521" s="7"/>
      <c r="GK1521" s="7"/>
      <c r="GL1521" s="7"/>
      <c r="GM1521" s="7"/>
      <c r="GN1521" s="7"/>
      <c r="GO1521" s="7"/>
      <c r="GP1521" s="7"/>
      <c r="GQ1521" s="7"/>
      <c r="GR1521" s="7"/>
      <c r="GS1521" s="7"/>
      <c r="GT1521" s="7"/>
      <c r="GU1521" s="7"/>
      <c r="GV1521" s="7"/>
      <c r="GW1521" s="7"/>
      <c r="GX1521" s="7"/>
      <c r="GY1521" s="7"/>
      <c r="GZ1521" s="7"/>
      <c r="HA1521" s="7"/>
      <c r="HB1521" s="7"/>
      <c r="HC1521" s="7"/>
      <c r="HD1521" s="7"/>
      <c r="HE1521" s="7"/>
      <c r="HF1521" s="7"/>
      <c r="HG1521" s="7"/>
      <c r="HH1521" s="7"/>
      <c r="HI1521" s="7"/>
      <c r="HJ1521" s="7"/>
      <c r="HK1521" s="7"/>
      <c r="HL1521" s="7"/>
      <c r="HM1521" s="7"/>
      <c r="HN1521" s="7"/>
      <c r="HO1521" s="7"/>
      <c r="HP1521" s="7"/>
      <c r="HQ1521" s="7"/>
    </row>
    <row r="1522" spans="1:225" ht="15.75" customHeight="1" x14ac:dyDescent="0.35">
      <c r="A1522" s="256">
        <f>A1517+1</f>
        <v>2</v>
      </c>
      <c r="B1522" s="256">
        <v>5098</v>
      </c>
      <c r="C1522" s="259" t="s">
        <v>530</v>
      </c>
      <c r="D1522" s="262">
        <v>374.5</v>
      </c>
      <c r="E1522" s="262" t="s">
        <v>71</v>
      </c>
      <c r="F1522" s="265">
        <v>2</v>
      </c>
      <c r="G1522" s="149"/>
      <c r="H1522" s="159" t="s">
        <v>73</v>
      </c>
      <c r="I1522" s="158">
        <f>SUM(I1523:I1527)</f>
        <v>126955.5</v>
      </c>
      <c r="J1522" s="158">
        <f>SUM(J1523:J1527)</f>
        <v>339</v>
      </c>
      <c r="K1522" s="158">
        <f>SUM(K1523:K1527)</f>
        <v>339</v>
      </c>
      <c r="L1522" s="7"/>
      <c r="M1522" s="7"/>
      <c r="N1522" s="7"/>
      <c r="O1522" s="7"/>
      <c r="P1522" s="7"/>
      <c r="Q1522" s="7"/>
      <c r="R1522" s="7"/>
      <c r="S1522" s="7"/>
      <c r="T1522" s="7"/>
      <c r="U1522" s="7"/>
      <c r="V1522" s="7"/>
      <c r="W1522" s="7"/>
    </row>
    <row r="1523" spans="1:225" ht="31" x14ac:dyDescent="0.35">
      <c r="A1523" s="257"/>
      <c r="B1523" s="257"/>
      <c r="C1523" s="260"/>
      <c r="D1523" s="263"/>
      <c r="E1523" s="263"/>
      <c r="F1523" s="266"/>
      <c r="G1523" s="120" t="s">
        <v>77</v>
      </c>
      <c r="H1523" s="159" t="s">
        <v>666</v>
      </c>
      <c r="I1523" s="158">
        <f>D1522*K1523</f>
        <v>44565.5</v>
      </c>
      <c r="J1523" s="158">
        <f>I1523/D1522</f>
        <v>119</v>
      </c>
      <c r="K1523" s="158">
        <f>110+9</f>
        <v>119</v>
      </c>
      <c r="L1523" s="7"/>
      <c r="M1523" s="7"/>
      <c r="N1523" s="7"/>
      <c r="O1523" s="7"/>
      <c r="P1523" s="7"/>
      <c r="Q1523" s="7"/>
      <c r="R1523" s="7"/>
      <c r="S1523" s="7"/>
      <c r="T1523" s="7"/>
      <c r="U1523" s="7"/>
      <c r="V1523" s="7"/>
      <c r="W1523" s="7"/>
    </row>
    <row r="1524" spans="1:225" ht="47.25" customHeight="1" x14ac:dyDescent="0.35">
      <c r="A1524" s="257"/>
      <c r="B1524" s="257"/>
      <c r="C1524" s="260"/>
      <c r="D1524" s="263"/>
      <c r="E1524" s="263"/>
      <c r="F1524" s="266"/>
      <c r="G1524" s="120" t="s">
        <v>723</v>
      </c>
      <c r="H1524" s="159" t="s">
        <v>666</v>
      </c>
      <c r="I1524" s="158">
        <f>D1522*K1524</f>
        <v>8613.5</v>
      </c>
      <c r="J1524" s="158">
        <f>I1524/D1522</f>
        <v>23</v>
      </c>
      <c r="K1524" s="158">
        <f>21+2</f>
        <v>23</v>
      </c>
      <c r="L1524" s="7"/>
      <c r="M1524" s="7"/>
      <c r="N1524" s="7"/>
      <c r="O1524" s="7"/>
      <c r="P1524" s="7"/>
      <c r="Q1524" s="7"/>
      <c r="R1524" s="7"/>
      <c r="S1524" s="7"/>
      <c r="T1524" s="7"/>
      <c r="U1524" s="7"/>
      <c r="V1524" s="7"/>
      <c r="W1524" s="7"/>
    </row>
    <row r="1525" spans="1:225" ht="47.25" customHeight="1" x14ac:dyDescent="0.35">
      <c r="A1525" s="257"/>
      <c r="B1525" s="257"/>
      <c r="C1525" s="260"/>
      <c r="D1525" s="263"/>
      <c r="E1525" s="263"/>
      <c r="F1525" s="266"/>
      <c r="G1525" s="120" t="s">
        <v>79</v>
      </c>
      <c r="H1525" s="159" t="s">
        <v>666</v>
      </c>
      <c r="I1525" s="158">
        <f>D1522*K1525</f>
        <v>8613.5</v>
      </c>
      <c r="J1525" s="158">
        <f>I1525/D1522</f>
        <v>23</v>
      </c>
      <c r="K1525" s="158">
        <f>21+2</f>
        <v>23</v>
      </c>
      <c r="L1525" s="7"/>
      <c r="M1525" s="7"/>
      <c r="N1525" s="7"/>
      <c r="O1525" s="7"/>
      <c r="P1525" s="7"/>
      <c r="Q1525" s="7"/>
      <c r="R1525" s="7"/>
      <c r="S1525" s="7"/>
      <c r="T1525" s="7"/>
      <c r="U1525" s="7"/>
      <c r="V1525" s="7"/>
      <c r="W1525" s="7"/>
    </row>
    <row r="1526" spans="1:225" ht="33" customHeight="1" x14ac:dyDescent="0.35">
      <c r="A1526" s="257"/>
      <c r="B1526" s="257"/>
      <c r="C1526" s="260"/>
      <c r="D1526" s="263"/>
      <c r="E1526" s="263"/>
      <c r="F1526" s="266"/>
      <c r="G1526" s="120" t="s">
        <v>90</v>
      </c>
      <c r="H1526" s="159" t="s">
        <v>666</v>
      </c>
      <c r="I1526" s="158">
        <f>D1522*K1526</f>
        <v>7864.5</v>
      </c>
      <c r="J1526" s="158">
        <f>I1526/D1522</f>
        <v>21</v>
      </c>
      <c r="K1526" s="158">
        <f>19+2</f>
        <v>21</v>
      </c>
      <c r="L1526" s="7"/>
      <c r="M1526" s="7"/>
      <c r="N1526" s="7"/>
      <c r="O1526" s="7"/>
      <c r="P1526" s="7"/>
      <c r="Q1526" s="7"/>
      <c r="R1526" s="7"/>
      <c r="S1526" s="7"/>
      <c r="T1526" s="7"/>
      <c r="U1526" s="7"/>
      <c r="V1526" s="7"/>
      <c r="W1526" s="7"/>
    </row>
    <row r="1527" spans="1:225" ht="245.25" customHeight="1" x14ac:dyDescent="0.35">
      <c r="A1527" s="257"/>
      <c r="B1527" s="257"/>
      <c r="C1527" s="260"/>
      <c r="D1527" s="263"/>
      <c r="E1527" s="263"/>
      <c r="F1527" s="266"/>
      <c r="G1527" s="120" t="s">
        <v>695</v>
      </c>
      <c r="H1527" s="164" t="s">
        <v>666</v>
      </c>
      <c r="I1527" s="158">
        <f>D1522*K1527</f>
        <v>57298.5</v>
      </c>
      <c r="J1527" s="158">
        <f>I1527/D1522</f>
        <v>153</v>
      </c>
      <c r="K1527" s="158">
        <f>(47+4)*3</f>
        <v>153</v>
      </c>
      <c r="L1527" s="7"/>
      <c r="M1527" s="7"/>
      <c r="N1527" s="7"/>
      <c r="O1527" s="7"/>
      <c r="P1527" s="7"/>
      <c r="Q1527" s="7"/>
      <c r="R1527" s="7"/>
      <c r="S1527" s="7"/>
      <c r="T1527" s="7"/>
      <c r="U1527" s="7"/>
      <c r="V1527" s="7"/>
      <c r="W1527" s="7"/>
    </row>
    <row r="1528" spans="1:225" ht="15.75" customHeight="1" x14ac:dyDescent="0.35">
      <c r="A1528" s="256">
        <f>A1522+1</f>
        <v>3</v>
      </c>
      <c r="B1528" s="256">
        <v>5099</v>
      </c>
      <c r="C1528" s="259" t="s">
        <v>531</v>
      </c>
      <c r="D1528" s="262">
        <v>368.8</v>
      </c>
      <c r="E1528" s="262" t="s">
        <v>71</v>
      </c>
      <c r="F1528" s="265">
        <v>2</v>
      </c>
      <c r="G1528" s="149"/>
      <c r="H1528" s="159" t="s">
        <v>73</v>
      </c>
      <c r="I1528" s="158">
        <f>SUM(I1529:I1533)</f>
        <v>125023.2</v>
      </c>
      <c r="J1528" s="158">
        <f>SUM(J1529:J1533)</f>
        <v>339</v>
      </c>
      <c r="K1528" s="158">
        <f>SUM(K1529:K1533)</f>
        <v>339</v>
      </c>
      <c r="L1528" s="7"/>
      <c r="M1528" s="7"/>
      <c r="N1528" s="7"/>
      <c r="O1528" s="7"/>
      <c r="P1528" s="7"/>
      <c r="Q1528" s="7"/>
      <c r="R1528" s="7"/>
      <c r="S1528" s="7"/>
      <c r="T1528" s="7"/>
      <c r="U1528" s="7"/>
      <c r="V1528" s="7"/>
      <c r="W1528" s="7"/>
    </row>
    <row r="1529" spans="1:225" ht="30.75" customHeight="1" x14ac:dyDescent="0.35">
      <c r="A1529" s="257"/>
      <c r="B1529" s="257"/>
      <c r="C1529" s="260"/>
      <c r="D1529" s="263"/>
      <c r="E1529" s="263"/>
      <c r="F1529" s="266"/>
      <c r="G1529" s="120" t="s">
        <v>77</v>
      </c>
      <c r="H1529" s="159" t="s">
        <v>666</v>
      </c>
      <c r="I1529" s="158">
        <f>K1529*D1528</f>
        <v>43887.199999999997</v>
      </c>
      <c r="J1529" s="158">
        <f>I1529/D1528</f>
        <v>119</v>
      </c>
      <c r="K1529" s="158">
        <f>110+9</f>
        <v>119</v>
      </c>
      <c r="L1529" s="7"/>
      <c r="M1529" s="7"/>
      <c r="N1529" s="7"/>
      <c r="O1529" s="7"/>
      <c r="P1529" s="7"/>
      <c r="Q1529" s="7"/>
      <c r="R1529" s="7"/>
      <c r="S1529" s="7"/>
      <c r="T1529" s="7"/>
      <c r="U1529" s="7"/>
      <c r="V1529" s="7"/>
      <c r="W1529" s="7"/>
    </row>
    <row r="1530" spans="1:225" ht="47.25" customHeight="1" x14ac:dyDescent="0.35">
      <c r="A1530" s="257"/>
      <c r="B1530" s="257"/>
      <c r="C1530" s="260"/>
      <c r="D1530" s="263"/>
      <c r="E1530" s="263"/>
      <c r="F1530" s="266"/>
      <c r="G1530" s="120" t="s">
        <v>723</v>
      </c>
      <c r="H1530" s="159" t="s">
        <v>666</v>
      </c>
      <c r="I1530" s="158">
        <f>K1530*D1528</f>
        <v>8482.4</v>
      </c>
      <c r="J1530" s="158">
        <f>I1530/D1528</f>
        <v>23</v>
      </c>
      <c r="K1530" s="158">
        <f>21+2</f>
        <v>23</v>
      </c>
      <c r="L1530" s="7"/>
      <c r="M1530" s="7"/>
      <c r="N1530" s="7"/>
      <c r="O1530" s="7"/>
      <c r="P1530" s="7"/>
      <c r="Q1530" s="7"/>
      <c r="R1530" s="7"/>
      <c r="S1530" s="7"/>
      <c r="T1530" s="7"/>
      <c r="U1530" s="7"/>
      <c r="V1530" s="7"/>
      <c r="W1530" s="7"/>
    </row>
    <row r="1531" spans="1:225" ht="45.75" customHeight="1" x14ac:dyDescent="0.35">
      <c r="A1531" s="257"/>
      <c r="B1531" s="257"/>
      <c r="C1531" s="260"/>
      <c r="D1531" s="263"/>
      <c r="E1531" s="263"/>
      <c r="F1531" s="266"/>
      <c r="G1531" s="120" t="s">
        <v>79</v>
      </c>
      <c r="H1531" s="159" t="s">
        <v>666</v>
      </c>
      <c r="I1531" s="158">
        <f>K1531*D1528</f>
        <v>8482.4</v>
      </c>
      <c r="J1531" s="158">
        <f>I1531/D1528</f>
        <v>23</v>
      </c>
      <c r="K1531" s="158">
        <f>21+2</f>
        <v>23</v>
      </c>
      <c r="L1531" s="7"/>
      <c r="M1531" s="7"/>
      <c r="N1531" s="7"/>
      <c r="O1531" s="7"/>
      <c r="P1531" s="7"/>
      <c r="Q1531" s="7"/>
      <c r="R1531" s="7"/>
      <c r="S1531" s="7"/>
      <c r="T1531" s="7"/>
      <c r="U1531" s="7"/>
      <c r="V1531" s="7"/>
      <c r="W1531" s="7"/>
    </row>
    <row r="1532" spans="1:225" ht="31" x14ac:dyDescent="0.35">
      <c r="A1532" s="257"/>
      <c r="B1532" s="257"/>
      <c r="C1532" s="260"/>
      <c r="D1532" s="263"/>
      <c r="E1532" s="263"/>
      <c r="F1532" s="266"/>
      <c r="G1532" s="120" t="s">
        <v>90</v>
      </c>
      <c r="H1532" s="159" t="s">
        <v>666</v>
      </c>
      <c r="I1532" s="158">
        <f>K1532*D1528</f>
        <v>7744.8</v>
      </c>
      <c r="J1532" s="158">
        <f>I1532/D1528</f>
        <v>21</v>
      </c>
      <c r="K1532" s="158">
        <f>19+2</f>
        <v>21</v>
      </c>
      <c r="L1532" s="7"/>
      <c r="M1532" s="7"/>
      <c r="N1532" s="7"/>
      <c r="O1532" s="7"/>
      <c r="P1532" s="7"/>
      <c r="Q1532" s="7"/>
      <c r="R1532" s="7"/>
      <c r="S1532" s="7"/>
      <c r="T1532" s="7"/>
      <c r="U1532" s="7"/>
      <c r="V1532" s="7"/>
      <c r="W1532" s="7"/>
    </row>
    <row r="1533" spans="1:225" ht="239.25" customHeight="1" x14ac:dyDescent="0.35">
      <c r="A1533" s="257"/>
      <c r="B1533" s="257"/>
      <c r="C1533" s="260"/>
      <c r="D1533" s="263"/>
      <c r="E1533" s="263"/>
      <c r="F1533" s="266"/>
      <c r="G1533" s="120" t="s">
        <v>695</v>
      </c>
      <c r="H1533" s="159" t="s">
        <v>666</v>
      </c>
      <c r="I1533" s="158">
        <f>K1533*D1528</f>
        <v>56426.400000000001</v>
      </c>
      <c r="J1533" s="158">
        <f>I1533/D1528</f>
        <v>153</v>
      </c>
      <c r="K1533" s="158">
        <f>(47+4)*3</f>
        <v>153</v>
      </c>
      <c r="L1533" s="7"/>
      <c r="M1533" s="7"/>
      <c r="N1533" s="7"/>
      <c r="O1533" s="7"/>
      <c r="P1533" s="7"/>
      <c r="Q1533" s="7"/>
      <c r="R1533" s="7"/>
      <c r="S1533" s="7"/>
      <c r="T1533" s="7"/>
      <c r="U1533" s="7"/>
      <c r="V1533" s="7"/>
      <c r="W1533" s="7"/>
    </row>
    <row r="1534" spans="1:225" ht="15.75" customHeight="1" x14ac:dyDescent="0.35">
      <c r="A1534" s="285">
        <f>A1528+1</f>
        <v>4</v>
      </c>
      <c r="B1534" s="285">
        <v>5100</v>
      </c>
      <c r="C1534" s="295" t="s">
        <v>532</v>
      </c>
      <c r="D1534" s="279">
        <v>2705.3</v>
      </c>
      <c r="E1534" s="279" t="s">
        <v>71</v>
      </c>
      <c r="F1534" s="291">
        <v>5</v>
      </c>
      <c r="G1534" s="285" t="s">
        <v>72</v>
      </c>
      <c r="H1534" s="116" t="s">
        <v>73</v>
      </c>
      <c r="I1534" s="86">
        <f>I1536+I1535</f>
        <v>2888989.87</v>
      </c>
      <c r="J1534" s="86">
        <f>J1536+J1535</f>
        <v>1067.9000000000001</v>
      </c>
      <c r="K1534" s="86">
        <f>K1536+K1535</f>
        <v>3170</v>
      </c>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c r="AK1534" s="33"/>
      <c r="AL1534" s="33"/>
      <c r="AM1534" s="33"/>
      <c r="AN1534" s="33"/>
      <c r="AO1534" s="33"/>
      <c r="AP1534" s="33"/>
      <c r="AQ1534" s="33"/>
      <c r="AR1534" s="33"/>
      <c r="AS1534" s="33"/>
      <c r="AT1534" s="33"/>
      <c r="AU1534" s="33"/>
      <c r="AV1534" s="33"/>
      <c r="AW1534" s="33"/>
      <c r="AX1534" s="33"/>
      <c r="AY1534" s="33"/>
      <c r="AZ1534" s="33"/>
      <c r="BA1534" s="33"/>
      <c r="BB1534" s="33"/>
      <c r="BC1534" s="33"/>
      <c r="BD1534" s="33"/>
      <c r="BE1534" s="33"/>
      <c r="BF1534" s="33"/>
      <c r="BG1534" s="33"/>
      <c r="BH1534" s="33"/>
      <c r="BI1534" s="33"/>
      <c r="BJ1534" s="33"/>
      <c r="BK1534" s="33"/>
      <c r="BL1534" s="33"/>
      <c r="BM1534" s="33"/>
      <c r="BN1534" s="33"/>
      <c r="BO1534" s="33"/>
      <c r="BP1534" s="33"/>
      <c r="BQ1534" s="33"/>
      <c r="BR1534" s="33"/>
      <c r="BS1534" s="33"/>
      <c r="BT1534" s="33"/>
      <c r="BU1534" s="33"/>
      <c r="BV1534" s="33"/>
      <c r="BW1534" s="33"/>
      <c r="BX1534" s="33"/>
      <c r="BY1534" s="33"/>
      <c r="BZ1534" s="33"/>
      <c r="CA1534" s="33"/>
      <c r="CB1534" s="33"/>
      <c r="CC1534" s="33"/>
      <c r="CD1534" s="33"/>
      <c r="CE1534" s="33"/>
      <c r="CF1534" s="33"/>
      <c r="CG1534" s="33"/>
      <c r="CH1534" s="33"/>
      <c r="CI1534" s="33"/>
      <c r="CJ1534" s="33"/>
      <c r="CK1534" s="33"/>
      <c r="CL1534" s="33"/>
      <c r="CM1534" s="33"/>
      <c r="CN1534" s="33"/>
      <c r="CO1534" s="33"/>
      <c r="CP1534" s="33"/>
      <c r="CQ1534" s="33"/>
      <c r="CR1534" s="33"/>
      <c r="CS1534" s="33"/>
      <c r="CT1534" s="33"/>
      <c r="CU1534" s="33"/>
      <c r="CV1534" s="33"/>
      <c r="CW1534" s="33"/>
      <c r="CX1534" s="33"/>
      <c r="CY1534" s="33"/>
      <c r="CZ1534" s="33"/>
      <c r="DA1534" s="33"/>
      <c r="DB1534" s="33"/>
      <c r="DC1534" s="33"/>
      <c r="DD1534" s="33"/>
      <c r="DE1534" s="33"/>
      <c r="DF1534" s="33"/>
      <c r="DG1534" s="33"/>
      <c r="DH1534" s="33"/>
      <c r="DI1534" s="33"/>
      <c r="DJ1534" s="33"/>
      <c r="DK1534" s="33"/>
      <c r="DL1534" s="33"/>
      <c r="DM1534" s="33"/>
      <c r="DN1534" s="33"/>
      <c r="DO1534" s="33"/>
      <c r="DP1534" s="33"/>
      <c r="DQ1534" s="33"/>
      <c r="DR1534" s="33"/>
      <c r="DS1534" s="33"/>
      <c r="DT1534" s="33"/>
      <c r="DU1534" s="33"/>
      <c r="DV1534" s="33"/>
      <c r="DW1534" s="33"/>
      <c r="DX1534" s="33"/>
      <c r="DY1534" s="33"/>
      <c r="DZ1534" s="33"/>
      <c r="EA1534" s="33"/>
      <c r="EB1534" s="33"/>
      <c r="EC1534" s="33"/>
      <c r="ED1534" s="33"/>
      <c r="EE1534" s="33"/>
      <c r="EF1534" s="33"/>
      <c r="EG1534" s="33"/>
      <c r="EH1534" s="33"/>
      <c r="EI1534" s="33"/>
      <c r="EJ1534" s="33"/>
      <c r="EK1534" s="33"/>
      <c r="EL1534" s="33"/>
      <c r="EM1534" s="33"/>
      <c r="EN1534" s="33"/>
      <c r="EO1534" s="33"/>
      <c r="EP1534" s="33"/>
      <c r="EQ1534" s="33"/>
      <c r="ER1534" s="33"/>
      <c r="ES1534" s="33"/>
      <c r="ET1534" s="33"/>
      <c r="EU1534" s="33"/>
      <c r="EV1534" s="33"/>
      <c r="EW1534" s="33"/>
      <c r="EX1534" s="33"/>
      <c r="EY1534" s="33"/>
      <c r="EZ1534" s="33"/>
      <c r="FA1534" s="33"/>
      <c r="FB1534" s="33"/>
      <c r="FC1534" s="33"/>
      <c r="FD1534" s="33"/>
      <c r="FE1534" s="33"/>
      <c r="FF1534" s="33"/>
      <c r="FG1534" s="33"/>
      <c r="FH1534" s="33"/>
      <c r="FI1534" s="33"/>
      <c r="FJ1534" s="33"/>
      <c r="FK1534" s="33"/>
      <c r="FL1534" s="33"/>
      <c r="FM1534" s="33"/>
      <c r="FN1534" s="33"/>
      <c r="FO1534" s="33"/>
      <c r="FP1534" s="33"/>
      <c r="FQ1534" s="33"/>
      <c r="FR1534" s="33"/>
      <c r="FS1534" s="33"/>
      <c r="FT1534" s="33"/>
      <c r="FU1534" s="33"/>
      <c r="FV1534" s="33"/>
      <c r="FW1534" s="33"/>
      <c r="FX1534" s="33"/>
      <c r="FY1534" s="33"/>
      <c r="FZ1534" s="33"/>
      <c r="GA1534" s="33"/>
      <c r="GB1534" s="33"/>
      <c r="GC1534" s="33"/>
      <c r="GD1534" s="33"/>
      <c r="GE1534" s="33"/>
      <c r="GF1534" s="33"/>
      <c r="GG1534" s="33"/>
      <c r="GH1534" s="33"/>
      <c r="GI1534" s="33"/>
      <c r="GJ1534" s="33"/>
      <c r="GK1534" s="33"/>
      <c r="GL1534" s="33"/>
      <c r="GM1534" s="33"/>
      <c r="GN1534" s="33"/>
      <c r="GO1534" s="33"/>
      <c r="GP1534" s="33"/>
      <c r="GQ1534" s="33"/>
      <c r="GR1534" s="33"/>
      <c r="GS1534" s="33"/>
      <c r="GT1534" s="33"/>
      <c r="GU1534" s="33"/>
      <c r="GV1534" s="33"/>
      <c r="GW1534" s="33"/>
      <c r="GX1534" s="33"/>
      <c r="GY1534" s="33"/>
      <c r="GZ1534" s="33"/>
      <c r="HA1534" s="33"/>
      <c r="HB1534" s="33"/>
      <c r="HC1534" s="33"/>
      <c r="HD1534" s="33"/>
      <c r="HE1534" s="33"/>
      <c r="HF1534" s="33"/>
      <c r="HG1534" s="33"/>
      <c r="HH1534" s="33"/>
      <c r="HI1534" s="33"/>
      <c r="HJ1534" s="33"/>
      <c r="HK1534" s="33"/>
      <c r="HL1534" s="33"/>
      <c r="HM1534" s="33"/>
      <c r="HN1534" s="33"/>
      <c r="HO1534" s="33"/>
      <c r="HP1534" s="33"/>
      <c r="HQ1534" s="33"/>
    </row>
    <row r="1535" spans="1:225" ht="46.5" x14ac:dyDescent="0.35">
      <c r="A1535" s="286"/>
      <c r="B1535" s="286"/>
      <c r="C1535" s="296"/>
      <c r="D1535" s="280"/>
      <c r="E1535" s="280"/>
      <c r="F1535" s="292"/>
      <c r="G1535" s="286"/>
      <c r="H1535" s="159" t="s">
        <v>705</v>
      </c>
      <c r="I1535" s="86">
        <f>K1535*D1534</f>
        <v>451785.1</v>
      </c>
      <c r="J1535" s="86">
        <f>I1535/D1534</f>
        <v>167</v>
      </c>
      <c r="K1535" s="86">
        <f>154+13</f>
        <v>167</v>
      </c>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c r="AK1535" s="33"/>
      <c r="AL1535" s="33"/>
      <c r="AM1535" s="33"/>
      <c r="AN1535" s="33"/>
      <c r="AO1535" s="33"/>
      <c r="AP1535" s="33"/>
      <c r="AQ1535" s="33"/>
      <c r="AR1535" s="33"/>
      <c r="AS1535" s="33"/>
      <c r="AT1535" s="33"/>
      <c r="AU1535" s="33"/>
      <c r="AV1535" s="33"/>
      <c r="AW1535" s="33"/>
      <c r="AX1535" s="33"/>
      <c r="AY1535" s="33"/>
      <c r="AZ1535" s="33"/>
      <c r="BA1535" s="33"/>
      <c r="BB1535" s="33"/>
      <c r="BC1535" s="33"/>
      <c r="BD1535" s="33"/>
      <c r="BE1535" s="33"/>
      <c r="BF1535" s="33"/>
      <c r="BG1535" s="33"/>
      <c r="BH1535" s="33"/>
      <c r="BI1535" s="33"/>
      <c r="BJ1535" s="33"/>
      <c r="BK1535" s="33"/>
      <c r="BL1535" s="33"/>
      <c r="BM1535" s="33"/>
      <c r="BN1535" s="33"/>
      <c r="BO1535" s="33"/>
      <c r="BP1535" s="33"/>
      <c r="BQ1535" s="33"/>
      <c r="BR1535" s="33"/>
      <c r="BS1535" s="33"/>
      <c r="BT1535" s="33"/>
      <c r="BU1535" s="33"/>
      <c r="BV1535" s="33"/>
      <c r="BW1535" s="33"/>
      <c r="BX1535" s="33"/>
      <c r="BY1535" s="33"/>
      <c r="BZ1535" s="33"/>
      <c r="CA1535" s="33"/>
      <c r="CB1535" s="33"/>
      <c r="CC1535" s="33"/>
      <c r="CD1535" s="33"/>
      <c r="CE1535" s="33"/>
      <c r="CF1535" s="33"/>
      <c r="CG1535" s="33"/>
      <c r="CH1535" s="33"/>
      <c r="CI1535" s="33"/>
      <c r="CJ1535" s="33"/>
      <c r="CK1535" s="33"/>
      <c r="CL1535" s="33"/>
      <c r="CM1535" s="33"/>
      <c r="CN1535" s="33"/>
      <c r="CO1535" s="33"/>
      <c r="CP1535" s="33"/>
      <c r="CQ1535" s="33"/>
      <c r="CR1535" s="33"/>
      <c r="CS1535" s="33"/>
      <c r="CT1535" s="33"/>
      <c r="CU1535" s="33"/>
      <c r="CV1535" s="33"/>
      <c r="CW1535" s="33"/>
      <c r="CX1535" s="33"/>
      <c r="CY1535" s="33"/>
      <c r="CZ1535" s="33"/>
      <c r="DA1535" s="33"/>
      <c r="DB1535" s="33"/>
      <c r="DC1535" s="33"/>
      <c r="DD1535" s="33"/>
      <c r="DE1535" s="33"/>
      <c r="DF1535" s="33"/>
      <c r="DG1535" s="33"/>
      <c r="DH1535" s="33"/>
      <c r="DI1535" s="33"/>
      <c r="DJ1535" s="33"/>
      <c r="DK1535" s="33"/>
      <c r="DL1535" s="33"/>
      <c r="DM1535" s="33"/>
      <c r="DN1535" s="33"/>
      <c r="DO1535" s="33"/>
      <c r="DP1535" s="33"/>
      <c r="DQ1535" s="33"/>
      <c r="DR1535" s="33"/>
      <c r="DS1535" s="33"/>
      <c r="DT1535" s="33"/>
      <c r="DU1535" s="33"/>
      <c r="DV1535" s="33"/>
      <c r="DW1535" s="33"/>
      <c r="DX1535" s="33"/>
      <c r="DY1535" s="33"/>
      <c r="DZ1535" s="33"/>
      <c r="EA1535" s="33"/>
      <c r="EB1535" s="33"/>
      <c r="EC1535" s="33"/>
      <c r="ED1535" s="33"/>
      <c r="EE1535" s="33"/>
      <c r="EF1535" s="33"/>
      <c r="EG1535" s="33"/>
      <c r="EH1535" s="33"/>
      <c r="EI1535" s="33"/>
      <c r="EJ1535" s="33"/>
      <c r="EK1535" s="33"/>
      <c r="EL1535" s="33"/>
      <c r="EM1535" s="33"/>
      <c r="EN1535" s="33"/>
      <c r="EO1535" s="33"/>
      <c r="EP1535" s="33"/>
      <c r="EQ1535" s="33"/>
      <c r="ER1535" s="33"/>
      <c r="ES1535" s="33"/>
      <c r="ET1535" s="33"/>
      <c r="EU1535" s="33"/>
      <c r="EV1535" s="33"/>
      <c r="EW1535" s="33"/>
      <c r="EX1535" s="33"/>
      <c r="EY1535" s="33"/>
      <c r="EZ1535" s="33"/>
      <c r="FA1535" s="33"/>
      <c r="FB1535" s="33"/>
      <c r="FC1535" s="33"/>
      <c r="FD1535" s="33"/>
      <c r="FE1535" s="33"/>
      <c r="FF1535" s="33"/>
      <c r="FG1535" s="33"/>
      <c r="FH1535" s="33"/>
      <c r="FI1535" s="33"/>
      <c r="FJ1535" s="33"/>
      <c r="FK1535" s="33"/>
      <c r="FL1535" s="33"/>
      <c r="FM1535" s="33"/>
      <c r="FN1535" s="33"/>
      <c r="FO1535" s="33"/>
      <c r="FP1535" s="33"/>
      <c r="FQ1535" s="33"/>
      <c r="FR1535" s="33"/>
      <c r="FS1535" s="33"/>
      <c r="FT1535" s="33"/>
      <c r="FU1535" s="33"/>
      <c r="FV1535" s="33"/>
      <c r="FW1535" s="33"/>
      <c r="FX1535" s="33"/>
      <c r="FY1535" s="33"/>
      <c r="FZ1535" s="33"/>
      <c r="GA1535" s="33"/>
      <c r="GB1535" s="33"/>
      <c r="GC1535" s="33"/>
      <c r="GD1535" s="33"/>
      <c r="GE1535" s="33"/>
      <c r="GF1535" s="33"/>
      <c r="GG1535" s="33"/>
      <c r="GH1535" s="33"/>
      <c r="GI1535" s="33"/>
      <c r="GJ1535" s="33"/>
      <c r="GK1535" s="33"/>
      <c r="GL1535" s="33"/>
      <c r="GM1535" s="33"/>
      <c r="GN1535" s="33"/>
      <c r="GO1535" s="33"/>
      <c r="GP1535" s="33"/>
      <c r="GQ1535" s="33"/>
      <c r="GR1535" s="33"/>
      <c r="GS1535" s="33"/>
      <c r="GT1535" s="33"/>
      <c r="GU1535" s="33"/>
      <c r="GV1535" s="33"/>
      <c r="GW1535" s="33"/>
      <c r="GX1535" s="33"/>
      <c r="GY1535" s="33"/>
      <c r="GZ1535" s="33"/>
      <c r="HA1535" s="33"/>
      <c r="HB1535" s="33"/>
      <c r="HC1535" s="33"/>
      <c r="HD1535" s="33"/>
      <c r="HE1535" s="33"/>
      <c r="HF1535" s="33"/>
      <c r="HG1535" s="33"/>
      <c r="HH1535" s="33"/>
      <c r="HI1535" s="33"/>
      <c r="HJ1535" s="33"/>
      <c r="HK1535" s="33"/>
      <c r="HL1535" s="33"/>
      <c r="HM1535" s="33"/>
      <c r="HN1535" s="33"/>
      <c r="HO1535" s="33"/>
      <c r="HP1535" s="33"/>
      <c r="HQ1535" s="33"/>
    </row>
    <row r="1536" spans="1:225" x14ac:dyDescent="0.35">
      <c r="A1536" s="287"/>
      <c r="B1536" s="287"/>
      <c r="C1536" s="297"/>
      <c r="D1536" s="281"/>
      <c r="E1536" s="281"/>
      <c r="F1536" s="294"/>
      <c r="G1536" s="287"/>
      <c r="H1536" s="116" t="s">
        <v>74</v>
      </c>
      <c r="I1536" s="86">
        <f>D1534*K1536*30/100</f>
        <v>2437204.77</v>
      </c>
      <c r="J1536" s="86">
        <f>I1536/D1534</f>
        <v>900.9</v>
      </c>
      <c r="K1536" s="86">
        <v>3003</v>
      </c>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c r="AK1536" s="33"/>
      <c r="AL1536" s="33"/>
      <c r="AM1536" s="33"/>
      <c r="AN1536" s="33"/>
      <c r="AO1536" s="33"/>
      <c r="AP1536" s="33"/>
      <c r="AQ1536" s="33"/>
      <c r="AR1536" s="33"/>
      <c r="AS1536" s="33"/>
      <c r="AT1536" s="33"/>
      <c r="AU1536" s="33"/>
      <c r="AV1536" s="33"/>
      <c r="AW1536" s="33"/>
      <c r="AX1536" s="33"/>
      <c r="AY1536" s="33"/>
      <c r="AZ1536" s="33"/>
      <c r="BA1536" s="33"/>
      <c r="BB1536" s="33"/>
      <c r="BC1536" s="33"/>
      <c r="BD1536" s="33"/>
      <c r="BE1536" s="33"/>
      <c r="BF1536" s="33"/>
      <c r="BG1536" s="33"/>
      <c r="BH1536" s="33"/>
      <c r="BI1536" s="33"/>
      <c r="BJ1536" s="33"/>
      <c r="BK1536" s="33"/>
      <c r="BL1536" s="33"/>
      <c r="BM1536" s="33"/>
      <c r="BN1536" s="33"/>
      <c r="BO1536" s="33"/>
      <c r="BP1536" s="33"/>
      <c r="BQ1536" s="33"/>
      <c r="BR1536" s="33"/>
      <c r="BS1536" s="33"/>
      <c r="BT1536" s="33"/>
      <c r="BU1536" s="33"/>
      <c r="BV1536" s="33"/>
      <c r="BW1536" s="33"/>
      <c r="BX1536" s="33"/>
      <c r="BY1536" s="33"/>
      <c r="BZ1536" s="33"/>
      <c r="CA1536" s="33"/>
      <c r="CB1536" s="33"/>
      <c r="CC1536" s="33"/>
      <c r="CD1536" s="33"/>
      <c r="CE1536" s="33"/>
      <c r="CF1536" s="33"/>
      <c r="CG1536" s="33"/>
      <c r="CH1536" s="33"/>
      <c r="CI1536" s="33"/>
      <c r="CJ1536" s="33"/>
      <c r="CK1536" s="33"/>
      <c r="CL1536" s="33"/>
      <c r="CM1536" s="33"/>
      <c r="CN1536" s="33"/>
      <c r="CO1536" s="33"/>
      <c r="CP1536" s="33"/>
      <c r="CQ1536" s="33"/>
      <c r="CR1536" s="33"/>
      <c r="CS1536" s="33"/>
      <c r="CT1536" s="33"/>
      <c r="CU1536" s="33"/>
      <c r="CV1536" s="33"/>
      <c r="CW1536" s="33"/>
      <c r="CX1536" s="33"/>
      <c r="CY1536" s="33"/>
      <c r="CZ1536" s="33"/>
      <c r="DA1536" s="33"/>
      <c r="DB1536" s="33"/>
      <c r="DC1536" s="33"/>
      <c r="DD1536" s="33"/>
      <c r="DE1536" s="33"/>
      <c r="DF1536" s="33"/>
      <c r="DG1536" s="33"/>
      <c r="DH1536" s="33"/>
      <c r="DI1536" s="33"/>
      <c r="DJ1536" s="33"/>
      <c r="DK1536" s="33"/>
      <c r="DL1536" s="33"/>
      <c r="DM1536" s="33"/>
      <c r="DN1536" s="33"/>
      <c r="DO1536" s="33"/>
      <c r="DP1536" s="33"/>
      <c r="DQ1536" s="33"/>
      <c r="DR1536" s="33"/>
      <c r="DS1536" s="33"/>
      <c r="DT1536" s="33"/>
      <c r="DU1536" s="33"/>
      <c r="DV1536" s="33"/>
      <c r="DW1536" s="33"/>
      <c r="DX1536" s="33"/>
      <c r="DY1536" s="33"/>
      <c r="DZ1536" s="33"/>
      <c r="EA1536" s="33"/>
      <c r="EB1536" s="33"/>
      <c r="EC1536" s="33"/>
      <c r="ED1536" s="33"/>
      <c r="EE1536" s="33"/>
      <c r="EF1536" s="33"/>
      <c r="EG1536" s="33"/>
      <c r="EH1536" s="33"/>
      <c r="EI1536" s="33"/>
      <c r="EJ1536" s="33"/>
      <c r="EK1536" s="33"/>
      <c r="EL1536" s="33"/>
      <c r="EM1536" s="33"/>
      <c r="EN1536" s="33"/>
      <c r="EO1536" s="33"/>
      <c r="EP1536" s="33"/>
      <c r="EQ1536" s="33"/>
      <c r="ER1536" s="33"/>
      <c r="ES1536" s="33"/>
      <c r="ET1536" s="33"/>
      <c r="EU1536" s="33"/>
      <c r="EV1536" s="33"/>
      <c r="EW1536" s="33"/>
      <c r="EX1536" s="33"/>
      <c r="EY1536" s="33"/>
      <c r="EZ1536" s="33"/>
      <c r="FA1536" s="33"/>
      <c r="FB1536" s="33"/>
      <c r="FC1536" s="33"/>
      <c r="FD1536" s="33"/>
      <c r="FE1536" s="33"/>
      <c r="FF1536" s="33"/>
      <c r="FG1536" s="33"/>
      <c r="FH1536" s="33"/>
      <c r="FI1536" s="33"/>
      <c r="FJ1536" s="33"/>
      <c r="FK1536" s="33"/>
      <c r="FL1536" s="33"/>
      <c r="FM1536" s="33"/>
      <c r="FN1536" s="33"/>
      <c r="FO1536" s="33"/>
      <c r="FP1536" s="33"/>
      <c r="FQ1536" s="33"/>
      <c r="FR1536" s="33"/>
      <c r="FS1536" s="33"/>
      <c r="FT1536" s="33"/>
      <c r="FU1536" s="33"/>
      <c r="FV1536" s="33"/>
      <c r="FW1536" s="33"/>
      <c r="FX1536" s="33"/>
      <c r="FY1536" s="33"/>
      <c r="FZ1536" s="33"/>
      <c r="GA1536" s="33"/>
      <c r="GB1536" s="33"/>
      <c r="GC1536" s="33"/>
      <c r="GD1536" s="33"/>
      <c r="GE1536" s="33"/>
      <c r="GF1536" s="33"/>
      <c r="GG1536" s="33"/>
      <c r="GH1536" s="33"/>
      <c r="GI1536" s="33"/>
      <c r="GJ1536" s="33"/>
      <c r="GK1536" s="33"/>
      <c r="GL1536" s="33"/>
      <c r="GM1536" s="33"/>
      <c r="GN1536" s="33"/>
      <c r="GO1536" s="33"/>
      <c r="GP1536" s="33"/>
      <c r="GQ1536" s="33"/>
      <c r="GR1536" s="33"/>
      <c r="GS1536" s="33"/>
      <c r="GT1536" s="33"/>
      <c r="GU1536" s="33"/>
      <c r="GV1536" s="33"/>
      <c r="GW1536" s="33"/>
      <c r="GX1536" s="33"/>
      <c r="GY1536" s="33"/>
      <c r="GZ1536" s="33"/>
      <c r="HA1536" s="33"/>
      <c r="HB1536" s="33"/>
      <c r="HC1536" s="33"/>
      <c r="HD1536" s="33"/>
      <c r="HE1536" s="33"/>
      <c r="HF1536" s="33"/>
      <c r="HG1536" s="33"/>
      <c r="HH1536" s="33"/>
      <c r="HI1536" s="33"/>
      <c r="HJ1536" s="33"/>
      <c r="HK1536" s="33"/>
      <c r="HL1536" s="33"/>
      <c r="HM1536" s="33"/>
      <c r="HN1536" s="33"/>
      <c r="HO1536" s="33"/>
      <c r="HP1536" s="33"/>
      <c r="HQ1536" s="33"/>
    </row>
    <row r="1537" spans="1:225" ht="15.75" customHeight="1" x14ac:dyDescent="0.35">
      <c r="A1537" s="285">
        <f>A1534+1</f>
        <v>5</v>
      </c>
      <c r="B1537" s="285">
        <v>5102</v>
      </c>
      <c r="C1537" s="316" t="s">
        <v>533</v>
      </c>
      <c r="D1537" s="279">
        <v>3535.3</v>
      </c>
      <c r="E1537" s="279" t="s">
        <v>71</v>
      </c>
      <c r="F1537" s="291">
        <v>5</v>
      </c>
      <c r="G1537" s="15"/>
      <c r="H1537" s="116" t="s">
        <v>73</v>
      </c>
      <c r="I1537" s="86">
        <f>I1539+I1541+I1543+I1545+I1538+I1540+I1542+I1544</f>
        <v>4478164.51</v>
      </c>
      <c r="J1537" s="86">
        <f>J1539+J1541+J1543+J1545+J1538+J1540+J1542+J1544</f>
        <v>1266.7</v>
      </c>
      <c r="K1537" s="86">
        <f>K1539+K1541+K1543+K1545+K1538+K1540+K1542+K1544</f>
        <v>3849</v>
      </c>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c r="AK1537" s="33"/>
      <c r="AL1537" s="33"/>
      <c r="AM1537" s="33"/>
      <c r="AN1537" s="33"/>
      <c r="AO1537" s="33"/>
      <c r="AP1537" s="33"/>
      <c r="AQ1537" s="33"/>
      <c r="AR1537" s="33"/>
      <c r="AS1537" s="33"/>
      <c r="AT1537" s="33"/>
      <c r="AU1537" s="33"/>
      <c r="AV1537" s="33"/>
      <c r="AW1537" s="33"/>
      <c r="AX1537" s="33"/>
      <c r="AY1537" s="33"/>
      <c r="AZ1537" s="33"/>
      <c r="BA1537" s="33"/>
      <c r="BB1537" s="33"/>
      <c r="BC1537" s="33"/>
      <c r="BD1537" s="33"/>
      <c r="BE1537" s="33"/>
      <c r="BF1537" s="33"/>
      <c r="BG1537" s="33"/>
      <c r="BH1537" s="33"/>
      <c r="BI1537" s="33"/>
      <c r="BJ1537" s="33"/>
      <c r="BK1537" s="33"/>
      <c r="BL1537" s="33"/>
      <c r="BM1537" s="33"/>
      <c r="BN1537" s="33"/>
      <c r="BO1537" s="33"/>
      <c r="BP1537" s="33"/>
      <c r="BQ1537" s="33"/>
      <c r="BR1537" s="33"/>
      <c r="BS1537" s="33"/>
      <c r="BT1537" s="33"/>
      <c r="BU1537" s="33"/>
      <c r="BV1537" s="33"/>
      <c r="BW1537" s="33"/>
      <c r="BX1537" s="33"/>
      <c r="BY1537" s="33"/>
      <c r="BZ1537" s="33"/>
      <c r="CA1537" s="33"/>
      <c r="CB1537" s="33"/>
      <c r="CC1537" s="33"/>
      <c r="CD1537" s="33"/>
      <c r="CE1537" s="33"/>
      <c r="CF1537" s="33"/>
      <c r="CG1537" s="33"/>
      <c r="CH1537" s="33"/>
      <c r="CI1537" s="33"/>
      <c r="CJ1537" s="33"/>
      <c r="CK1537" s="33"/>
      <c r="CL1537" s="33"/>
      <c r="CM1537" s="33"/>
      <c r="CN1537" s="33"/>
      <c r="CO1537" s="33"/>
      <c r="CP1537" s="33"/>
      <c r="CQ1537" s="33"/>
      <c r="CR1537" s="33"/>
      <c r="CS1537" s="33"/>
      <c r="CT1537" s="33"/>
      <c r="CU1537" s="33"/>
      <c r="CV1537" s="33"/>
      <c r="CW1537" s="33"/>
      <c r="CX1537" s="33"/>
      <c r="CY1537" s="33"/>
      <c r="CZ1537" s="33"/>
      <c r="DA1537" s="33"/>
      <c r="DB1537" s="33"/>
      <c r="DC1537" s="33"/>
      <c r="DD1537" s="33"/>
      <c r="DE1537" s="33"/>
      <c r="DF1537" s="33"/>
      <c r="DG1537" s="33"/>
      <c r="DH1537" s="33"/>
      <c r="DI1537" s="33"/>
      <c r="DJ1537" s="33"/>
      <c r="DK1537" s="33"/>
      <c r="DL1537" s="33"/>
      <c r="DM1537" s="33"/>
      <c r="DN1537" s="33"/>
      <c r="DO1537" s="33"/>
      <c r="DP1537" s="33"/>
      <c r="DQ1537" s="33"/>
      <c r="DR1537" s="33"/>
      <c r="DS1537" s="33"/>
      <c r="DT1537" s="33"/>
      <c r="DU1537" s="33"/>
      <c r="DV1537" s="33"/>
      <c r="DW1537" s="33"/>
      <c r="DX1537" s="33"/>
      <c r="DY1537" s="33"/>
      <c r="DZ1537" s="33"/>
      <c r="EA1537" s="33"/>
      <c r="EB1537" s="33"/>
      <c r="EC1537" s="33"/>
      <c r="ED1537" s="33"/>
      <c r="EE1537" s="33"/>
      <c r="EF1537" s="33"/>
      <c r="EG1537" s="33"/>
      <c r="EH1537" s="33"/>
      <c r="EI1537" s="33"/>
      <c r="EJ1537" s="33"/>
      <c r="EK1537" s="33"/>
      <c r="EL1537" s="33"/>
      <c r="EM1537" s="33"/>
      <c r="EN1537" s="33"/>
      <c r="EO1537" s="33"/>
      <c r="EP1537" s="33"/>
      <c r="EQ1537" s="33"/>
      <c r="ER1537" s="33"/>
      <c r="ES1537" s="33"/>
      <c r="ET1537" s="33"/>
      <c r="EU1537" s="33"/>
      <c r="EV1537" s="33"/>
      <c r="EW1537" s="33"/>
      <c r="EX1537" s="33"/>
      <c r="EY1537" s="33"/>
      <c r="EZ1537" s="33"/>
      <c r="FA1537" s="33"/>
      <c r="FB1537" s="33"/>
      <c r="FC1537" s="33"/>
      <c r="FD1537" s="33"/>
      <c r="FE1537" s="33"/>
      <c r="FF1537" s="33"/>
      <c r="FG1537" s="33"/>
      <c r="FH1537" s="33"/>
      <c r="FI1537" s="33"/>
      <c r="FJ1537" s="33"/>
      <c r="FK1537" s="33"/>
      <c r="FL1537" s="33"/>
      <c r="FM1537" s="33"/>
      <c r="FN1537" s="33"/>
      <c r="FO1537" s="33"/>
      <c r="FP1537" s="33"/>
      <c r="FQ1537" s="33"/>
      <c r="FR1537" s="33"/>
      <c r="FS1537" s="33"/>
      <c r="FT1537" s="33"/>
      <c r="FU1537" s="33"/>
      <c r="FV1537" s="33"/>
      <c r="FW1537" s="33"/>
      <c r="FX1537" s="33"/>
      <c r="FY1537" s="33"/>
      <c r="FZ1537" s="33"/>
      <c r="GA1537" s="33"/>
      <c r="GB1537" s="33"/>
      <c r="GC1537" s="33"/>
      <c r="GD1537" s="33"/>
      <c r="GE1537" s="33"/>
      <c r="GF1537" s="33"/>
      <c r="GG1537" s="33"/>
      <c r="GH1537" s="33"/>
      <c r="GI1537" s="33"/>
      <c r="GJ1537" s="33"/>
      <c r="GK1537" s="33"/>
      <c r="GL1537" s="33"/>
      <c r="GM1537" s="33"/>
      <c r="GN1537" s="33"/>
      <c r="GO1537" s="33"/>
      <c r="GP1537" s="33"/>
      <c r="GQ1537" s="33"/>
      <c r="GR1537" s="33"/>
      <c r="GS1537" s="33"/>
      <c r="GT1537" s="33"/>
      <c r="GU1537" s="33"/>
      <c r="GV1537" s="33"/>
      <c r="GW1537" s="33"/>
      <c r="GX1537" s="33"/>
      <c r="GY1537" s="33"/>
      <c r="GZ1537" s="33"/>
      <c r="HA1537" s="33"/>
      <c r="HB1537" s="33"/>
      <c r="HC1537" s="33"/>
      <c r="HD1537" s="33"/>
      <c r="HE1537" s="33"/>
      <c r="HF1537" s="33"/>
      <c r="HG1537" s="33"/>
      <c r="HH1537" s="33"/>
      <c r="HI1537" s="33"/>
      <c r="HJ1537" s="33"/>
      <c r="HK1537" s="33"/>
      <c r="HL1537" s="33"/>
      <c r="HM1537" s="33"/>
      <c r="HN1537" s="33"/>
      <c r="HO1537" s="33"/>
      <c r="HP1537" s="33"/>
      <c r="HQ1537" s="33"/>
    </row>
    <row r="1538" spans="1:225" ht="31" x14ac:dyDescent="0.35">
      <c r="A1538" s="286"/>
      <c r="B1538" s="286"/>
      <c r="C1538" s="317"/>
      <c r="D1538" s="280"/>
      <c r="E1538" s="280"/>
      <c r="F1538" s="292"/>
      <c r="G1538" s="286" t="s">
        <v>77</v>
      </c>
      <c r="H1538" s="116" t="s">
        <v>666</v>
      </c>
      <c r="I1538" s="86">
        <f>K1538*D1537</f>
        <v>328782.90000000002</v>
      </c>
      <c r="J1538" s="86">
        <f>I1538/D1537</f>
        <v>93</v>
      </c>
      <c r="K1538" s="86">
        <f>86+7</f>
        <v>93</v>
      </c>
      <c r="L1538" s="33"/>
      <c r="M1538" s="33"/>
      <c r="N1538" s="33"/>
      <c r="O1538" s="33"/>
      <c r="P1538" s="33"/>
      <c r="Q1538" s="33"/>
      <c r="R1538" s="33"/>
      <c r="S1538" s="33"/>
      <c r="T1538" s="33"/>
      <c r="U1538" s="33"/>
      <c r="V1538" s="33"/>
      <c r="W1538" s="33"/>
      <c r="X1538" s="33"/>
      <c r="Y1538" s="33"/>
      <c r="Z1538" s="33"/>
      <c r="AA1538" s="33"/>
      <c r="AB1538" s="33"/>
      <c r="AC1538" s="33"/>
      <c r="AD1538" s="33"/>
      <c r="AE1538" s="33"/>
      <c r="AF1538" s="33"/>
      <c r="AG1538" s="33"/>
      <c r="AH1538" s="33"/>
      <c r="AI1538" s="33"/>
      <c r="AJ1538" s="33"/>
      <c r="AK1538" s="33"/>
      <c r="AL1538" s="33"/>
      <c r="AM1538" s="33"/>
      <c r="AN1538" s="33"/>
      <c r="AO1538" s="33"/>
      <c r="AP1538" s="33"/>
      <c r="AQ1538" s="33"/>
      <c r="AR1538" s="33"/>
      <c r="AS1538" s="33"/>
      <c r="AT1538" s="33"/>
      <c r="AU1538" s="33"/>
      <c r="AV1538" s="33"/>
      <c r="AW1538" s="33"/>
      <c r="AX1538" s="33"/>
      <c r="AY1538" s="33"/>
      <c r="AZ1538" s="33"/>
      <c r="BA1538" s="33"/>
      <c r="BB1538" s="33"/>
      <c r="BC1538" s="33"/>
      <c r="BD1538" s="33"/>
      <c r="BE1538" s="33"/>
      <c r="BF1538" s="33"/>
      <c r="BG1538" s="33"/>
      <c r="BH1538" s="33"/>
      <c r="BI1538" s="33"/>
      <c r="BJ1538" s="33"/>
      <c r="BK1538" s="33"/>
      <c r="BL1538" s="33"/>
      <c r="BM1538" s="33"/>
      <c r="BN1538" s="33"/>
      <c r="BO1538" s="33"/>
      <c r="BP1538" s="33"/>
      <c r="BQ1538" s="33"/>
      <c r="BR1538" s="33"/>
      <c r="BS1538" s="33"/>
      <c r="BT1538" s="33"/>
      <c r="BU1538" s="33"/>
      <c r="BV1538" s="33"/>
      <c r="BW1538" s="33"/>
      <c r="BX1538" s="33"/>
      <c r="BY1538" s="33"/>
      <c r="BZ1538" s="33"/>
      <c r="CA1538" s="33"/>
      <c r="CB1538" s="33"/>
      <c r="CC1538" s="33"/>
      <c r="CD1538" s="33"/>
      <c r="CE1538" s="33"/>
      <c r="CF1538" s="33"/>
      <c r="CG1538" s="33"/>
      <c r="CH1538" s="33"/>
      <c r="CI1538" s="33"/>
      <c r="CJ1538" s="33"/>
      <c r="CK1538" s="33"/>
      <c r="CL1538" s="33"/>
      <c r="CM1538" s="33"/>
      <c r="CN1538" s="33"/>
      <c r="CO1538" s="33"/>
      <c r="CP1538" s="33"/>
      <c r="CQ1538" s="33"/>
      <c r="CR1538" s="33"/>
      <c r="CS1538" s="33"/>
      <c r="CT1538" s="33"/>
      <c r="CU1538" s="33"/>
      <c r="CV1538" s="33"/>
      <c r="CW1538" s="33"/>
      <c r="CX1538" s="33"/>
      <c r="CY1538" s="33"/>
      <c r="CZ1538" s="33"/>
      <c r="DA1538" s="33"/>
      <c r="DB1538" s="33"/>
      <c r="DC1538" s="33"/>
      <c r="DD1538" s="33"/>
      <c r="DE1538" s="33"/>
      <c r="DF1538" s="33"/>
      <c r="DG1538" s="33"/>
      <c r="DH1538" s="33"/>
      <c r="DI1538" s="33"/>
      <c r="DJ1538" s="33"/>
      <c r="DK1538" s="33"/>
      <c r="DL1538" s="33"/>
      <c r="DM1538" s="33"/>
      <c r="DN1538" s="33"/>
      <c r="DO1538" s="33"/>
      <c r="DP1538" s="33"/>
      <c r="DQ1538" s="33"/>
      <c r="DR1538" s="33"/>
      <c r="DS1538" s="33"/>
      <c r="DT1538" s="33"/>
      <c r="DU1538" s="33"/>
      <c r="DV1538" s="33"/>
      <c r="DW1538" s="33"/>
      <c r="DX1538" s="33"/>
      <c r="DY1538" s="33"/>
      <c r="DZ1538" s="33"/>
      <c r="EA1538" s="33"/>
      <c r="EB1538" s="33"/>
      <c r="EC1538" s="33"/>
      <c r="ED1538" s="33"/>
      <c r="EE1538" s="33"/>
      <c r="EF1538" s="33"/>
      <c r="EG1538" s="33"/>
      <c r="EH1538" s="33"/>
      <c r="EI1538" s="33"/>
      <c r="EJ1538" s="33"/>
      <c r="EK1538" s="33"/>
      <c r="EL1538" s="33"/>
      <c r="EM1538" s="33"/>
      <c r="EN1538" s="33"/>
      <c r="EO1538" s="33"/>
      <c r="EP1538" s="33"/>
      <c r="EQ1538" s="33"/>
      <c r="ER1538" s="33"/>
      <c r="ES1538" s="33"/>
      <c r="ET1538" s="33"/>
      <c r="EU1538" s="33"/>
      <c r="EV1538" s="33"/>
      <c r="EW1538" s="33"/>
      <c r="EX1538" s="33"/>
      <c r="EY1538" s="33"/>
      <c r="EZ1538" s="33"/>
      <c r="FA1538" s="33"/>
      <c r="FB1538" s="33"/>
      <c r="FC1538" s="33"/>
      <c r="FD1538" s="33"/>
      <c r="FE1538" s="33"/>
      <c r="FF1538" s="33"/>
      <c r="FG1538" s="33"/>
      <c r="FH1538" s="33"/>
      <c r="FI1538" s="33"/>
      <c r="FJ1538" s="33"/>
      <c r="FK1538" s="33"/>
      <c r="FL1538" s="33"/>
      <c r="FM1538" s="33"/>
      <c r="FN1538" s="33"/>
      <c r="FO1538" s="33"/>
      <c r="FP1538" s="33"/>
      <c r="FQ1538" s="33"/>
      <c r="FR1538" s="33"/>
      <c r="FS1538" s="33"/>
      <c r="FT1538" s="33"/>
      <c r="FU1538" s="33"/>
      <c r="FV1538" s="33"/>
      <c r="FW1538" s="33"/>
      <c r="FX1538" s="33"/>
      <c r="FY1538" s="33"/>
      <c r="FZ1538" s="33"/>
      <c r="GA1538" s="33"/>
      <c r="GB1538" s="33"/>
      <c r="GC1538" s="33"/>
      <c r="GD1538" s="33"/>
      <c r="GE1538" s="33"/>
      <c r="GF1538" s="33"/>
      <c r="GG1538" s="33"/>
      <c r="GH1538" s="33"/>
      <c r="GI1538" s="33"/>
      <c r="GJ1538" s="33"/>
      <c r="GK1538" s="33"/>
      <c r="GL1538" s="33"/>
      <c r="GM1538" s="33"/>
      <c r="GN1538" s="33"/>
      <c r="GO1538" s="33"/>
      <c r="GP1538" s="33"/>
      <c r="GQ1538" s="33"/>
      <c r="GR1538" s="33"/>
      <c r="GS1538" s="33"/>
      <c r="GT1538" s="33"/>
      <c r="GU1538" s="33"/>
      <c r="GV1538" s="33"/>
      <c r="GW1538" s="33"/>
      <c r="GX1538" s="33"/>
      <c r="GY1538" s="33"/>
      <c r="GZ1538" s="33"/>
      <c r="HA1538" s="33"/>
      <c r="HB1538" s="33"/>
      <c r="HC1538" s="33"/>
      <c r="HD1538" s="33"/>
      <c r="HE1538" s="33"/>
      <c r="HF1538" s="33"/>
      <c r="HG1538" s="33"/>
      <c r="HH1538" s="33"/>
      <c r="HI1538" s="33"/>
      <c r="HJ1538" s="33"/>
      <c r="HK1538" s="33"/>
      <c r="HL1538" s="33"/>
      <c r="HM1538" s="33"/>
      <c r="HN1538" s="33"/>
      <c r="HO1538" s="33"/>
      <c r="HP1538" s="33"/>
      <c r="HQ1538" s="33"/>
    </row>
    <row r="1539" spans="1:225" x14ac:dyDescent="0.35">
      <c r="A1539" s="286"/>
      <c r="B1539" s="286"/>
      <c r="C1539" s="317"/>
      <c r="D1539" s="280"/>
      <c r="E1539" s="280"/>
      <c r="F1539" s="292"/>
      <c r="G1539" s="287"/>
      <c r="H1539" s="116" t="s">
        <v>74</v>
      </c>
      <c r="I1539" s="86">
        <f>D1537*K1539*30/100</f>
        <v>2282389.6800000002</v>
      </c>
      <c r="J1539" s="86">
        <f>I1539/D1537</f>
        <v>645.6</v>
      </c>
      <c r="K1539" s="86">
        <v>2152</v>
      </c>
      <c r="L1539" s="33"/>
      <c r="M1539" s="33"/>
      <c r="N1539" s="33"/>
      <c r="O1539" s="33"/>
      <c r="P1539" s="33"/>
      <c r="Q1539" s="33"/>
      <c r="R1539" s="33"/>
      <c r="S1539" s="33"/>
      <c r="T1539" s="33"/>
      <c r="U1539" s="33"/>
      <c r="V1539" s="33"/>
      <c r="W1539" s="33"/>
      <c r="X1539" s="33"/>
      <c r="Y1539" s="33"/>
      <c r="Z1539" s="33"/>
      <c r="AA1539" s="33"/>
      <c r="AB1539" s="33"/>
      <c r="AC1539" s="33"/>
      <c r="AD1539" s="33"/>
      <c r="AE1539" s="33"/>
      <c r="AF1539" s="33"/>
      <c r="AG1539" s="33"/>
      <c r="AH1539" s="33"/>
      <c r="AI1539" s="33"/>
      <c r="AJ1539" s="33"/>
      <c r="AK1539" s="33"/>
      <c r="AL1539" s="33"/>
      <c r="AM1539" s="33"/>
      <c r="AN1539" s="33"/>
      <c r="AO1539" s="33"/>
      <c r="AP1539" s="33"/>
      <c r="AQ1539" s="33"/>
      <c r="AR1539" s="33"/>
      <c r="AS1539" s="33"/>
      <c r="AT1539" s="33"/>
      <c r="AU1539" s="33"/>
      <c r="AV1539" s="33"/>
      <c r="AW1539" s="33"/>
      <c r="AX1539" s="33"/>
      <c r="AY1539" s="33"/>
      <c r="AZ1539" s="33"/>
      <c r="BA1539" s="33"/>
      <c r="BB1539" s="33"/>
      <c r="BC1539" s="33"/>
      <c r="BD1539" s="33"/>
      <c r="BE1539" s="33"/>
      <c r="BF1539" s="33"/>
      <c r="BG1539" s="33"/>
      <c r="BH1539" s="33"/>
      <c r="BI1539" s="33"/>
      <c r="BJ1539" s="33"/>
      <c r="BK1539" s="33"/>
      <c r="BL1539" s="33"/>
      <c r="BM1539" s="33"/>
      <c r="BN1539" s="33"/>
      <c r="BO1539" s="33"/>
      <c r="BP1539" s="33"/>
      <c r="BQ1539" s="33"/>
      <c r="BR1539" s="33"/>
      <c r="BS1539" s="33"/>
      <c r="BT1539" s="33"/>
      <c r="BU1539" s="33"/>
      <c r="BV1539" s="33"/>
      <c r="BW1539" s="33"/>
      <c r="BX1539" s="33"/>
      <c r="BY1539" s="33"/>
      <c r="BZ1539" s="33"/>
      <c r="CA1539" s="33"/>
      <c r="CB1539" s="33"/>
      <c r="CC1539" s="33"/>
      <c r="CD1539" s="33"/>
      <c r="CE1539" s="33"/>
      <c r="CF1539" s="33"/>
      <c r="CG1539" s="33"/>
      <c r="CH1539" s="33"/>
      <c r="CI1539" s="33"/>
      <c r="CJ1539" s="33"/>
      <c r="CK1539" s="33"/>
      <c r="CL1539" s="33"/>
      <c r="CM1539" s="33"/>
      <c r="CN1539" s="33"/>
      <c r="CO1539" s="33"/>
      <c r="CP1539" s="33"/>
      <c r="CQ1539" s="33"/>
      <c r="CR1539" s="33"/>
      <c r="CS1539" s="33"/>
      <c r="CT1539" s="33"/>
      <c r="CU1539" s="33"/>
      <c r="CV1539" s="33"/>
      <c r="CW1539" s="33"/>
      <c r="CX1539" s="33"/>
      <c r="CY1539" s="33"/>
      <c r="CZ1539" s="33"/>
      <c r="DA1539" s="33"/>
      <c r="DB1539" s="33"/>
      <c r="DC1539" s="33"/>
      <c r="DD1539" s="33"/>
      <c r="DE1539" s="33"/>
      <c r="DF1539" s="33"/>
      <c r="DG1539" s="33"/>
      <c r="DH1539" s="33"/>
      <c r="DI1539" s="33"/>
      <c r="DJ1539" s="33"/>
      <c r="DK1539" s="33"/>
      <c r="DL1539" s="33"/>
      <c r="DM1539" s="33"/>
      <c r="DN1539" s="33"/>
      <c r="DO1539" s="33"/>
      <c r="DP1539" s="33"/>
      <c r="DQ1539" s="33"/>
      <c r="DR1539" s="33"/>
      <c r="DS1539" s="33"/>
      <c r="DT1539" s="33"/>
      <c r="DU1539" s="33"/>
      <c r="DV1539" s="33"/>
      <c r="DW1539" s="33"/>
      <c r="DX1539" s="33"/>
      <c r="DY1539" s="33"/>
      <c r="DZ1539" s="33"/>
      <c r="EA1539" s="33"/>
      <c r="EB1539" s="33"/>
      <c r="EC1539" s="33"/>
      <c r="ED1539" s="33"/>
      <c r="EE1539" s="33"/>
      <c r="EF1539" s="33"/>
      <c r="EG1539" s="33"/>
      <c r="EH1539" s="33"/>
      <c r="EI1539" s="33"/>
      <c r="EJ1539" s="33"/>
      <c r="EK1539" s="33"/>
      <c r="EL1539" s="33"/>
      <c r="EM1539" s="33"/>
      <c r="EN1539" s="33"/>
      <c r="EO1539" s="33"/>
      <c r="EP1539" s="33"/>
      <c r="EQ1539" s="33"/>
      <c r="ER1539" s="33"/>
      <c r="ES1539" s="33"/>
      <c r="ET1539" s="33"/>
      <c r="EU1539" s="33"/>
      <c r="EV1539" s="33"/>
      <c r="EW1539" s="33"/>
      <c r="EX1539" s="33"/>
      <c r="EY1539" s="33"/>
      <c r="EZ1539" s="33"/>
      <c r="FA1539" s="33"/>
      <c r="FB1539" s="33"/>
      <c r="FC1539" s="33"/>
      <c r="FD1539" s="33"/>
      <c r="FE1539" s="33"/>
      <c r="FF1539" s="33"/>
      <c r="FG1539" s="33"/>
      <c r="FH1539" s="33"/>
      <c r="FI1539" s="33"/>
      <c r="FJ1539" s="33"/>
      <c r="FK1539" s="33"/>
      <c r="FL1539" s="33"/>
      <c r="FM1539" s="33"/>
      <c r="FN1539" s="33"/>
      <c r="FO1539" s="33"/>
      <c r="FP1539" s="33"/>
      <c r="FQ1539" s="33"/>
      <c r="FR1539" s="33"/>
      <c r="FS1539" s="33"/>
      <c r="FT1539" s="33"/>
      <c r="FU1539" s="33"/>
      <c r="FV1539" s="33"/>
      <c r="FW1539" s="33"/>
      <c r="FX1539" s="33"/>
      <c r="FY1539" s="33"/>
      <c r="FZ1539" s="33"/>
      <c r="GA1539" s="33"/>
      <c r="GB1539" s="33"/>
      <c r="GC1539" s="33"/>
      <c r="GD1539" s="33"/>
      <c r="GE1539" s="33"/>
      <c r="GF1539" s="33"/>
      <c r="GG1539" s="33"/>
      <c r="GH1539" s="33"/>
      <c r="GI1539" s="33"/>
      <c r="GJ1539" s="33"/>
      <c r="GK1539" s="33"/>
      <c r="GL1539" s="33"/>
      <c r="GM1539" s="33"/>
      <c r="GN1539" s="33"/>
      <c r="GO1539" s="33"/>
      <c r="GP1539" s="33"/>
      <c r="GQ1539" s="33"/>
      <c r="GR1539" s="33"/>
      <c r="GS1539" s="33"/>
      <c r="GT1539" s="33"/>
      <c r="GU1539" s="33"/>
      <c r="GV1539" s="33"/>
      <c r="GW1539" s="33"/>
      <c r="GX1539" s="33"/>
      <c r="GY1539" s="33"/>
      <c r="GZ1539" s="33"/>
      <c r="HA1539" s="33"/>
      <c r="HB1539" s="33"/>
      <c r="HC1539" s="33"/>
      <c r="HD1539" s="33"/>
      <c r="HE1539" s="33"/>
      <c r="HF1539" s="33"/>
      <c r="HG1539" s="33"/>
      <c r="HH1539" s="33"/>
      <c r="HI1539" s="33"/>
      <c r="HJ1539" s="33"/>
      <c r="HK1539" s="33"/>
      <c r="HL1539" s="33"/>
      <c r="HM1539" s="33"/>
      <c r="HN1539" s="33"/>
      <c r="HO1539" s="33"/>
      <c r="HP1539" s="33"/>
      <c r="HQ1539" s="33"/>
    </row>
    <row r="1540" spans="1:225" ht="31" x14ac:dyDescent="0.35">
      <c r="A1540" s="286"/>
      <c r="B1540" s="286"/>
      <c r="C1540" s="317"/>
      <c r="D1540" s="280"/>
      <c r="E1540" s="280"/>
      <c r="F1540" s="292"/>
      <c r="G1540" s="285" t="s">
        <v>78</v>
      </c>
      <c r="H1540" s="116" t="s">
        <v>666</v>
      </c>
      <c r="I1540" s="86">
        <f>D1537*K1540</f>
        <v>81311.899999999994</v>
      </c>
      <c r="J1540" s="86">
        <f>I1540/D1537</f>
        <v>23</v>
      </c>
      <c r="K1540" s="86">
        <f>21+2</f>
        <v>23</v>
      </c>
      <c r="L1540" s="33"/>
      <c r="M1540" s="33"/>
      <c r="N1540" s="33"/>
      <c r="O1540" s="33"/>
      <c r="P1540" s="33"/>
      <c r="Q1540" s="33"/>
      <c r="R1540" s="33"/>
      <c r="S1540" s="33"/>
      <c r="T1540" s="33"/>
      <c r="U1540" s="33"/>
      <c r="V1540" s="33"/>
      <c r="W1540" s="33"/>
      <c r="X1540" s="33"/>
      <c r="Y1540" s="33"/>
      <c r="Z1540" s="33"/>
      <c r="AA1540" s="33"/>
      <c r="AB1540" s="33"/>
      <c r="AC1540" s="33"/>
      <c r="AD1540" s="33"/>
      <c r="AE1540" s="33"/>
      <c r="AF1540" s="33"/>
      <c r="AG1540" s="33"/>
      <c r="AH1540" s="33"/>
      <c r="AI1540" s="33"/>
      <c r="AJ1540" s="33"/>
      <c r="AK1540" s="33"/>
      <c r="AL1540" s="33"/>
      <c r="AM1540" s="33"/>
      <c r="AN1540" s="33"/>
      <c r="AO1540" s="33"/>
      <c r="AP1540" s="33"/>
      <c r="AQ1540" s="33"/>
      <c r="AR1540" s="33"/>
      <c r="AS1540" s="33"/>
      <c r="AT1540" s="33"/>
      <c r="AU1540" s="33"/>
      <c r="AV1540" s="33"/>
      <c r="AW1540" s="33"/>
      <c r="AX1540" s="33"/>
      <c r="AY1540" s="33"/>
      <c r="AZ1540" s="33"/>
      <c r="BA1540" s="33"/>
      <c r="BB1540" s="33"/>
      <c r="BC1540" s="33"/>
      <c r="BD1540" s="33"/>
      <c r="BE1540" s="33"/>
      <c r="BF1540" s="33"/>
      <c r="BG1540" s="33"/>
      <c r="BH1540" s="33"/>
      <c r="BI1540" s="33"/>
      <c r="BJ1540" s="33"/>
      <c r="BK1540" s="33"/>
      <c r="BL1540" s="33"/>
      <c r="BM1540" s="33"/>
      <c r="BN1540" s="33"/>
      <c r="BO1540" s="33"/>
      <c r="BP1540" s="33"/>
      <c r="BQ1540" s="33"/>
      <c r="BR1540" s="33"/>
      <c r="BS1540" s="33"/>
      <c r="BT1540" s="33"/>
      <c r="BU1540" s="33"/>
      <c r="BV1540" s="33"/>
      <c r="BW1540" s="33"/>
      <c r="BX1540" s="33"/>
      <c r="BY1540" s="33"/>
      <c r="BZ1540" s="33"/>
      <c r="CA1540" s="33"/>
      <c r="CB1540" s="33"/>
      <c r="CC1540" s="33"/>
      <c r="CD1540" s="33"/>
      <c r="CE1540" s="33"/>
      <c r="CF1540" s="33"/>
      <c r="CG1540" s="33"/>
      <c r="CH1540" s="33"/>
      <c r="CI1540" s="33"/>
      <c r="CJ1540" s="33"/>
      <c r="CK1540" s="33"/>
      <c r="CL1540" s="33"/>
      <c r="CM1540" s="33"/>
      <c r="CN1540" s="33"/>
      <c r="CO1540" s="33"/>
      <c r="CP1540" s="33"/>
      <c r="CQ1540" s="33"/>
      <c r="CR1540" s="33"/>
      <c r="CS1540" s="33"/>
      <c r="CT1540" s="33"/>
      <c r="CU1540" s="33"/>
      <c r="CV1540" s="33"/>
      <c r="CW1540" s="33"/>
      <c r="CX1540" s="33"/>
      <c r="CY1540" s="33"/>
      <c r="CZ1540" s="33"/>
      <c r="DA1540" s="33"/>
      <c r="DB1540" s="33"/>
      <c r="DC1540" s="33"/>
      <c r="DD1540" s="33"/>
      <c r="DE1540" s="33"/>
      <c r="DF1540" s="33"/>
      <c r="DG1540" s="33"/>
      <c r="DH1540" s="33"/>
      <c r="DI1540" s="33"/>
      <c r="DJ1540" s="33"/>
      <c r="DK1540" s="33"/>
      <c r="DL1540" s="33"/>
      <c r="DM1540" s="33"/>
      <c r="DN1540" s="33"/>
      <c r="DO1540" s="33"/>
      <c r="DP1540" s="33"/>
      <c r="DQ1540" s="33"/>
      <c r="DR1540" s="33"/>
      <c r="DS1540" s="33"/>
      <c r="DT1540" s="33"/>
      <c r="DU1540" s="33"/>
      <c r="DV1540" s="33"/>
      <c r="DW1540" s="33"/>
      <c r="DX1540" s="33"/>
      <c r="DY1540" s="33"/>
      <c r="DZ1540" s="33"/>
      <c r="EA1540" s="33"/>
      <c r="EB1540" s="33"/>
      <c r="EC1540" s="33"/>
      <c r="ED1540" s="33"/>
      <c r="EE1540" s="33"/>
      <c r="EF1540" s="33"/>
      <c r="EG1540" s="33"/>
      <c r="EH1540" s="33"/>
      <c r="EI1540" s="33"/>
      <c r="EJ1540" s="33"/>
      <c r="EK1540" s="33"/>
      <c r="EL1540" s="33"/>
      <c r="EM1540" s="33"/>
      <c r="EN1540" s="33"/>
      <c r="EO1540" s="33"/>
      <c r="EP1540" s="33"/>
      <c r="EQ1540" s="33"/>
      <c r="ER1540" s="33"/>
      <c r="ES1540" s="33"/>
      <c r="ET1540" s="33"/>
      <c r="EU1540" s="33"/>
      <c r="EV1540" s="33"/>
      <c r="EW1540" s="33"/>
      <c r="EX1540" s="33"/>
      <c r="EY1540" s="33"/>
      <c r="EZ1540" s="33"/>
      <c r="FA1540" s="33"/>
      <c r="FB1540" s="33"/>
      <c r="FC1540" s="33"/>
      <c r="FD1540" s="33"/>
      <c r="FE1540" s="33"/>
      <c r="FF1540" s="33"/>
      <c r="FG1540" s="33"/>
      <c r="FH1540" s="33"/>
      <c r="FI1540" s="33"/>
      <c r="FJ1540" s="33"/>
      <c r="FK1540" s="33"/>
      <c r="FL1540" s="33"/>
      <c r="FM1540" s="33"/>
      <c r="FN1540" s="33"/>
      <c r="FO1540" s="33"/>
      <c r="FP1540" s="33"/>
      <c r="FQ1540" s="33"/>
      <c r="FR1540" s="33"/>
      <c r="FS1540" s="33"/>
      <c r="FT1540" s="33"/>
      <c r="FU1540" s="33"/>
      <c r="FV1540" s="33"/>
      <c r="FW1540" s="33"/>
      <c r="FX1540" s="33"/>
      <c r="FY1540" s="33"/>
      <c r="FZ1540" s="33"/>
      <c r="GA1540" s="33"/>
      <c r="GB1540" s="33"/>
      <c r="GC1540" s="33"/>
      <c r="GD1540" s="33"/>
      <c r="GE1540" s="33"/>
      <c r="GF1540" s="33"/>
      <c r="GG1540" s="33"/>
      <c r="GH1540" s="33"/>
      <c r="GI1540" s="33"/>
      <c r="GJ1540" s="33"/>
      <c r="GK1540" s="33"/>
      <c r="GL1540" s="33"/>
      <c r="GM1540" s="33"/>
      <c r="GN1540" s="33"/>
      <c r="GO1540" s="33"/>
      <c r="GP1540" s="33"/>
      <c r="GQ1540" s="33"/>
      <c r="GR1540" s="33"/>
      <c r="GS1540" s="33"/>
      <c r="GT1540" s="33"/>
      <c r="GU1540" s="33"/>
      <c r="GV1540" s="33"/>
      <c r="GW1540" s="33"/>
      <c r="GX1540" s="33"/>
      <c r="GY1540" s="33"/>
      <c r="GZ1540" s="33"/>
      <c r="HA1540" s="33"/>
      <c r="HB1540" s="33"/>
      <c r="HC1540" s="33"/>
      <c r="HD1540" s="33"/>
      <c r="HE1540" s="33"/>
      <c r="HF1540" s="33"/>
      <c r="HG1540" s="33"/>
      <c r="HH1540" s="33"/>
      <c r="HI1540" s="33"/>
      <c r="HJ1540" s="33"/>
      <c r="HK1540" s="33"/>
      <c r="HL1540" s="33"/>
      <c r="HM1540" s="33"/>
      <c r="HN1540" s="33"/>
      <c r="HO1540" s="33"/>
      <c r="HP1540" s="33"/>
      <c r="HQ1540" s="33"/>
    </row>
    <row r="1541" spans="1:225" x14ac:dyDescent="0.35">
      <c r="A1541" s="286"/>
      <c r="B1541" s="286"/>
      <c r="C1541" s="317"/>
      <c r="D1541" s="280"/>
      <c r="E1541" s="280"/>
      <c r="F1541" s="292"/>
      <c r="G1541" s="287"/>
      <c r="H1541" s="116" t="s">
        <v>74</v>
      </c>
      <c r="I1541" s="86">
        <f>K1541*D1537*30/100</f>
        <v>562112.69999999995</v>
      </c>
      <c r="J1541" s="86">
        <f>I1541/D1537</f>
        <v>159</v>
      </c>
      <c r="K1541" s="86">
        <v>530</v>
      </c>
      <c r="L1541" s="33"/>
      <c r="M1541" s="33"/>
      <c r="N1541" s="33"/>
      <c r="O1541" s="33"/>
      <c r="P1541" s="33"/>
      <c r="Q1541" s="33"/>
      <c r="R1541" s="33"/>
      <c r="S1541" s="33"/>
      <c r="T1541" s="33"/>
      <c r="U1541" s="33"/>
      <c r="V1541" s="33"/>
      <c r="W1541" s="33"/>
      <c r="X1541" s="33"/>
      <c r="Y1541" s="33"/>
      <c r="Z1541" s="33"/>
      <c r="AA1541" s="33"/>
      <c r="AB1541" s="33"/>
      <c r="AC1541" s="33"/>
      <c r="AD1541" s="33"/>
      <c r="AE1541" s="33"/>
      <c r="AF1541" s="33"/>
      <c r="AG1541" s="33"/>
      <c r="AH1541" s="33"/>
      <c r="AI1541" s="33"/>
      <c r="AJ1541" s="33"/>
      <c r="AK1541" s="33"/>
      <c r="AL1541" s="33"/>
      <c r="AM1541" s="33"/>
      <c r="AN1541" s="33"/>
      <c r="AO1541" s="33"/>
      <c r="AP1541" s="33"/>
      <c r="AQ1541" s="33"/>
      <c r="AR1541" s="33"/>
      <c r="AS1541" s="33"/>
      <c r="AT1541" s="33"/>
      <c r="AU1541" s="33"/>
      <c r="AV1541" s="33"/>
      <c r="AW1541" s="33"/>
      <c r="AX1541" s="33"/>
      <c r="AY1541" s="33"/>
      <c r="AZ1541" s="33"/>
      <c r="BA1541" s="33"/>
      <c r="BB1541" s="33"/>
      <c r="BC1541" s="33"/>
      <c r="BD1541" s="33"/>
      <c r="BE1541" s="33"/>
      <c r="BF1541" s="33"/>
      <c r="BG1541" s="33"/>
      <c r="BH1541" s="33"/>
      <c r="BI1541" s="33"/>
      <c r="BJ1541" s="33"/>
      <c r="BK1541" s="33"/>
      <c r="BL1541" s="33"/>
      <c r="BM1541" s="33"/>
      <c r="BN1541" s="33"/>
      <c r="BO1541" s="33"/>
      <c r="BP1541" s="33"/>
      <c r="BQ1541" s="33"/>
      <c r="BR1541" s="33"/>
      <c r="BS1541" s="33"/>
      <c r="BT1541" s="33"/>
      <c r="BU1541" s="33"/>
      <c r="BV1541" s="33"/>
      <c r="BW1541" s="33"/>
      <c r="BX1541" s="33"/>
      <c r="BY1541" s="33"/>
      <c r="BZ1541" s="33"/>
      <c r="CA1541" s="33"/>
      <c r="CB1541" s="33"/>
      <c r="CC1541" s="33"/>
      <c r="CD1541" s="33"/>
      <c r="CE1541" s="33"/>
      <c r="CF1541" s="33"/>
      <c r="CG1541" s="33"/>
      <c r="CH1541" s="33"/>
      <c r="CI1541" s="33"/>
      <c r="CJ1541" s="33"/>
      <c r="CK1541" s="33"/>
      <c r="CL1541" s="33"/>
      <c r="CM1541" s="33"/>
      <c r="CN1541" s="33"/>
      <c r="CO1541" s="33"/>
      <c r="CP1541" s="33"/>
      <c r="CQ1541" s="33"/>
      <c r="CR1541" s="33"/>
      <c r="CS1541" s="33"/>
      <c r="CT1541" s="33"/>
      <c r="CU1541" s="33"/>
      <c r="CV1541" s="33"/>
      <c r="CW1541" s="33"/>
      <c r="CX1541" s="33"/>
      <c r="CY1541" s="33"/>
      <c r="CZ1541" s="33"/>
      <c r="DA1541" s="33"/>
      <c r="DB1541" s="33"/>
      <c r="DC1541" s="33"/>
      <c r="DD1541" s="33"/>
      <c r="DE1541" s="33"/>
      <c r="DF1541" s="33"/>
      <c r="DG1541" s="33"/>
      <c r="DH1541" s="33"/>
      <c r="DI1541" s="33"/>
      <c r="DJ1541" s="33"/>
      <c r="DK1541" s="33"/>
      <c r="DL1541" s="33"/>
      <c r="DM1541" s="33"/>
      <c r="DN1541" s="33"/>
      <c r="DO1541" s="33"/>
      <c r="DP1541" s="33"/>
      <c r="DQ1541" s="33"/>
      <c r="DR1541" s="33"/>
      <c r="DS1541" s="33"/>
      <c r="DT1541" s="33"/>
      <c r="DU1541" s="33"/>
      <c r="DV1541" s="33"/>
      <c r="DW1541" s="33"/>
      <c r="DX1541" s="33"/>
      <c r="DY1541" s="33"/>
      <c r="DZ1541" s="33"/>
      <c r="EA1541" s="33"/>
      <c r="EB1541" s="33"/>
      <c r="EC1541" s="33"/>
      <c r="ED1541" s="33"/>
      <c r="EE1541" s="33"/>
      <c r="EF1541" s="33"/>
      <c r="EG1541" s="33"/>
      <c r="EH1541" s="33"/>
      <c r="EI1541" s="33"/>
      <c r="EJ1541" s="33"/>
      <c r="EK1541" s="33"/>
      <c r="EL1541" s="33"/>
      <c r="EM1541" s="33"/>
      <c r="EN1541" s="33"/>
      <c r="EO1541" s="33"/>
      <c r="EP1541" s="33"/>
      <c r="EQ1541" s="33"/>
      <c r="ER1541" s="33"/>
      <c r="ES1541" s="33"/>
      <c r="ET1541" s="33"/>
      <c r="EU1541" s="33"/>
      <c r="EV1541" s="33"/>
      <c r="EW1541" s="33"/>
      <c r="EX1541" s="33"/>
      <c r="EY1541" s="33"/>
      <c r="EZ1541" s="33"/>
      <c r="FA1541" s="33"/>
      <c r="FB1541" s="33"/>
      <c r="FC1541" s="33"/>
      <c r="FD1541" s="33"/>
      <c r="FE1541" s="33"/>
      <c r="FF1541" s="33"/>
      <c r="FG1541" s="33"/>
      <c r="FH1541" s="33"/>
      <c r="FI1541" s="33"/>
      <c r="FJ1541" s="33"/>
      <c r="FK1541" s="33"/>
      <c r="FL1541" s="33"/>
      <c r="FM1541" s="33"/>
      <c r="FN1541" s="33"/>
      <c r="FO1541" s="33"/>
      <c r="FP1541" s="33"/>
      <c r="FQ1541" s="33"/>
      <c r="FR1541" s="33"/>
      <c r="FS1541" s="33"/>
      <c r="FT1541" s="33"/>
      <c r="FU1541" s="33"/>
      <c r="FV1541" s="33"/>
      <c r="FW1541" s="33"/>
      <c r="FX1541" s="33"/>
      <c r="FY1541" s="33"/>
      <c r="FZ1541" s="33"/>
      <c r="GA1541" s="33"/>
      <c r="GB1541" s="33"/>
      <c r="GC1541" s="33"/>
      <c r="GD1541" s="33"/>
      <c r="GE1541" s="33"/>
      <c r="GF1541" s="33"/>
      <c r="GG1541" s="33"/>
      <c r="GH1541" s="33"/>
      <c r="GI1541" s="33"/>
      <c r="GJ1541" s="33"/>
      <c r="GK1541" s="33"/>
      <c r="GL1541" s="33"/>
      <c r="GM1541" s="33"/>
      <c r="GN1541" s="33"/>
      <c r="GO1541" s="33"/>
      <c r="GP1541" s="33"/>
      <c r="GQ1541" s="33"/>
      <c r="GR1541" s="33"/>
      <c r="GS1541" s="33"/>
      <c r="GT1541" s="33"/>
      <c r="GU1541" s="33"/>
      <c r="GV1541" s="33"/>
      <c r="GW1541" s="33"/>
      <c r="GX1541" s="33"/>
      <c r="GY1541" s="33"/>
      <c r="GZ1541" s="33"/>
      <c r="HA1541" s="33"/>
      <c r="HB1541" s="33"/>
      <c r="HC1541" s="33"/>
      <c r="HD1541" s="33"/>
      <c r="HE1541" s="33"/>
      <c r="HF1541" s="33"/>
      <c r="HG1541" s="33"/>
      <c r="HH1541" s="33"/>
      <c r="HI1541" s="33"/>
      <c r="HJ1541" s="33"/>
      <c r="HK1541" s="33"/>
      <c r="HL1541" s="33"/>
      <c r="HM1541" s="33"/>
      <c r="HN1541" s="33"/>
      <c r="HO1541" s="33"/>
      <c r="HP1541" s="33"/>
      <c r="HQ1541" s="33"/>
    </row>
    <row r="1542" spans="1:225" ht="31" x14ac:dyDescent="0.35">
      <c r="A1542" s="286"/>
      <c r="B1542" s="286"/>
      <c r="C1542" s="317"/>
      <c r="D1542" s="280"/>
      <c r="E1542" s="280"/>
      <c r="F1542" s="292"/>
      <c r="G1542" s="285" t="s">
        <v>79</v>
      </c>
      <c r="H1542" s="116" t="s">
        <v>666</v>
      </c>
      <c r="I1542" s="86">
        <f>D1537*K1542</f>
        <v>81311.899999999994</v>
      </c>
      <c r="J1542" s="86">
        <f>I1542/D1537</f>
        <v>23</v>
      </c>
      <c r="K1542" s="86">
        <f>21+2</f>
        <v>23</v>
      </c>
      <c r="L1542" s="33"/>
      <c r="M1542" s="33"/>
      <c r="N1542" s="33"/>
      <c r="O1542" s="33"/>
      <c r="P1542" s="33"/>
      <c r="Q1542" s="33"/>
      <c r="R1542" s="33"/>
      <c r="S1542" s="33"/>
      <c r="T1542" s="33"/>
      <c r="U1542" s="33"/>
      <c r="V1542" s="33"/>
      <c r="W1542" s="33"/>
      <c r="X1542" s="33"/>
      <c r="Y1542" s="33"/>
      <c r="Z1542" s="33"/>
      <c r="AA1542" s="33"/>
      <c r="AB1542" s="33"/>
      <c r="AC1542" s="33"/>
      <c r="AD1542" s="33"/>
      <c r="AE1542" s="33"/>
      <c r="AF1542" s="33"/>
      <c r="AG1542" s="33"/>
      <c r="AH1542" s="33"/>
      <c r="AI1542" s="33"/>
      <c r="AJ1542" s="33"/>
      <c r="AK1542" s="33"/>
      <c r="AL1542" s="33"/>
      <c r="AM1542" s="33"/>
      <c r="AN1542" s="33"/>
      <c r="AO1542" s="33"/>
      <c r="AP1542" s="33"/>
      <c r="AQ1542" s="33"/>
      <c r="AR1542" s="33"/>
      <c r="AS1542" s="33"/>
      <c r="AT1542" s="33"/>
      <c r="AU1542" s="33"/>
      <c r="AV1542" s="33"/>
      <c r="AW1542" s="33"/>
      <c r="AX1542" s="33"/>
      <c r="AY1542" s="33"/>
      <c r="AZ1542" s="33"/>
      <c r="BA1542" s="33"/>
      <c r="BB1542" s="33"/>
      <c r="BC1542" s="33"/>
      <c r="BD1542" s="33"/>
      <c r="BE1542" s="33"/>
      <c r="BF1542" s="33"/>
      <c r="BG1542" s="33"/>
      <c r="BH1542" s="33"/>
      <c r="BI1542" s="33"/>
      <c r="BJ1542" s="33"/>
      <c r="BK1542" s="33"/>
      <c r="BL1542" s="33"/>
      <c r="BM1542" s="33"/>
      <c r="BN1542" s="33"/>
      <c r="BO1542" s="33"/>
      <c r="BP1542" s="33"/>
      <c r="BQ1542" s="33"/>
      <c r="BR1542" s="33"/>
      <c r="BS1542" s="33"/>
      <c r="BT1542" s="33"/>
      <c r="BU1542" s="33"/>
      <c r="BV1542" s="33"/>
      <c r="BW1542" s="33"/>
      <c r="BX1542" s="33"/>
      <c r="BY1542" s="33"/>
      <c r="BZ1542" s="33"/>
      <c r="CA1542" s="33"/>
      <c r="CB1542" s="33"/>
      <c r="CC1542" s="33"/>
      <c r="CD1542" s="33"/>
      <c r="CE1542" s="33"/>
      <c r="CF1542" s="33"/>
      <c r="CG1542" s="33"/>
      <c r="CH1542" s="33"/>
      <c r="CI1542" s="33"/>
      <c r="CJ1542" s="33"/>
      <c r="CK1542" s="33"/>
      <c r="CL1542" s="33"/>
      <c r="CM1542" s="33"/>
      <c r="CN1542" s="33"/>
      <c r="CO1542" s="33"/>
      <c r="CP1542" s="33"/>
      <c r="CQ1542" s="33"/>
      <c r="CR1542" s="33"/>
      <c r="CS1542" s="33"/>
      <c r="CT1542" s="33"/>
      <c r="CU1542" s="33"/>
      <c r="CV1542" s="33"/>
      <c r="CW1542" s="33"/>
      <c r="CX1542" s="33"/>
      <c r="CY1542" s="33"/>
      <c r="CZ1542" s="33"/>
      <c r="DA1542" s="33"/>
      <c r="DB1542" s="33"/>
      <c r="DC1542" s="33"/>
      <c r="DD1542" s="33"/>
      <c r="DE1542" s="33"/>
      <c r="DF1542" s="33"/>
      <c r="DG1542" s="33"/>
      <c r="DH1542" s="33"/>
      <c r="DI1542" s="33"/>
      <c r="DJ1542" s="33"/>
      <c r="DK1542" s="33"/>
      <c r="DL1542" s="33"/>
      <c r="DM1542" s="33"/>
      <c r="DN1542" s="33"/>
      <c r="DO1542" s="33"/>
      <c r="DP1542" s="33"/>
      <c r="DQ1542" s="33"/>
      <c r="DR1542" s="33"/>
      <c r="DS1542" s="33"/>
      <c r="DT1542" s="33"/>
      <c r="DU1542" s="33"/>
      <c r="DV1542" s="33"/>
      <c r="DW1542" s="33"/>
      <c r="DX1542" s="33"/>
      <c r="DY1542" s="33"/>
      <c r="DZ1542" s="33"/>
      <c r="EA1542" s="33"/>
      <c r="EB1542" s="33"/>
      <c r="EC1542" s="33"/>
      <c r="ED1542" s="33"/>
      <c r="EE1542" s="33"/>
      <c r="EF1542" s="33"/>
      <c r="EG1542" s="33"/>
      <c r="EH1542" s="33"/>
      <c r="EI1542" s="33"/>
      <c r="EJ1542" s="33"/>
      <c r="EK1542" s="33"/>
      <c r="EL1542" s="33"/>
      <c r="EM1542" s="33"/>
      <c r="EN1542" s="33"/>
      <c r="EO1542" s="33"/>
      <c r="EP1542" s="33"/>
      <c r="EQ1542" s="33"/>
      <c r="ER1542" s="33"/>
      <c r="ES1542" s="33"/>
      <c r="ET1542" s="33"/>
      <c r="EU1542" s="33"/>
      <c r="EV1542" s="33"/>
      <c r="EW1542" s="33"/>
      <c r="EX1542" s="33"/>
      <c r="EY1542" s="33"/>
      <c r="EZ1542" s="33"/>
      <c r="FA1542" s="33"/>
      <c r="FB1542" s="33"/>
      <c r="FC1542" s="33"/>
      <c r="FD1542" s="33"/>
      <c r="FE1542" s="33"/>
      <c r="FF1542" s="33"/>
      <c r="FG1542" s="33"/>
      <c r="FH1542" s="33"/>
      <c r="FI1542" s="33"/>
      <c r="FJ1542" s="33"/>
      <c r="FK1542" s="33"/>
      <c r="FL1542" s="33"/>
      <c r="FM1542" s="33"/>
      <c r="FN1542" s="33"/>
      <c r="FO1542" s="33"/>
      <c r="FP1542" s="33"/>
      <c r="FQ1542" s="33"/>
      <c r="FR1542" s="33"/>
      <c r="FS1542" s="33"/>
      <c r="FT1542" s="33"/>
      <c r="FU1542" s="33"/>
      <c r="FV1542" s="33"/>
      <c r="FW1542" s="33"/>
      <c r="FX1542" s="33"/>
      <c r="FY1542" s="33"/>
      <c r="FZ1542" s="33"/>
      <c r="GA1542" s="33"/>
      <c r="GB1542" s="33"/>
      <c r="GC1542" s="33"/>
      <c r="GD1542" s="33"/>
      <c r="GE1542" s="33"/>
      <c r="GF1542" s="33"/>
      <c r="GG1542" s="33"/>
      <c r="GH1542" s="33"/>
      <c r="GI1542" s="33"/>
      <c r="GJ1542" s="33"/>
      <c r="GK1542" s="33"/>
      <c r="GL1542" s="33"/>
      <c r="GM1542" s="33"/>
      <c r="GN1542" s="33"/>
      <c r="GO1542" s="33"/>
      <c r="GP1542" s="33"/>
      <c r="GQ1542" s="33"/>
      <c r="GR1542" s="33"/>
      <c r="GS1542" s="33"/>
      <c r="GT1542" s="33"/>
      <c r="GU1542" s="33"/>
      <c r="GV1542" s="33"/>
      <c r="GW1542" s="33"/>
      <c r="GX1542" s="33"/>
      <c r="GY1542" s="33"/>
      <c r="GZ1542" s="33"/>
      <c r="HA1542" s="33"/>
      <c r="HB1542" s="33"/>
      <c r="HC1542" s="33"/>
      <c r="HD1542" s="33"/>
      <c r="HE1542" s="33"/>
      <c r="HF1542" s="33"/>
      <c r="HG1542" s="33"/>
      <c r="HH1542" s="33"/>
      <c r="HI1542" s="33"/>
      <c r="HJ1542" s="33"/>
      <c r="HK1542" s="33"/>
      <c r="HL1542" s="33"/>
      <c r="HM1542" s="33"/>
      <c r="HN1542" s="33"/>
      <c r="HO1542" s="33"/>
      <c r="HP1542" s="33"/>
      <c r="HQ1542" s="33"/>
    </row>
    <row r="1543" spans="1:225" x14ac:dyDescent="0.35">
      <c r="A1543" s="286"/>
      <c r="B1543" s="286"/>
      <c r="C1543" s="317"/>
      <c r="D1543" s="280"/>
      <c r="E1543" s="280"/>
      <c r="F1543" s="292"/>
      <c r="G1543" s="287"/>
      <c r="H1543" s="116" t="s">
        <v>74</v>
      </c>
      <c r="I1543" s="86">
        <f>D1537*K1543*30/100</f>
        <v>551506.80000000005</v>
      </c>
      <c r="J1543" s="86">
        <f>I1543/D1537</f>
        <v>156</v>
      </c>
      <c r="K1543" s="86">
        <v>520</v>
      </c>
      <c r="L1543" s="33"/>
      <c r="M1543" s="33"/>
      <c r="N1543" s="33"/>
      <c r="O1543" s="33"/>
      <c r="P1543" s="33"/>
      <c r="Q1543" s="33"/>
      <c r="R1543" s="33"/>
      <c r="S1543" s="33"/>
      <c r="T1543" s="33"/>
      <c r="U1543" s="33"/>
      <c r="V1543" s="33"/>
      <c r="W1543" s="33"/>
      <c r="X1543" s="33"/>
      <c r="Y1543" s="33"/>
      <c r="Z1543" s="33"/>
      <c r="AA1543" s="33"/>
      <c r="AB1543" s="33"/>
      <c r="AC1543" s="33"/>
      <c r="AD1543" s="33"/>
      <c r="AE1543" s="33"/>
      <c r="AF1543" s="33"/>
      <c r="AG1543" s="33"/>
      <c r="AH1543" s="33"/>
      <c r="AI1543" s="33"/>
      <c r="AJ1543" s="33"/>
      <c r="AK1543" s="33"/>
      <c r="AL1543" s="33"/>
      <c r="AM1543" s="33"/>
      <c r="AN1543" s="33"/>
      <c r="AO1543" s="33"/>
      <c r="AP1543" s="33"/>
      <c r="AQ1543" s="33"/>
      <c r="AR1543" s="33"/>
      <c r="AS1543" s="33"/>
      <c r="AT1543" s="33"/>
      <c r="AU1543" s="33"/>
      <c r="AV1543" s="33"/>
      <c r="AW1543" s="33"/>
      <c r="AX1543" s="33"/>
      <c r="AY1543" s="33"/>
      <c r="AZ1543" s="33"/>
      <c r="BA1543" s="33"/>
      <c r="BB1543" s="33"/>
      <c r="BC1543" s="33"/>
      <c r="BD1543" s="33"/>
      <c r="BE1543" s="33"/>
      <c r="BF1543" s="33"/>
      <c r="BG1543" s="33"/>
      <c r="BH1543" s="33"/>
      <c r="BI1543" s="33"/>
      <c r="BJ1543" s="33"/>
      <c r="BK1543" s="33"/>
      <c r="BL1543" s="33"/>
      <c r="BM1543" s="33"/>
      <c r="BN1543" s="33"/>
      <c r="BO1543" s="33"/>
      <c r="BP1543" s="33"/>
      <c r="BQ1543" s="33"/>
      <c r="BR1543" s="33"/>
      <c r="BS1543" s="33"/>
      <c r="BT1543" s="33"/>
      <c r="BU1543" s="33"/>
      <c r="BV1543" s="33"/>
      <c r="BW1543" s="33"/>
      <c r="BX1543" s="33"/>
      <c r="BY1543" s="33"/>
      <c r="BZ1543" s="33"/>
      <c r="CA1543" s="33"/>
      <c r="CB1543" s="33"/>
      <c r="CC1543" s="33"/>
      <c r="CD1543" s="33"/>
      <c r="CE1543" s="33"/>
      <c r="CF1543" s="33"/>
      <c r="CG1543" s="33"/>
      <c r="CH1543" s="33"/>
      <c r="CI1543" s="33"/>
      <c r="CJ1543" s="33"/>
      <c r="CK1543" s="33"/>
      <c r="CL1543" s="33"/>
      <c r="CM1543" s="33"/>
      <c r="CN1543" s="33"/>
      <c r="CO1543" s="33"/>
      <c r="CP1543" s="33"/>
      <c r="CQ1543" s="33"/>
      <c r="CR1543" s="33"/>
      <c r="CS1543" s="33"/>
      <c r="CT1543" s="33"/>
      <c r="CU1543" s="33"/>
      <c r="CV1543" s="33"/>
      <c r="CW1543" s="33"/>
      <c r="CX1543" s="33"/>
      <c r="CY1543" s="33"/>
      <c r="CZ1543" s="33"/>
      <c r="DA1543" s="33"/>
      <c r="DB1543" s="33"/>
      <c r="DC1543" s="33"/>
      <c r="DD1543" s="33"/>
      <c r="DE1543" s="33"/>
      <c r="DF1543" s="33"/>
      <c r="DG1543" s="33"/>
      <c r="DH1543" s="33"/>
      <c r="DI1543" s="33"/>
      <c r="DJ1543" s="33"/>
      <c r="DK1543" s="33"/>
      <c r="DL1543" s="33"/>
      <c r="DM1543" s="33"/>
      <c r="DN1543" s="33"/>
      <c r="DO1543" s="33"/>
      <c r="DP1543" s="33"/>
      <c r="DQ1543" s="33"/>
      <c r="DR1543" s="33"/>
      <c r="DS1543" s="33"/>
      <c r="DT1543" s="33"/>
      <c r="DU1543" s="33"/>
      <c r="DV1543" s="33"/>
      <c r="DW1543" s="33"/>
      <c r="DX1543" s="33"/>
      <c r="DY1543" s="33"/>
      <c r="DZ1543" s="33"/>
      <c r="EA1543" s="33"/>
      <c r="EB1543" s="33"/>
      <c r="EC1543" s="33"/>
      <c r="ED1543" s="33"/>
      <c r="EE1543" s="33"/>
      <c r="EF1543" s="33"/>
      <c r="EG1543" s="33"/>
      <c r="EH1543" s="33"/>
      <c r="EI1543" s="33"/>
      <c r="EJ1543" s="33"/>
      <c r="EK1543" s="33"/>
      <c r="EL1543" s="33"/>
      <c r="EM1543" s="33"/>
      <c r="EN1543" s="33"/>
      <c r="EO1543" s="33"/>
      <c r="EP1543" s="33"/>
      <c r="EQ1543" s="33"/>
      <c r="ER1543" s="33"/>
      <c r="ES1543" s="33"/>
      <c r="ET1543" s="33"/>
      <c r="EU1543" s="33"/>
      <c r="EV1543" s="33"/>
      <c r="EW1543" s="33"/>
      <c r="EX1543" s="33"/>
      <c r="EY1543" s="33"/>
      <c r="EZ1543" s="33"/>
      <c r="FA1543" s="33"/>
      <c r="FB1543" s="33"/>
      <c r="FC1543" s="33"/>
      <c r="FD1543" s="33"/>
      <c r="FE1543" s="33"/>
      <c r="FF1543" s="33"/>
      <c r="FG1543" s="33"/>
      <c r="FH1543" s="33"/>
      <c r="FI1543" s="33"/>
      <c r="FJ1543" s="33"/>
      <c r="FK1543" s="33"/>
      <c r="FL1543" s="33"/>
      <c r="FM1543" s="33"/>
      <c r="FN1543" s="33"/>
      <c r="FO1543" s="33"/>
      <c r="FP1543" s="33"/>
      <c r="FQ1543" s="33"/>
      <c r="FR1543" s="33"/>
      <c r="FS1543" s="33"/>
      <c r="FT1543" s="33"/>
      <c r="FU1543" s="33"/>
      <c r="FV1543" s="33"/>
      <c r="FW1543" s="33"/>
      <c r="FX1543" s="33"/>
      <c r="FY1543" s="33"/>
      <c r="FZ1543" s="33"/>
      <c r="GA1543" s="33"/>
      <c r="GB1543" s="33"/>
      <c r="GC1543" s="33"/>
      <c r="GD1543" s="33"/>
      <c r="GE1543" s="33"/>
      <c r="GF1543" s="33"/>
      <c r="GG1543" s="33"/>
      <c r="GH1543" s="33"/>
      <c r="GI1543" s="33"/>
      <c r="GJ1543" s="33"/>
      <c r="GK1543" s="33"/>
      <c r="GL1543" s="33"/>
      <c r="GM1543" s="33"/>
      <c r="GN1543" s="33"/>
      <c r="GO1543" s="33"/>
      <c r="GP1543" s="33"/>
      <c r="GQ1543" s="33"/>
      <c r="GR1543" s="33"/>
      <c r="GS1543" s="33"/>
      <c r="GT1543" s="33"/>
      <c r="GU1543" s="33"/>
      <c r="GV1543" s="33"/>
      <c r="GW1543" s="33"/>
      <c r="GX1543" s="33"/>
      <c r="GY1543" s="33"/>
      <c r="GZ1543" s="33"/>
      <c r="HA1543" s="33"/>
      <c r="HB1543" s="33"/>
      <c r="HC1543" s="33"/>
      <c r="HD1543" s="33"/>
      <c r="HE1543" s="33"/>
      <c r="HF1543" s="33"/>
      <c r="HG1543" s="33"/>
      <c r="HH1543" s="33"/>
      <c r="HI1543" s="33"/>
      <c r="HJ1543" s="33"/>
      <c r="HK1543" s="33"/>
      <c r="HL1543" s="33"/>
      <c r="HM1543" s="33"/>
      <c r="HN1543" s="33"/>
      <c r="HO1543" s="33"/>
      <c r="HP1543" s="33"/>
      <c r="HQ1543" s="33"/>
    </row>
    <row r="1544" spans="1:225" ht="31" x14ac:dyDescent="0.35">
      <c r="A1544" s="286"/>
      <c r="B1544" s="286"/>
      <c r="C1544" s="317"/>
      <c r="D1544" s="280"/>
      <c r="E1544" s="280"/>
      <c r="F1544" s="292"/>
      <c r="G1544" s="285" t="s">
        <v>90</v>
      </c>
      <c r="H1544" s="116" t="s">
        <v>666</v>
      </c>
      <c r="I1544" s="86">
        <f>K1544*D1537</f>
        <v>74241.3</v>
      </c>
      <c r="J1544" s="86">
        <f>I1544/D1537</f>
        <v>21</v>
      </c>
      <c r="K1544" s="86">
        <f>19+2</f>
        <v>21</v>
      </c>
      <c r="L1544" s="33"/>
      <c r="M1544" s="33"/>
      <c r="N1544" s="33"/>
      <c r="O1544" s="33"/>
      <c r="P1544" s="33"/>
      <c r="Q1544" s="33"/>
      <c r="R1544" s="33"/>
      <c r="S1544" s="33"/>
      <c r="T1544" s="33"/>
      <c r="U1544" s="33"/>
      <c r="V1544" s="33"/>
      <c r="W1544" s="33"/>
      <c r="X1544" s="33"/>
      <c r="Y1544" s="33"/>
      <c r="Z1544" s="33"/>
      <c r="AA1544" s="33"/>
      <c r="AB1544" s="33"/>
      <c r="AC1544" s="33"/>
      <c r="AD1544" s="33"/>
      <c r="AE1544" s="33"/>
      <c r="AF1544" s="33"/>
      <c r="AG1544" s="33"/>
      <c r="AH1544" s="33"/>
      <c r="AI1544" s="33"/>
      <c r="AJ1544" s="33"/>
      <c r="AK1544" s="33"/>
      <c r="AL1544" s="33"/>
      <c r="AM1544" s="33"/>
      <c r="AN1544" s="33"/>
      <c r="AO1544" s="33"/>
      <c r="AP1544" s="33"/>
      <c r="AQ1544" s="33"/>
      <c r="AR1544" s="33"/>
      <c r="AS1544" s="33"/>
      <c r="AT1544" s="33"/>
      <c r="AU1544" s="33"/>
      <c r="AV1544" s="33"/>
      <c r="AW1544" s="33"/>
      <c r="AX1544" s="33"/>
      <c r="AY1544" s="33"/>
      <c r="AZ1544" s="33"/>
      <c r="BA1544" s="33"/>
      <c r="BB1544" s="33"/>
      <c r="BC1544" s="33"/>
      <c r="BD1544" s="33"/>
      <c r="BE1544" s="33"/>
      <c r="BF1544" s="33"/>
      <c r="BG1544" s="33"/>
      <c r="BH1544" s="33"/>
      <c r="BI1544" s="33"/>
      <c r="BJ1544" s="33"/>
      <c r="BK1544" s="33"/>
      <c r="BL1544" s="33"/>
      <c r="BM1544" s="33"/>
      <c r="BN1544" s="33"/>
      <c r="BO1544" s="33"/>
      <c r="BP1544" s="33"/>
      <c r="BQ1544" s="33"/>
      <c r="BR1544" s="33"/>
      <c r="BS1544" s="33"/>
      <c r="BT1544" s="33"/>
      <c r="BU1544" s="33"/>
      <c r="BV1544" s="33"/>
      <c r="BW1544" s="33"/>
      <c r="BX1544" s="33"/>
      <c r="BY1544" s="33"/>
      <c r="BZ1544" s="33"/>
      <c r="CA1544" s="33"/>
      <c r="CB1544" s="33"/>
      <c r="CC1544" s="33"/>
      <c r="CD1544" s="33"/>
      <c r="CE1544" s="33"/>
      <c r="CF1544" s="33"/>
      <c r="CG1544" s="33"/>
      <c r="CH1544" s="33"/>
      <c r="CI1544" s="33"/>
      <c r="CJ1544" s="33"/>
      <c r="CK1544" s="33"/>
      <c r="CL1544" s="33"/>
      <c r="CM1544" s="33"/>
      <c r="CN1544" s="33"/>
      <c r="CO1544" s="33"/>
      <c r="CP1544" s="33"/>
      <c r="CQ1544" s="33"/>
      <c r="CR1544" s="33"/>
      <c r="CS1544" s="33"/>
      <c r="CT1544" s="33"/>
      <c r="CU1544" s="33"/>
      <c r="CV1544" s="33"/>
      <c r="CW1544" s="33"/>
      <c r="CX1544" s="33"/>
      <c r="CY1544" s="33"/>
      <c r="CZ1544" s="33"/>
      <c r="DA1544" s="33"/>
      <c r="DB1544" s="33"/>
      <c r="DC1544" s="33"/>
      <c r="DD1544" s="33"/>
      <c r="DE1544" s="33"/>
      <c r="DF1544" s="33"/>
      <c r="DG1544" s="33"/>
      <c r="DH1544" s="33"/>
      <c r="DI1544" s="33"/>
      <c r="DJ1544" s="33"/>
      <c r="DK1544" s="33"/>
      <c r="DL1544" s="33"/>
      <c r="DM1544" s="33"/>
      <c r="DN1544" s="33"/>
      <c r="DO1544" s="33"/>
      <c r="DP1544" s="33"/>
      <c r="DQ1544" s="33"/>
      <c r="DR1544" s="33"/>
      <c r="DS1544" s="33"/>
      <c r="DT1544" s="33"/>
      <c r="DU1544" s="33"/>
      <c r="DV1544" s="33"/>
      <c r="DW1544" s="33"/>
      <c r="DX1544" s="33"/>
      <c r="DY1544" s="33"/>
      <c r="DZ1544" s="33"/>
      <c r="EA1544" s="33"/>
      <c r="EB1544" s="33"/>
      <c r="EC1544" s="33"/>
      <c r="ED1544" s="33"/>
      <c r="EE1544" s="33"/>
      <c r="EF1544" s="33"/>
      <c r="EG1544" s="33"/>
      <c r="EH1544" s="33"/>
      <c r="EI1544" s="33"/>
      <c r="EJ1544" s="33"/>
      <c r="EK1544" s="33"/>
      <c r="EL1544" s="33"/>
      <c r="EM1544" s="33"/>
      <c r="EN1544" s="33"/>
      <c r="EO1544" s="33"/>
      <c r="EP1544" s="33"/>
      <c r="EQ1544" s="33"/>
      <c r="ER1544" s="33"/>
      <c r="ES1544" s="33"/>
      <c r="ET1544" s="33"/>
      <c r="EU1544" s="33"/>
      <c r="EV1544" s="33"/>
      <c r="EW1544" s="33"/>
      <c r="EX1544" s="33"/>
      <c r="EY1544" s="33"/>
      <c r="EZ1544" s="33"/>
      <c r="FA1544" s="33"/>
      <c r="FB1544" s="33"/>
      <c r="FC1544" s="33"/>
      <c r="FD1544" s="33"/>
      <c r="FE1544" s="33"/>
      <c r="FF1544" s="33"/>
      <c r="FG1544" s="33"/>
      <c r="FH1544" s="33"/>
      <c r="FI1544" s="33"/>
      <c r="FJ1544" s="33"/>
      <c r="FK1544" s="33"/>
      <c r="FL1544" s="33"/>
      <c r="FM1544" s="33"/>
      <c r="FN1544" s="33"/>
      <c r="FO1544" s="33"/>
      <c r="FP1544" s="33"/>
      <c r="FQ1544" s="33"/>
      <c r="FR1544" s="33"/>
      <c r="FS1544" s="33"/>
      <c r="FT1544" s="33"/>
      <c r="FU1544" s="33"/>
      <c r="FV1544" s="33"/>
      <c r="FW1544" s="33"/>
      <c r="FX1544" s="33"/>
      <c r="FY1544" s="33"/>
      <c r="FZ1544" s="33"/>
      <c r="GA1544" s="33"/>
      <c r="GB1544" s="33"/>
      <c r="GC1544" s="33"/>
      <c r="GD1544" s="33"/>
      <c r="GE1544" s="33"/>
      <c r="GF1544" s="33"/>
      <c r="GG1544" s="33"/>
      <c r="GH1544" s="33"/>
      <c r="GI1544" s="33"/>
      <c r="GJ1544" s="33"/>
      <c r="GK1544" s="33"/>
      <c r="GL1544" s="33"/>
      <c r="GM1544" s="33"/>
      <c r="GN1544" s="33"/>
      <c r="GO1544" s="33"/>
      <c r="GP1544" s="33"/>
      <c r="GQ1544" s="33"/>
      <c r="GR1544" s="33"/>
      <c r="GS1544" s="33"/>
      <c r="GT1544" s="33"/>
      <c r="GU1544" s="33"/>
      <c r="GV1544" s="33"/>
      <c r="GW1544" s="33"/>
      <c r="GX1544" s="33"/>
      <c r="GY1544" s="33"/>
      <c r="GZ1544" s="33"/>
      <c r="HA1544" s="33"/>
      <c r="HB1544" s="33"/>
      <c r="HC1544" s="33"/>
      <c r="HD1544" s="33"/>
      <c r="HE1544" s="33"/>
      <c r="HF1544" s="33"/>
      <c r="HG1544" s="33"/>
      <c r="HH1544" s="33"/>
      <c r="HI1544" s="33"/>
      <c r="HJ1544" s="33"/>
      <c r="HK1544" s="33"/>
      <c r="HL1544" s="33"/>
      <c r="HM1544" s="33"/>
      <c r="HN1544" s="33"/>
      <c r="HO1544" s="33"/>
      <c r="HP1544" s="33"/>
      <c r="HQ1544" s="33"/>
    </row>
    <row r="1545" spans="1:225" x14ac:dyDescent="0.35">
      <c r="A1545" s="287"/>
      <c r="B1545" s="287"/>
      <c r="C1545" s="318"/>
      <c r="D1545" s="281"/>
      <c r="E1545" s="281"/>
      <c r="F1545" s="294"/>
      <c r="G1545" s="287"/>
      <c r="H1545" s="116" t="s">
        <v>74</v>
      </c>
      <c r="I1545" s="86">
        <f>K1545*D1537*30/100</f>
        <v>516507.33</v>
      </c>
      <c r="J1545" s="86">
        <f>I1545/D1537</f>
        <v>146.1</v>
      </c>
      <c r="K1545" s="86">
        <v>487</v>
      </c>
      <c r="L1545" s="33"/>
      <c r="M1545" s="33"/>
      <c r="N1545" s="33"/>
      <c r="O1545" s="33"/>
      <c r="P1545" s="33"/>
      <c r="Q1545" s="33"/>
      <c r="R1545" s="33"/>
      <c r="S1545" s="33"/>
      <c r="T1545" s="33"/>
      <c r="U1545" s="33"/>
      <c r="V1545" s="33"/>
      <c r="W1545" s="33"/>
      <c r="X1545" s="33"/>
      <c r="Y1545" s="33"/>
      <c r="Z1545" s="33"/>
      <c r="AA1545" s="33"/>
      <c r="AB1545" s="33"/>
      <c r="AC1545" s="33"/>
      <c r="AD1545" s="33"/>
      <c r="AE1545" s="33"/>
      <c r="AF1545" s="33"/>
      <c r="AG1545" s="33"/>
      <c r="AH1545" s="33"/>
      <c r="AI1545" s="33"/>
      <c r="AJ1545" s="33"/>
      <c r="AK1545" s="33"/>
      <c r="AL1545" s="33"/>
      <c r="AM1545" s="33"/>
      <c r="AN1545" s="33"/>
      <c r="AO1545" s="33"/>
      <c r="AP1545" s="33"/>
      <c r="AQ1545" s="33"/>
      <c r="AR1545" s="33"/>
      <c r="AS1545" s="33"/>
      <c r="AT1545" s="33"/>
      <c r="AU1545" s="33"/>
      <c r="AV1545" s="33"/>
      <c r="AW1545" s="33"/>
      <c r="AX1545" s="33"/>
      <c r="AY1545" s="33"/>
      <c r="AZ1545" s="33"/>
      <c r="BA1545" s="33"/>
      <c r="BB1545" s="33"/>
      <c r="BC1545" s="33"/>
      <c r="BD1545" s="33"/>
      <c r="BE1545" s="33"/>
      <c r="BF1545" s="33"/>
      <c r="BG1545" s="33"/>
      <c r="BH1545" s="33"/>
      <c r="BI1545" s="33"/>
      <c r="BJ1545" s="33"/>
      <c r="BK1545" s="33"/>
      <c r="BL1545" s="33"/>
      <c r="BM1545" s="33"/>
      <c r="BN1545" s="33"/>
      <c r="BO1545" s="33"/>
      <c r="BP1545" s="33"/>
      <c r="BQ1545" s="33"/>
      <c r="BR1545" s="33"/>
      <c r="BS1545" s="33"/>
      <c r="BT1545" s="33"/>
      <c r="BU1545" s="33"/>
      <c r="BV1545" s="33"/>
      <c r="BW1545" s="33"/>
      <c r="BX1545" s="33"/>
      <c r="BY1545" s="33"/>
      <c r="BZ1545" s="33"/>
      <c r="CA1545" s="33"/>
      <c r="CB1545" s="33"/>
      <c r="CC1545" s="33"/>
      <c r="CD1545" s="33"/>
      <c r="CE1545" s="33"/>
      <c r="CF1545" s="33"/>
      <c r="CG1545" s="33"/>
      <c r="CH1545" s="33"/>
      <c r="CI1545" s="33"/>
      <c r="CJ1545" s="33"/>
      <c r="CK1545" s="33"/>
      <c r="CL1545" s="33"/>
      <c r="CM1545" s="33"/>
      <c r="CN1545" s="33"/>
      <c r="CO1545" s="33"/>
      <c r="CP1545" s="33"/>
      <c r="CQ1545" s="33"/>
      <c r="CR1545" s="33"/>
      <c r="CS1545" s="33"/>
      <c r="CT1545" s="33"/>
      <c r="CU1545" s="33"/>
      <c r="CV1545" s="33"/>
      <c r="CW1545" s="33"/>
      <c r="CX1545" s="33"/>
      <c r="CY1545" s="33"/>
      <c r="CZ1545" s="33"/>
      <c r="DA1545" s="33"/>
      <c r="DB1545" s="33"/>
      <c r="DC1545" s="33"/>
      <c r="DD1545" s="33"/>
      <c r="DE1545" s="33"/>
      <c r="DF1545" s="33"/>
      <c r="DG1545" s="33"/>
      <c r="DH1545" s="33"/>
      <c r="DI1545" s="33"/>
      <c r="DJ1545" s="33"/>
      <c r="DK1545" s="33"/>
      <c r="DL1545" s="33"/>
      <c r="DM1545" s="33"/>
      <c r="DN1545" s="33"/>
      <c r="DO1545" s="33"/>
      <c r="DP1545" s="33"/>
      <c r="DQ1545" s="33"/>
      <c r="DR1545" s="33"/>
      <c r="DS1545" s="33"/>
      <c r="DT1545" s="33"/>
      <c r="DU1545" s="33"/>
      <c r="DV1545" s="33"/>
      <c r="DW1545" s="33"/>
      <c r="DX1545" s="33"/>
      <c r="DY1545" s="33"/>
      <c r="DZ1545" s="33"/>
      <c r="EA1545" s="33"/>
      <c r="EB1545" s="33"/>
      <c r="EC1545" s="33"/>
      <c r="ED1545" s="33"/>
      <c r="EE1545" s="33"/>
      <c r="EF1545" s="33"/>
      <c r="EG1545" s="33"/>
      <c r="EH1545" s="33"/>
      <c r="EI1545" s="33"/>
      <c r="EJ1545" s="33"/>
      <c r="EK1545" s="33"/>
      <c r="EL1545" s="33"/>
      <c r="EM1545" s="33"/>
      <c r="EN1545" s="33"/>
      <c r="EO1545" s="33"/>
      <c r="EP1545" s="33"/>
      <c r="EQ1545" s="33"/>
      <c r="ER1545" s="33"/>
      <c r="ES1545" s="33"/>
      <c r="ET1545" s="33"/>
      <c r="EU1545" s="33"/>
      <c r="EV1545" s="33"/>
      <c r="EW1545" s="33"/>
      <c r="EX1545" s="33"/>
      <c r="EY1545" s="33"/>
      <c r="EZ1545" s="33"/>
      <c r="FA1545" s="33"/>
      <c r="FB1545" s="33"/>
      <c r="FC1545" s="33"/>
      <c r="FD1545" s="33"/>
      <c r="FE1545" s="33"/>
      <c r="FF1545" s="33"/>
      <c r="FG1545" s="33"/>
      <c r="FH1545" s="33"/>
      <c r="FI1545" s="33"/>
      <c r="FJ1545" s="33"/>
      <c r="FK1545" s="33"/>
      <c r="FL1545" s="33"/>
      <c r="FM1545" s="33"/>
      <c r="FN1545" s="33"/>
      <c r="FO1545" s="33"/>
      <c r="FP1545" s="33"/>
      <c r="FQ1545" s="33"/>
      <c r="FR1545" s="33"/>
      <c r="FS1545" s="33"/>
      <c r="FT1545" s="33"/>
      <c r="FU1545" s="33"/>
      <c r="FV1545" s="33"/>
      <c r="FW1545" s="33"/>
      <c r="FX1545" s="33"/>
      <c r="FY1545" s="33"/>
      <c r="FZ1545" s="33"/>
      <c r="GA1545" s="33"/>
      <c r="GB1545" s="33"/>
      <c r="GC1545" s="33"/>
      <c r="GD1545" s="33"/>
      <c r="GE1545" s="33"/>
      <c r="GF1545" s="33"/>
      <c r="GG1545" s="33"/>
      <c r="GH1545" s="33"/>
      <c r="GI1545" s="33"/>
      <c r="GJ1545" s="33"/>
      <c r="GK1545" s="33"/>
      <c r="GL1545" s="33"/>
      <c r="GM1545" s="33"/>
      <c r="GN1545" s="33"/>
      <c r="GO1545" s="33"/>
      <c r="GP1545" s="33"/>
      <c r="GQ1545" s="33"/>
      <c r="GR1545" s="33"/>
      <c r="GS1545" s="33"/>
      <c r="GT1545" s="33"/>
      <c r="GU1545" s="33"/>
      <c r="GV1545" s="33"/>
      <c r="GW1545" s="33"/>
      <c r="GX1545" s="33"/>
      <c r="GY1545" s="33"/>
      <c r="GZ1545" s="33"/>
      <c r="HA1545" s="33"/>
      <c r="HB1545" s="33"/>
      <c r="HC1545" s="33"/>
      <c r="HD1545" s="33"/>
      <c r="HE1545" s="33"/>
      <c r="HF1545" s="33"/>
      <c r="HG1545" s="33"/>
      <c r="HH1545" s="33"/>
      <c r="HI1545" s="33"/>
      <c r="HJ1545" s="33"/>
      <c r="HK1545" s="33"/>
      <c r="HL1545" s="33"/>
      <c r="HM1545" s="33"/>
      <c r="HN1545" s="33"/>
      <c r="HO1545" s="33"/>
      <c r="HP1545" s="33"/>
      <c r="HQ1545" s="33"/>
    </row>
    <row r="1546" spans="1:225" ht="15.75" customHeight="1" x14ac:dyDescent="0.35">
      <c r="A1546" s="251">
        <f>A1537+1</f>
        <v>6</v>
      </c>
      <c r="B1546" s="251">
        <v>5107</v>
      </c>
      <c r="C1546" s="252" t="s">
        <v>535</v>
      </c>
      <c r="D1546" s="253">
        <v>743</v>
      </c>
      <c r="E1546" s="253" t="s">
        <v>75</v>
      </c>
      <c r="F1546" s="255">
        <v>2</v>
      </c>
      <c r="G1546" s="251" t="s">
        <v>72</v>
      </c>
      <c r="H1546" s="159" t="s">
        <v>73</v>
      </c>
      <c r="I1546" s="158">
        <f>I1547</f>
        <v>124081</v>
      </c>
      <c r="J1546" s="158">
        <f>J1547</f>
        <v>167</v>
      </c>
      <c r="K1546" s="158">
        <f>K1547</f>
        <v>167</v>
      </c>
      <c r="L1546" s="7"/>
      <c r="M1546" s="7"/>
      <c r="N1546" s="7"/>
      <c r="O1546" s="7"/>
      <c r="P1546" s="7"/>
      <c r="Q1546" s="7"/>
      <c r="R1546" s="7"/>
      <c r="S1546" s="7"/>
      <c r="T1546" s="7"/>
      <c r="U1546" s="7"/>
      <c r="V1546" s="7"/>
      <c r="W1546" s="7"/>
    </row>
    <row r="1547" spans="1:225" ht="46.5" x14ac:dyDescent="0.35">
      <c r="A1547" s="251">
        <v>275</v>
      </c>
      <c r="B1547" s="251"/>
      <c r="C1547" s="252"/>
      <c r="D1547" s="253"/>
      <c r="E1547" s="253"/>
      <c r="F1547" s="255"/>
      <c r="G1547" s="251"/>
      <c r="H1547" s="159" t="s">
        <v>705</v>
      </c>
      <c r="I1547" s="158">
        <f>K1547*D1546</f>
        <v>124081</v>
      </c>
      <c r="J1547" s="158">
        <f>I1547/D1546</f>
        <v>167</v>
      </c>
      <c r="K1547" s="158">
        <f>154+13</f>
        <v>167</v>
      </c>
      <c r="L1547" s="7"/>
      <c r="M1547" s="7"/>
      <c r="N1547" s="7"/>
      <c r="O1547" s="7"/>
      <c r="P1547" s="7"/>
      <c r="Q1547" s="7"/>
      <c r="R1547" s="7"/>
      <c r="S1547" s="7"/>
      <c r="T1547" s="7"/>
      <c r="U1547" s="7"/>
      <c r="V1547" s="7"/>
      <c r="W1547" s="7"/>
    </row>
    <row r="1548" spans="1:225" ht="15.75" customHeight="1" x14ac:dyDescent="0.35">
      <c r="A1548" s="251">
        <f>A1546+1</f>
        <v>7</v>
      </c>
      <c r="B1548" s="251">
        <v>5108</v>
      </c>
      <c r="C1548" s="315" t="s">
        <v>536</v>
      </c>
      <c r="D1548" s="253">
        <v>2556</v>
      </c>
      <c r="E1548" s="253" t="s">
        <v>75</v>
      </c>
      <c r="F1548" s="255">
        <v>4</v>
      </c>
      <c r="G1548" s="149"/>
      <c r="H1548" s="159" t="s">
        <v>73</v>
      </c>
      <c r="I1548" s="158">
        <f>I1549+I1550+I1551+I1552</f>
        <v>475416</v>
      </c>
      <c r="J1548" s="158">
        <f>J1549+J1550+J1551+J1552</f>
        <v>186</v>
      </c>
      <c r="K1548" s="158">
        <f>K1549+K1550+K1551+K1552</f>
        <v>186</v>
      </c>
      <c r="L1548" s="7"/>
      <c r="M1548" s="7"/>
      <c r="N1548" s="7"/>
      <c r="O1548" s="7"/>
      <c r="P1548" s="7"/>
      <c r="Q1548" s="7"/>
      <c r="R1548" s="7"/>
      <c r="S1548" s="7"/>
      <c r="T1548" s="7"/>
      <c r="U1548" s="7"/>
      <c r="V1548" s="7"/>
      <c r="W1548" s="7"/>
    </row>
    <row r="1549" spans="1:225" ht="31" x14ac:dyDescent="0.35">
      <c r="A1549" s="251"/>
      <c r="B1549" s="251"/>
      <c r="C1549" s="315"/>
      <c r="D1549" s="253"/>
      <c r="E1549" s="253"/>
      <c r="F1549" s="255"/>
      <c r="G1549" s="123" t="s">
        <v>77</v>
      </c>
      <c r="H1549" s="159" t="s">
        <v>666</v>
      </c>
      <c r="I1549" s="158">
        <f>K1549*D1548</f>
        <v>304164</v>
      </c>
      <c r="J1549" s="158">
        <f>I1549/D1548</f>
        <v>119</v>
      </c>
      <c r="K1549" s="158">
        <f>110+9</f>
        <v>119</v>
      </c>
      <c r="L1549" s="7"/>
      <c r="M1549" s="7"/>
      <c r="N1549" s="7"/>
      <c r="O1549" s="7"/>
      <c r="P1549" s="7"/>
      <c r="Q1549" s="7"/>
      <c r="R1549" s="7"/>
      <c r="S1549" s="7"/>
      <c r="T1549" s="7"/>
      <c r="U1549" s="7"/>
      <c r="V1549" s="7"/>
      <c r="W1549" s="7"/>
    </row>
    <row r="1550" spans="1:225" ht="46.5" x14ac:dyDescent="0.35">
      <c r="A1550" s="251"/>
      <c r="B1550" s="251"/>
      <c r="C1550" s="315"/>
      <c r="D1550" s="253"/>
      <c r="E1550" s="253"/>
      <c r="F1550" s="255"/>
      <c r="G1550" s="123" t="s">
        <v>78</v>
      </c>
      <c r="H1550" s="159" t="s">
        <v>666</v>
      </c>
      <c r="I1550" s="158">
        <f>K1550*D1548</f>
        <v>58788</v>
      </c>
      <c r="J1550" s="158">
        <f>I1550/D1548</f>
        <v>23</v>
      </c>
      <c r="K1550" s="158">
        <f>21+2</f>
        <v>23</v>
      </c>
      <c r="L1550" s="7"/>
      <c r="M1550" s="7"/>
      <c r="N1550" s="7"/>
      <c r="O1550" s="7"/>
      <c r="P1550" s="7"/>
      <c r="Q1550" s="7"/>
      <c r="R1550" s="7"/>
      <c r="S1550" s="7"/>
      <c r="T1550" s="7"/>
      <c r="U1550" s="7"/>
      <c r="V1550" s="7"/>
      <c r="W1550" s="7"/>
    </row>
    <row r="1551" spans="1:225" ht="31" x14ac:dyDescent="0.35">
      <c r="A1551" s="251"/>
      <c r="B1551" s="251"/>
      <c r="C1551" s="315"/>
      <c r="D1551" s="253"/>
      <c r="E1551" s="253"/>
      <c r="F1551" s="255"/>
      <c r="G1551" s="123" t="s">
        <v>79</v>
      </c>
      <c r="H1551" s="159" t="s">
        <v>666</v>
      </c>
      <c r="I1551" s="158">
        <f>K1551*D1548</f>
        <v>58788</v>
      </c>
      <c r="J1551" s="158">
        <f>I1551/D1548</f>
        <v>23</v>
      </c>
      <c r="K1551" s="158">
        <f>21+2</f>
        <v>23</v>
      </c>
      <c r="L1551" s="7"/>
      <c r="M1551" s="7"/>
      <c r="N1551" s="7"/>
      <c r="O1551" s="7"/>
      <c r="P1551" s="7"/>
      <c r="Q1551" s="7"/>
      <c r="R1551" s="7"/>
      <c r="S1551" s="7"/>
      <c r="T1551" s="7"/>
      <c r="U1551" s="7"/>
      <c r="V1551" s="7"/>
      <c r="W1551" s="7"/>
    </row>
    <row r="1552" spans="1:225" ht="31" x14ac:dyDescent="0.35">
      <c r="A1552" s="251"/>
      <c r="B1552" s="251"/>
      <c r="C1552" s="315"/>
      <c r="D1552" s="253"/>
      <c r="E1552" s="253"/>
      <c r="F1552" s="255"/>
      <c r="G1552" s="123" t="s">
        <v>90</v>
      </c>
      <c r="H1552" s="159" t="s">
        <v>666</v>
      </c>
      <c r="I1552" s="158">
        <f>K1552*D1548</f>
        <v>53676</v>
      </c>
      <c r="J1552" s="158">
        <f>I1552/D1548</f>
        <v>21</v>
      </c>
      <c r="K1552" s="158">
        <f>19+2</f>
        <v>21</v>
      </c>
      <c r="L1552" s="7"/>
      <c r="M1552" s="7"/>
      <c r="N1552" s="7"/>
      <c r="O1552" s="7"/>
      <c r="P1552" s="7"/>
      <c r="Q1552" s="7"/>
      <c r="R1552" s="7"/>
      <c r="S1552" s="7"/>
      <c r="T1552" s="7"/>
      <c r="U1552" s="7"/>
      <c r="V1552" s="7"/>
      <c r="W1552" s="7"/>
    </row>
    <row r="1553" spans="1:23" ht="15.75" customHeight="1" x14ac:dyDescent="0.35">
      <c r="A1553" s="256">
        <f>A1548+1</f>
        <v>8</v>
      </c>
      <c r="B1553" s="256">
        <v>5109</v>
      </c>
      <c r="C1553" s="288" t="s">
        <v>537</v>
      </c>
      <c r="D1553" s="262">
        <v>901.46</v>
      </c>
      <c r="E1553" s="262" t="s">
        <v>75</v>
      </c>
      <c r="F1553" s="265">
        <v>2</v>
      </c>
      <c r="G1553" s="256" t="s">
        <v>72</v>
      </c>
      <c r="H1553" s="159" t="s">
        <v>73</v>
      </c>
      <c r="I1553" s="158">
        <f>I1555+I1554</f>
        <v>2146646.7000000002</v>
      </c>
      <c r="J1553" s="158">
        <f>J1555+J1554</f>
        <v>2381.3000000000002</v>
      </c>
      <c r="K1553" s="158">
        <f>K1555+K1554</f>
        <v>7548</v>
      </c>
      <c r="L1553" s="7"/>
      <c r="M1553" s="7"/>
      <c r="N1553" s="7"/>
      <c r="O1553" s="7"/>
      <c r="P1553" s="7"/>
      <c r="Q1553" s="7"/>
      <c r="R1553" s="7"/>
      <c r="S1553" s="7"/>
      <c r="T1553" s="7"/>
      <c r="U1553" s="7"/>
      <c r="V1553" s="7"/>
      <c r="W1553" s="7"/>
    </row>
    <row r="1554" spans="1:23" ht="46.5" x14ac:dyDescent="0.35">
      <c r="A1554" s="257"/>
      <c r="B1554" s="257"/>
      <c r="C1554" s="289"/>
      <c r="D1554" s="263"/>
      <c r="E1554" s="263"/>
      <c r="F1554" s="266"/>
      <c r="G1554" s="257"/>
      <c r="H1554" s="159" t="s">
        <v>705</v>
      </c>
      <c r="I1554" s="158">
        <f>D1553*K1554</f>
        <v>150543.82</v>
      </c>
      <c r="J1554" s="158">
        <f>I1554/D1553</f>
        <v>167</v>
      </c>
      <c r="K1554" s="158">
        <f>154+13</f>
        <v>167</v>
      </c>
      <c r="L1554" s="7"/>
      <c r="M1554" s="7"/>
      <c r="N1554" s="7"/>
      <c r="O1554" s="7"/>
      <c r="P1554" s="7"/>
      <c r="Q1554" s="7"/>
      <c r="R1554" s="7"/>
      <c r="S1554" s="7"/>
      <c r="T1554" s="7"/>
      <c r="U1554" s="7"/>
      <c r="V1554" s="7"/>
      <c r="W1554" s="7"/>
    </row>
    <row r="1555" spans="1:23" x14ac:dyDescent="0.35">
      <c r="A1555" s="258"/>
      <c r="B1555" s="258"/>
      <c r="C1555" s="290"/>
      <c r="D1555" s="264"/>
      <c r="E1555" s="264"/>
      <c r="F1555" s="267"/>
      <c r="G1555" s="258"/>
      <c r="H1555" s="159" t="s">
        <v>74</v>
      </c>
      <c r="I1555" s="158">
        <f>D1553*K1555*30/100</f>
        <v>1996102.88</v>
      </c>
      <c r="J1555" s="158">
        <f>I1555/D1553</f>
        <v>2214.3000000000002</v>
      </c>
      <c r="K1555" s="158">
        <v>7381</v>
      </c>
      <c r="L1555" s="7"/>
      <c r="M1555" s="7"/>
      <c r="N1555" s="7"/>
      <c r="O1555" s="7"/>
      <c r="P1555" s="7"/>
      <c r="Q1555" s="7"/>
      <c r="R1555" s="7"/>
      <c r="S1555" s="7"/>
      <c r="T1555" s="7"/>
      <c r="U1555" s="7"/>
      <c r="V1555" s="7"/>
      <c r="W1555" s="7"/>
    </row>
    <row r="1556" spans="1:23" ht="15.75" customHeight="1" x14ac:dyDescent="0.35">
      <c r="A1556" s="256">
        <f>A1553+1</f>
        <v>9</v>
      </c>
      <c r="B1556" s="256">
        <v>5114</v>
      </c>
      <c r="C1556" s="288" t="s">
        <v>538</v>
      </c>
      <c r="D1556" s="262">
        <v>909.6</v>
      </c>
      <c r="E1556" s="262" t="s">
        <v>71</v>
      </c>
      <c r="F1556" s="265">
        <v>2</v>
      </c>
      <c r="G1556" s="149"/>
      <c r="H1556" s="159" t="s">
        <v>73</v>
      </c>
      <c r="I1556" s="158">
        <f>I1557+I1558+I1559+I1560</f>
        <v>169185.6</v>
      </c>
      <c r="J1556" s="158">
        <f>J1557+J1558+J1559+J1560</f>
        <v>186</v>
      </c>
      <c r="K1556" s="158">
        <f>K1557+K1558+K1559+K1560</f>
        <v>186</v>
      </c>
      <c r="L1556" s="7"/>
      <c r="M1556" s="7"/>
      <c r="N1556" s="7"/>
      <c r="O1556" s="7"/>
      <c r="P1556" s="7"/>
      <c r="Q1556" s="7"/>
      <c r="R1556" s="7"/>
      <c r="S1556" s="7"/>
      <c r="T1556" s="7"/>
      <c r="U1556" s="7"/>
      <c r="V1556" s="7"/>
      <c r="W1556" s="7"/>
    </row>
    <row r="1557" spans="1:23" ht="31" x14ac:dyDescent="0.35">
      <c r="A1557" s="257"/>
      <c r="B1557" s="257"/>
      <c r="C1557" s="289"/>
      <c r="D1557" s="263"/>
      <c r="E1557" s="263"/>
      <c r="F1557" s="266"/>
      <c r="G1557" s="123" t="s">
        <v>77</v>
      </c>
      <c r="H1557" s="159" t="s">
        <v>666</v>
      </c>
      <c r="I1557" s="158">
        <f>K1557*D1556</f>
        <v>108242.4</v>
      </c>
      <c r="J1557" s="158">
        <f>I1557/D1556</f>
        <v>119</v>
      </c>
      <c r="K1557" s="158">
        <v>119</v>
      </c>
      <c r="L1557" s="7"/>
      <c r="M1557" s="7"/>
      <c r="N1557" s="7"/>
      <c r="O1557" s="7"/>
      <c r="P1557" s="7"/>
      <c r="Q1557" s="7"/>
      <c r="R1557" s="7"/>
      <c r="S1557" s="7"/>
      <c r="T1557" s="7"/>
      <c r="U1557" s="7"/>
      <c r="V1557" s="7"/>
      <c r="W1557" s="7"/>
    </row>
    <row r="1558" spans="1:23" ht="48.75" customHeight="1" x14ac:dyDescent="0.35">
      <c r="A1558" s="257"/>
      <c r="B1558" s="257"/>
      <c r="C1558" s="289"/>
      <c r="D1558" s="263"/>
      <c r="E1558" s="263"/>
      <c r="F1558" s="266"/>
      <c r="G1558" s="123" t="s">
        <v>78</v>
      </c>
      <c r="H1558" s="159" t="s">
        <v>666</v>
      </c>
      <c r="I1558" s="158">
        <f>K1558*D1556</f>
        <v>20920.8</v>
      </c>
      <c r="J1558" s="158">
        <f>I1558/D1556</f>
        <v>23</v>
      </c>
      <c r="K1558" s="158">
        <v>23</v>
      </c>
      <c r="L1558" s="7"/>
      <c r="M1558" s="7"/>
      <c r="N1558" s="7"/>
      <c r="O1558" s="7"/>
      <c r="P1558" s="7"/>
      <c r="Q1558" s="7"/>
      <c r="R1558" s="7"/>
      <c r="S1558" s="7"/>
      <c r="T1558" s="7"/>
      <c r="U1558" s="7"/>
      <c r="V1558" s="7"/>
      <c r="W1558" s="7"/>
    </row>
    <row r="1559" spans="1:23" ht="48.75" customHeight="1" x14ac:dyDescent="0.35">
      <c r="A1559" s="257"/>
      <c r="B1559" s="257"/>
      <c r="C1559" s="289"/>
      <c r="D1559" s="263"/>
      <c r="E1559" s="263"/>
      <c r="F1559" s="266"/>
      <c r="G1559" s="123" t="s">
        <v>79</v>
      </c>
      <c r="H1559" s="159" t="s">
        <v>666</v>
      </c>
      <c r="I1559" s="158">
        <f>K1559*D1556</f>
        <v>20920.8</v>
      </c>
      <c r="J1559" s="158">
        <f>I1559/D1556</f>
        <v>23</v>
      </c>
      <c r="K1559" s="158">
        <v>23</v>
      </c>
      <c r="L1559" s="7"/>
      <c r="M1559" s="7"/>
      <c r="N1559" s="7"/>
      <c r="O1559" s="7"/>
      <c r="P1559" s="7"/>
      <c r="Q1559" s="7"/>
      <c r="R1559" s="7"/>
      <c r="S1559" s="7"/>
      <c r="T1559" s="7"/>
      <c r="U1559" s="7"/>
      <c r="V1559" s="7"/>
      <c r="W1559" s="7"/>
    </row>
    <row r="1560" spans="1:23" ht="31.5" customHeight="1" x14ac:dyDescent="0.35">
      <c r="A1560" s="258"/>
      <c r="B1560" s="258"/>
      <c r="C1560" s="290"/>
      <c r="D1560" s="264"/>
      <c r="E1560" s="264"/>
      <c r="F1560" s="267"/>
      <c r="G1560" s="123" t="s">
        <v>90</v>
      </c>
      <c r="H1560" s="159" t="s">
        <v>666</v>
      </c>
      <c r="I1560" s="158">
        <f>K1560*D1556</f>
        <v>19101.599999999999</v>
      </c>
      <c r="J1560" s="158">
        <f>I1560/D1556</f>
        <v>21</v>
      </c>
      <c r="K1560" s="158">
        <v>21</v>
      </c>
      <c r="L1560" s="7"/>
      <c r="M1560" s="7"/>
      <c r="N1560" s="7"/>
      <c r="O1560" s="7"/>
      <c r="P1560" s="7"/>
      <c r="Q1560" s="7"/>
      <c r="R1560" s="7"/>
      <c r="S1560" s="7"/>
      <c r="T1560" s="7"/>
      <c r="U1560" s="7"/>
      <c r="V1560" s="7"/>
      <c r="W1560" s="7"/>
    </row>
    <row r="1561" spans="1:23" ht="15.75" customHeight="1" x14ac:dyDescent="0.35">
      <c r="A1561" s="251">
        <f>A1556+1</f>
        <v>10</v>
      </c>
      <c r="B1561" s="251">
        <v>5127</v>
      </c>
      <c r="C1561" s="315" t="s">
        <v>539</v>
      </c>
      <c r="D1561" s="253">
        <v>3273.7</v>
      </c>
      <c r="E1561" s="253" t="s">
        <v>75</v>
      </c>
      <c r="F1561" s="255">
        <v>5</v>
      </c>
      <c r="G1561" s="149"/>
      <c r="H1561" s="159" t="s">
        <v>73</v>
      </c>
      <c r="I1561" s="158">
        <f>I1562+I1563+I1564+I1565</f>
        <v>523792</v>
      </c>
      <c r="J1561" s="158">
        <f>J1562+J1563+J1564+J1565</f>
        <v>160</v>
      </c>
      <c r="K1561" s="158">
        <f>K1562+K1563+K1564+K1565</f>
        <v>160</v>
      </c>
      <c r="L1561" s="7"/>
      <c r="M1561" s="7"/>
      <c r="N1561" s="7"/>
      <c r="O1561" s="7"/>
      <c r="P1561" s="7"/>
      <c r="Q1561" s="7"/>
      <c r="R1561" s="7"/>
      <c r="S1561" s="7"/>
      <c r="T1561" s="7"/>
      <c r="U1561" s="7"/>
      <c r="V1561" s="7"/>
      <c r="W1561" s="7"/>
    </row>
    <row r="1562" spans="1:23" ht="31" x14ac:dyDescent="0.35">
      <c r="A1562" s="251"/>
      <c r="B1562" s="251"/>
      <c r="C1562" s="315"/>
      <c r="D1562" s="253"/>
      <c r="E1562" s="253"/>
      <c r="F1562" s="255"/>
      <c r="G1562" s="123" t="s">
        <v>77</v>
      </c>
      <c r="H1562" s="159" t="s">
        <v>666</v>
      </c>
      <c r="I1562" s="158">
        <f>K1562*D1561</f>
        <v>304454.09999999998</v>
      </c>
      <c r="J1562" s="158">
        <f>I1562/D1561</f>
        <v>93</v>
      </c>
      <c r="K1562" s="158">
        <f>86+7</f>
        <v>93</v>
      </c>
      <c r="L1562" s="7"/>
      <c r="M1562" s="7"/>
      <c r="N1562" s="7"/>
      <c r="O1562" s="7"/>
      <c r="P1562" s="7"/>
      <c r="Q1562" s="7"/>
      <c r="R1562" s="7"/>
      <c r="S1562" s="7"/>
      <c r="T1562" s="7"/>
      <c r="U1562" s="7"/>
      <c r="V1562" s="7"/>
      <c r="W1562" s="7"/>
    </row>
    <row r="1563" spans="1:23" ht="46.5" x14ac:dyDescent="0.35">
      <c r="A1563" s="251"/>
      <c r="B1563" s="251"/>
      <c r="C1563" s="315"/>
      <c r="D1563" s="253"/>
      <c r="E1563" s="253"/>
      <c r="F1563" s="255"/>
      <c r="G1563" s="123" t="s">
        <v>78</v>
      </c>
      <c r="H1563" s="159" t="s">
        <v>666</v>
      </c>
      <c r="I1563" s="158">
        <f>K1563*D1561</f>
        <v>75295.100000000006</v>
      </c>
      <c r="J1563" s="158">
        <f>I1563/D1561</f>
        <v>23</v>
      </c>
      <c r="K1563" s="158">
        <f>21+2</f>
        <v>23</v>
      </c>
      <c r="L1563" s="7"/>
      <c r="M1563" s="7"/>
      <c r="N1563" s="7"/>
      <c r="O1563" s="7"/>
      <c r="P1563" s="7"/>
      <c r="Q1563" s="7"/>
      <c r="R1563" s="7"/>
      <c r="S1563" s="7"/>
      <c r="T1563" s="7"/>
      <c r="U1563" s="7"/>
      <c r="V1563" s="7"/>
      <c r="W1563" s="7"/>
    </row>
    <row r="1564" spans="1:23" ht="31" x14ac:dyDescent="0.35">
      <c r="A1564" s="251"/>
      <c r="B1564" s="251"/>
      <c r="C1564" s="315"/>
      <c r="D1564" s="253"/>
      <c r="E1564" s="253"/>
      <c r="F1564" s="255"/>
      <c r="G1564" s="123" t="s">
        <v>79</v>
      </c>
      <c r="H1564" s="159" t="s">
        <v>666</v>
      </c>
      <c r="I1564" s="158">
        <f>K1564*D1561</f>
        <v>75295.100000000006</v>
      </c>
      <c r="J1564" s="158">
        <f>I1564/D1561</f>
        <v>23</v>
      </c>
      <c r="K1564" s="158">
        <f>21+2</f>
        <v>23</v>
      </c>
      <c r="L1564" s="7"/>
      <c r="M1564" s="7"/>
      <c r="N1564" s="7"/>
      <c r="O1564" s="7"/>
      <c r="P1564" s="7"/>
      <c r="Q1564" s="7"/>
      <c r="R1564" s="7"/>
      <c r="S1564" s="7"/>
      <c r="T1564" s="7"/>
      <c r="U1564" s="7"/>
      <c r="V1564" s="7"/>
      <c r="W1564" s="7"/>
    </row>
    <row r="1565" spans="1:23" ht="31" x14ac:dyDescent="0.35">
      <c r="A1565" s="251"/>
      <c r="B1565" s="251"/>
      <c r="C1565" s="315"/>
      <c r="D1565" s="253"/>
      <c r="E1565" s="253"/>
      <c r="F1565" s="255"/>
      <c r="G1565" s="123" t="s">
        <v>90</v>
      </c>
      <c r="H1565" s="159" t="s">
        <v>666</v>
      </c>
      <c r="I1565" s="158">
        <f>K1565*D1561</f>
        <v>68747.7</v>
      </c>
      <c r="J1565" s="158">
        <f>I1565/D1561</f>
        <v>21</v>
      </c>
      <c r="K1565" s="158">
        <f>19+2</f>
        <v>21</v>
      </c>
      <c r="L1565" s="7"/>
      <c r="M1565" s="7"/>
      <c r="N1565" s="7"/>
      <c r="O1565" s="7"/>
      <c r="P1565" s="7"/>
      <c r="Q1565" s="7"/>
      <c r="R1565" s="7"/>
      <c r="S1565" s="7"/>
      <c r="T1565" s="7"/>
      <c r="U1565" s="7"/>
      <c r="V1565" s="7"/>
      <c r="W1565" s="7"/>
    </row>
    <row r="1566" spans="1:23" ht="15.75" customHeight="1" x14ac:dyDescent="0.35">
      <c r="A1566" s="251">
        <f>A1561+1</f>
        <v>11</v>
      </c>
      <c r="B1566" s="251">
        <v>5128</v>
      </c>
      <c r="C1566" s="315" t="s">
        <v>540</v>
      </c>
      <c r="D1566" s="253">
        <v>3054.1</v>
      </c>
      <c r="E1566" s="253" t="s">
        <v>75</v>
      </c>
      <c r="F1566" s="255">
        <v>9</v>
      </c>
      <c r="G1566" s="149"/>
      <c r="H1566" s="159" t="s">
        <v>73</v>
      </c>
      <c r="I1566" s="158">
        <f>I1567+I1568+I1569+I1570</f>
        <v>488656</v>
      </c>
      <c r="J1566" s="158">
        <f>J1567+J1568+J1569+J1570</f>
        <v>160</v>
      </c>
      <c r="K1566" s="158">
        <f>K1567+K1568+K1569+K1570</f>
        <v>160</v>
      </c>
      <c r="L1566" s="7"/>
      <c r="M1566" s="7"/>
      <c r="N1566" s="7"/>
      <c r="O1566" s="7"/>
      <c r="P1566" s="7"/>
      <c r="Q1566" s="7"/>
      <c r="R1566" s="7"/>
      <c r="S1566" s="7"/>
      <c r="T1566" s="7"/>
      <c r="U1566" s="7"/>
      <c r="V1566" s="7"/>
      <c r="W1566" s="7"/>
    </row>
    <row r="1567" spans="1:23" ht="31" x14ac:dyDescent="0.35">
      <c r="A1567" s="251"/>
      <c r="B1567" s="251"/>
      <c r="C1567" s="315"/>
      <c r="D1567" s="253"/>
      <c r="E1567" s="253"/>
      <c r="F1567" s="255"/>
      <c r="G1567" s="123" t="s">
        <v>77</v>
      </c>
      <c r="H1567" s="159" t="s">
        <v>666</v>
      </c>
      <c r="I1567" s="158">
        <f>K1567*D1566</f>
        <v>284031.3</v>
      </c>
      <c r="J1567" s="158">
        <f>I1567/D1566</f>
        <v>93</v>
      </c>
      <c r="K1567" s="158">
        <f>86+7</f>
        <v>93</v>
      </c>
      <c r="L1567" s="7"/>
      <c r="M1567" s="7"/>
      <c r="N1567" s="7"/>
      <c r="O1567" s="7"/>
      <c r="P1567" s="7"/>
      <c r="Q1567" s="7"/>
      <c r="R1567" s="7"/>
      <c r="S1567" s="7"/>
      <c r="T1567" s="7"/>
      <c r="U1567" s="7"/>
      <c r="V1567" s="7"/>
      <c r="W1567" s="7"/>
    </row>
    <row r="1568" spans="1:23" ht="46.5" x14ac:dyDescent="0.35">
      <c r="A1568" s="251"/>
      <c r="B1568" s="251"/>
      <c r="C1568" s="315"/>
      <c r="D1568" s="253"/>
      <c r="E1568" s="253"/>
      <c r="F1568" s="255"/>
      <c r="G1568" s="123" t="s">
        <v>78</v>
      </c>
      <c r="H1568" s="159" t="s">
        <v>666</v>
      </c>
      <c r="I1568" s="158">
        <f>K1568*D1566</f>
        <v>70244.3</v>
      </c>
      <c r="J1568" s="158">
        <f>I1568/D1566</f>
        <v>23</v>
      </c>
      <c r="K1568" s="158">
        <f>21+2</f>
        <v>23</v>
      </c>
      <c r="L1568" s="7"/>
      <c r="M1568" s="7"/>
      <c r="N1568" s="7"/>
      <c r="O1568" s="7"/>
      <c r="P1568" s="7"/>
      <c r="Q1568" s="7"/>
      <c r="R1568" s="7"/>
      <c r="S1568" s="7"/>
      <c r="T1568" s="7"/>
      <c r="U1568" s="7"/>
      <c r="V1568" s="7"/>
      <c r="W1568" s="7"/>
    </row>
    <row r="1569" spans="1:225" ht="31" x14ac:dyDescent="0.35">
      <c r="A1569" s="251"/>
      <c r="B1569" s="251"/>
      <c r="C1569" s="315"/>
      <c r="D1569" s="253"/>
      <c r="E1569" s="253"/>
      <c r="F1569" s="255"/>
      <c r="G1569" s="123" t="s">
        <v>79</v>
      </c>
      <c r="H1569" s="159" t="s">
        <v>666</v>
      </c>
      <c r="I1569" s="158">
        <f>K1569*D1566</f>
        <v>70244.3</v>
      </c>
      <c r="J1569" s="158">
        <f>I1569/D1566</f>
        <v>23</v>
      </c>
      <c r="K1569" s="158">
        <f>21+2</f>
        <v>23</v>
      </c>
      <c r="L1569" s="7"/>
      <c r="M1569" s="7"/>
      <c r="N1569" s="7"/>
      <c r="O1569" s="7"/>
      <c r="P1569" s="7"/>
      <c r="Q1569" s="7"/>
      <c r="R1569" s="7"/>
      <c r="S1569" s="7"/>
      <c r="T1569" s="7"/>
      <c r="U1569" s="7"/>
      <c r="V1569" s="7"/>
      <c r="W1569" s="7"/>
    </row>
    <row r="1570" spans="1:225" ht="31" x14ac:dyDescent="0.35">
      <c r="A1570" s="251"/>
      <c r="B1570" s="251"/>
      <c r="C1570" s="315"/>
      <c r="D1570" s="253"/>
      <c r="E1570" s="253"/>
      <c r="F1570" s="255"/>
      <c r="G1570" s="123" t="s">
        <v>90</v>
      </c>
      <c r="H1570" s="159" t="s">
        <v>666</v>
      </c>
      <c r="I1570" s="158">
        <f>K1570*D1566</f>
        <v>64136.1</v>
      </c>
      <c r="J1570" s="158">
        <f>I1570/D1566</f>
        <v>21</v>
      </c>
      <c r="K1570" s="158">
        <f>19+2</f>
        <v>21</v>
      </c>
      <c r="L1570" s="7"/>
      <c r="M1570" s="7"/>
      <c r="N1570" s="7"/>
      <c r="O1570" s="7"/>
      <c r="P1570" s="7"/>
      <c r="Q1570" s="7"/>
      <c r="R1570" s="7"/>
      <c r="S1570" s="7"/>
      <c r="T1570" s="7"/>
      <c r="U1570" s="7"/>
      <c r="V1570" s="7"/>
      <c r="W1570" s="7"/>
    </row>
    <row r="1571" spans="1:225" x14ac:dyDescent="0.35">
      <c r="A1571" s="256">
        <f>A1566+1</f>
        <v>12</v>
      </c>
      <c r="B1571" s="256">
        <v>5130</v>
      </c>
      <c r="C1571" s="259" t="s">
        <v>244</v>
      </c>
      <c r="D1571" s="262">
        <v>7561.6</v>
      </c>
      <c r="E1571" s="262" t="s">
        <v>75</v>
      </c>
      <c r="F1571" s="265">
        <v>9</v>
      </c>
      <c r="G1571" s="256" t="s">
        <v>72</v>
      </c>
      <c r="H1571" s="159" t="s">
        <v>73</v>
      </c>
      <c r="I1571" s="158">
        <f>I1572+I1573</f>
        <v>12605187.199999999</v>
      </c>
      <c r="J1571" s="158">
        <f>J1572+J1573</f>
        <v>1667</v>
      </c>
      <c r="K1571" s="158">
        <f>K1572+K1573</f>
        <v>1667</v>
      </c>
      <c r="L1571" s="7"/>
      <c r="M1571" s="7"/>
      <c r="N1571" s="7"/>
      <c r="O1571" s="7"/>
      <c r="P1571" s="7"/>
      <c r="Q1571" s="7"/>
      <c r="R1571" s="7"/>
      <c r="S1571" s="7"/>
      <c r="T1571" s="7"/>
      <c r="U1571" s="7"/>
      <c r="V1571" s="7"/>
      <c r="W1571" s="7"/>
    </row>
    <row r="1572" spans="1:225" x14ac:dyDescent="0.35">
      <c r="A1572" s="257"/>
      <c r="B1572" s="257"/>
      <c r="C1572" s="260"/>
      <c r="D1572" s="263"/>
      <c r="E1572" s="263"/>
      <c r="F1572" s="266"/>
      <c r="G1572" s="257"/>
      <c r="H1572" s="159" t="s">
        <v>74</v>
      </c>
      <c r="I1572" s="158">
        <f>D1571*K1572</f>
        <v>12340531.199999999</v>
      </c>
      <c r="J1572" s="158">
        <f>I1572/D1571</f>
        <v>1632</v>
      </c>
      <c r="K1572" s="158">
        <v>1632</v>
      </c>
      <c r="L1572" s="7"/>
      <c r="M1572" s="7"/>
      <c r="N1572" s="7"/>
      <c r="O1572" s="7"/>
      <c r="P1572" s="7"/>
      <c r="Q1572" s="7"/>
      <c r="R1572" s="7"/>
      <c r="S1572" s="7"/>
      <c r="T1572" s="7"/>
      <c r="U1572" s="7"/>
      <c r="V1572" s="7"/>
      <c r="W1572" s="7"/>
    </row>
    <row r="1573" spans="1:225" x14ac:dyDescent="0.35">
      <c r="A1573" s="258"/>
      <c r="B1573" s="258"/>
      <c r="C1573" s="261"/>
      <c r="D1573" s="264"/>
      <c r="E1573" s="264"/>
      <c r="F1573" s="267"/>
      <c r="G1573" s="258"/>
      <c r="H1573" s="159" t="s">
        <v>76</v>
      </c>
      <c r="I1573" s="158">
        <f>D1571*K1573</f>
        <v>264656</v>
      </c>
      <c r="J1573" s="158">
        <f>I1573/D1571</f>
        <v>35</v>
      </c>
      <c r="K1573" s="158">
        <v>35</v>
      </c>
      <c r="L1573" s="7"/>
      <c r="M1573" s="7"/>
      <c r="N1573" s="7"/>
      <c r="O1573" s="7"/>
      <c r="P1573" s="7"/>
      <c r="Q1573" s="7"/>
      <c r="R1573" s="7"/>
      <c r="S1573" s="7"/>
      <c r="T1573" s="7"/>
      <c r="U1573" s="7"/>
      <c r="V1573" s="7"/>
      <c r="W1573" s="7"/>
    </row>
    <row r="1574" spans="1:225" x14ac:dyDescent="0.35">
      <c r="A1574" s="256">
        <f>A1571+1</f>
        <v>13</v>
      </c>
      <c r="B1574" s="256">
        <v>5131</v>
      </c>
      <c r="C1574" s="259" t="s">
        <v>245</v>
      </c>
      <c r="D1574" s="262">
        <v>8069.69</v>
      </c>
      <c r="E1574" s="262" t="s">
        <v>75</v>
      </c>
      <c r="F1574" s="265">
        <v>9</v>
      </c>
      <c r="G1574" s="256" t="s">
        <v>72</v>
      </c>
      <c r="H1574" s="159" t="s">
        <v>73</v>
      </c>
      <c r="I1574" s="158">
        <f>I1575+I1576</f>
        <v>13452173.23</v>
      </c>
      <c r="J1574" s="158">
        <f>J1575+J1576</f>
        <v>1667</v>
      </c>
      <c r="K1574" s="158">
        <f>K1575+K1576</f>
        <v>1667</v>
      </c>
      <c r="L1574" s="7"/>
      <c r="M1574" s="7"/>
      <c r="N1574" s="7"/>
      <c r="O1574" s="7"/>
      <c r="P1574" s="7"/>
      <c r="Q1574" s="7"/>
      <c r="R1574" s="7"/>
      <c r="S1574" s="7"/>
      <c r="T1574" s="7"/>
      <c r="U1574" s="7"/>
      <c r="V1574" s="7"/>
      <c r="W1574" s="7"/>
    </row>
    <row r="1575" spans="1:225" x14ac:dyDescent="0.35">
      <c r="A1575" s="257"/>
      <c r="B1575" s="257"/>
      <c r="C1575" s="260"/>
      <c r="D1575" s="263"/>
      <c r="E1575" s="263"/>
      <c r="F1575" s="266"/>
      <c r="G1575" s="257"/>
      <c r="H1575" s="159" t="s">
        <v>74</v>
      </c>
      <c r="I1575" s="158">
        <f>D1574*K1575</f>
        <v>13169734.08</v>
      </c>
      <c r="J1575" s="158">
        <f>I1575/D1574</f>
        <v>1632</v>
      </c>
      <c r="K1575" s="158">
        <v>1632</v>
      </c>
      <c r="L1575" s="7"/>
      <c r="M1575" s="7"/>
      <c r="N1575" s="7"/>
      <c r="O1575" s="7"/>
      <c r="P1575" s="7"/>
      <c r="Q1575" s="7"/>
      <c r="R1575" s="7"/>
      <c r="S1575" s="7"/>
      <c r="T1575" s="7"/>
      <c r="U1575" s="7"/>
      <c r="V1575" s="7"/>
      <c r="W1575" s="7"/>
    </row>
    <row r="1576" spans="1:225" x14ac:dyDescent="0.35">
      <c r="A1576" s="258"/>
      <c r="B1576" s="258"/>
      <c r="C1576" s="261"/>
      <c r="D1576" s="264"/>
      <c r="E1576" s="264"/>
      <c r="F1576" s="267"/>
      <c r="G1576" s="258"/>
      <c r="H1576" s="159" t="s">
        <v>76</v>
      </c>
      <c r="I1576" s="158">
        <f>D1574*K1576</f>
        <v>282439.15000000002</v>
      </c>
      <c r="J1576" s="158">
        <f>I1576/D1574</f>
        <v>35</v>
      </c>
      <c r="K1576" s="158">
        <v>35</v>
      </c>
      <c r="L1576" s="7"/>
      <c r="M1576" s="7"/>
      <c r="N1576" s="7"/>
      <c r="O1576" s="7"/>
      <c r="P1576" s="7"/>
      <c r="Q1576" s="7"/>
      <c r="R1576" s="7"/>
      <c r="S1576" s="7"/>
      <c r="T1576" s="7"/>
      <c r="U1576" s="7"/>
      <c r="V1576" s="7"/>
      <c r="W1576" s="7"/>
    </row>
    <row r="1577" spans="1:225" ht="15.75" customHeight="1" x14ac:dyDescent="0.35">
      <c r="A1577" s="308">
        <f>A1574+1</f>
        <v>14</v>
      </c>
      <c r="B1577" s="308">
        <v>5133</v>
      </c>
      <c r="C1577" s="301" t="s">
        <v>246</v>
      </c>
      <c r="D1577" s="274">
        <v>8595.5</v>
      </c>
      <c r="E1577" s="274" t="s">
        <v>75</v>
      </c>
      <c r="F1577" s="293">
        <v>9</v>
      </c>
      <c r="G1577" s="308" t="s">
        <v>72</v>
      </c>
      <c r="H1577" s="116" t="s">
        <v>73</v>
      </c>
      <c r="I1577" s="86">
        <f>I1578+I1579</f>
        <v>14328698.5</v>
      </c>
      <c r="J1577" s="86">
        <f>J1578+J1579</f>
        <v>1667</v>
      </c>
      <c r="K1577" s="86">
        <f>K1578+K1579</f>
        <v>1667</v>
      </c>
      <c r="L1577" s="33"/>
      <c r="M1577" s="33"/>
      <c r="N1577" s="33"/>
      <c r="O1577" s="33"/>
      <c r="P1577" s="33"/>
      <c r="Q1577" s="33"/>
      <c r="R1577" s="33"/>
      <c r="S1577" s="33"/>
      <c r="T1577" s="33"/>
      <c r="U1577" s="33"/>
      <c r="V1577" s="33"/>
      <c r="W1577" s="33"/>
      <c r="X1577" s="33"/>
      <c r="Y1577" s="33"/>
      <c r="Z1577" s="33"/>
      <c r="AA1577" s="33"/>
      <c r="AB1577" s="33"/>
      <c r="AC1577" s="33"/>
      <c r="AD1577" s="33"/>
      <c r="AE1577" s="33"/>
      <c r="AF1577" s="33"/>
      <c r="AG1577" s="33"/>
      <c r="AH1577" s="33"/>
      <c r="AI1577" s="33"/>
      <c r="AJ1577" s="33"/>
      <c r="AK1577" s="33"/>
      <c r="AL1577" s="33"/>
      <c r="AM1577" s="33"/>
      <c r="AN1577" s="33"/>
      <c r="AO1577" s="33"/>
      <c r="AP1577" s="33"/>
      <c r="AQ1577" s="33"/>
      <c r="AR1577" s="33"/>
      <c r="AS1577" s="33"/>
      <c r="AT1577" s="33"/>
      <c r="AU1577" s="33"/>
      <c r="AV1577" s="33"/>
      <c r="AW1577" s="33"/>
      <c r="AX1577" s="33"/>
      <c r="AY1577" s="33"/>
      <c r="AZ1577" s="33"/>
      <c r="BA1577" s="33"/>
      <c r="BB1577" s="33"/>
      <c r="BC1577" s="33"/>
      <c r="BD1577" s="33"/>
      <c r="BE1577" s="33"/>
      <c r="BF1577" s="33"/>
      <c r="BG1577" s="33"/>
      <c r="BH1577" s="33"/>
      <c r="BI1577" s="33"/>
      <c r="BJ1577" s="33"/>
      <c r="BK1577" s="33"/>
      <c r="BL1577" s="33"/>
      <c r="BM1577" s="33"/>
      <c r="BN1577" s="33"/>
      <c r="BO1577" s="33"/>
      <c r="BP1577" s="33"/>
      <c r="BQ1577" s="33"/>
      <c r="BR1577" s="33"/>
      <c r="BS1577" s="33"/>
      <c r="BT1577" s="33"/>
      <c r="BU1577" s="33"/>
      <c r="BV1577" s="33"/>
      <c r="BW1577" s="33"/>
      <c r="BX1577" s="33"/>
      <c r="BY1577" s="33"/>
      <c r="BZ1577" s="33"/>
      <c r="CA1577" s="33"/>
      <c r="CB1577" s="33"/>
      <c r="CC1577" s="33"/>
      <c r="CD1577" s="33"/>
      <c r="CE1577" s="33"/>
      <c r="CF1577" s="33"/>
      <c r="CG1577" s="33"/>
      <c r="CH1577" s="33"/>
      <c r="CI1577" s="33"/>
      <c r="CJ1577" s="33"/>
      <c r="CK1577" s="33"/>
      <c r="CL1577" s="33"/>
      <c r="CM1577" s="33"/>
      <c r="CN1577" s="33"/>
      <c r="CO1577" s="33"/>
      <c r="CP1577" s="33"/>
      <c r="CQ1577" s="33"/>
      <c r="CR1577" s="33"/>
      <c r="CS1577" s="33"/>
      <c r="CT1577" s="33"/>
      <c r="CU1577" s="33"/>
      <c r="CV1577" s="33"/>
      <c r="CW1577" s="33"/>
      <c r="CX1577" s="33"/>
      <c r="CY1577" s="33"/>
      <c r="CZ1577" s="33"/>
      <c r="DA1577" s="33"/>
      <c r="DB1577" s="33"/>
      <c r="DC1577" s="33"/>
      <c r="DD1577" s="33"/>
      <c r="DE1577" s="33"/>
      <c r="DF1577" s="33"/>
      <c r="DG1577" s="33"/>
      <c r="DH1577" s="33"/>
      <c r="DI1577" s="33"/>
      <c r="DJ1577" s="33"/>
      <c r="DK1577" s="33"/>
      <c r="DL1577" s="33"/>
      <c r="DM1577" s="33"/>
      <c r="DN1577" s="33"/>
      <c r="DO1577" s="33"/>
      <c r="DP1577" s="33"/>
      <c r="DQ1577" s="33"/>
      <c r="DR1577" s="33"/>
      <c r="DS1577" s="33"/>
      <c r="DT1577" s="33"/>
      <c r="DU1577" s="33"/>
      <c r="DV1577" s="33"/>
      <c r="DW1577" s="33"/>
      <c r="DX1577" s="33"/>
      <c r="DY1577" s="33"/>
      <c r="DZ1577" s="33"/>
      <c r="EA1577" s="33"/>
      <c r="EB1577" s="33"/>
      <c r="EC1577" s="33"/>
      <c r="ED1577" s="33"/>
      <c r="EE1577" s="33"/>
      <c r="EF1577" s="33"/>
      <c r="EG1577" s="33"/>
      <c r="EH1577" s="33"/>
      <c r="EI1577" s="33"/>
      <c r="EJ1577" s="33"/>
      <c r="EK1577" s="33"/>
      <c r="EL1577" s="33"/>
      <c r="EM1577" s="33"/>
      <c r="EN1577" s="33"/>
      <c r="EO1577" s="33"/>
      <c r="EP1577" s="33"/>
      <c r="EQ1577" s="33"/>
      <c r="ER1577" s="33"/>
      <c r="ES1577" s="33"/>
      <c r="ET1577" s="33"/>
      <c r="EU1577" s="33"/>
      <c r="EV1577" s="33"/>
      <c r="EW1577" s="33"/>
      <c r="EX1577" s="33"/>
      <c r="EY1577" s="33"/>
      <c r="EZ1577" s="33"/>
      <c r="FA1577" s="33"/>
      <c r="FB1577" s="33"/>
      <c r="FC1577" s="33"/>
      <c r="FD1577" s="33"/>
      <c r="FE1577" s="33"/>
      <c r="FF1577" s="33"/>
      <c r="FG1577" s="33"/>
      <c r="FH1577" s="33"/>
      <c r="FI1577" s="33"/>
      <c r="FJ1577" s="33"/>
      <c r="FK1577" s="33"/>
      <c r="FL1577" s="33"/>
      <c r="FM1577" s="33"/>
      <c r="FN1577" s="33"/>
      <c r="FO1577" s="33"/>
      <c r="FP1577" s="33"/>
      <c r="FQ1577" s="33"/>
      <c r="FR1577" s="33"/>
      <c r="FS1577" s="33"/>
      <c r="FT1577" s="33"/>
      <c r="FU1577" s="33"/>
      <c r="FV1577" s="33"/>
      <c r="FW1577" s="33"/>
      <c r="FX1577" s="33"/>
      <c r="FY1577" s="33"/>
      <c r="FZ1577" s="33"/>
      <c r="GA1577" s="33"/>
      <c r="GB1577" s="33"/>
      <c r="GC1577" s="33"/>
      <c r="GD1577" s="33"/>
      <c r="GE1577" s="33"/>
      <c r="GF1577" s="33"/>
      <c r="GG1577" s="33"/>
      <c r="GH1577" s="33"/>
      <c r="GI1577" s="33"/>
      <c r="GJ1577" s="33"/>
      <c r="GK1577" s="33"/>
      <c r="GL1577" s="33"/>
      <c r="GM1577" s="33"/>
      <c r="GN1577" s="33"/>
      <c r="GO1577" s="33"/>
      <c r="GP1577" s="33"/>
      <c r="GQ1577" s="33"/>
      <c r="GR1577" s="33"/>
      <c r="GS1577" s="33"/>
      <c r="GT1577" s="33"/>
      <c r="GU1577" s="33"/>
      <c r="GV1577" s="33"/>
      <c r="GW1577" s="33"/>
      <c r="GX1577" s="33"/>
      <c r="GY1577" s="33"/>
      <c r="GZ1577" s="33"/>
      <c r="HA1577" s="33"/>
      <c r="HB1577" s="33"/>
      <c r="HC1577" s="33"/>
      <c r="HD1577" s="33"/>
      <c r="HE1577" s="33"/>
      <c r="HF1577" s="33"/>
      <c r="HG1577" s="33"/>
      <c r="HH1577" s="33"/>
      <c r="HI1577" s="33"/>
      <c r="HJ1577" s="33"/>
      <c r="HK1577" s="33"/>
      <c r="HL1577" s="33"/>
      <c r="HM1577" s="33"/>
      <c r="HN1577" s="33"/>
      <c r="HO1577" s="33"/>
      <c r="HP1577" s="33"/>
      <c r="HQ1577" s="33"/>
    </row>
    <row r="1578" spans="1:225" ht="15.75" customHeight="1" x14ac:dyDescent="0.35">
      <c r="A1578" s="308">
        <v>275</v>
      </c>
      <c r="B1578" s="308"/>
      <c r="C1578" s="301"/>
      <c r="D1578" s="274"/>
      <c r="E1578" s="274"/>
      <c r="F1578" s="293"/>
      <c r="G1578" s="308"/>
      <c r="H1578" s="116" t="s">
        <v>74</v>
      </c>
      <c r="I1578" s="86">
        <f>K1578*D1577</f>
        <v>14027856</v>
      </c>
      <c r="J1578" s="86">
        <f>I1578/D1577</f>
        <v>1632</v>
      </c>
      <c r="K1578" s="86">
        <v>1632</v>
      </c>
      <c r="L1578" s="33"/>
      <c r="M1578" s="33"/>
      <c r="N1578" s="33"/>
      <c r="O1578" s="33"/>
      <c r="P1578" s="33"/>
      <c r="Q1578" s="33"/>
      <c r="R1578" s="33"/>
      <c r="S1578" s="33"/>
      <c r="T1578" s="33"/>
      <c r="U1578" s="33"/>
      <c r="V1578" s="33"/>
      <c r="W1578" s="33"/>
      <c r="X1578" s="33"/>
      <c r="Y1578" s="33"/>
      <c r="Z1578" s="33"/>
      <c r="AA1578" s="33"/>
      <c r="AB1578" s="33"/>
      <c r="AC1578" s="33"/>
      <c r="AD1578" s="33"/>
      <c r="AE1578" s="33"/>
      <c r="AF1578" s="33"/>
      <c r="AG1578" s="33"/>
      <c r="AH1578" s="33"/>
      <c r="AI1578" s="33"/>
      <c r="AJ1578" s="33"/>
      <c r="AK1578" s="33"/>
      <c r="AL1578" s="33"/>
      <c r="AM1578" s="33"/>
      <c r="AN1578" s="33"/>
      <c r="AO1578" s="33"/>
      <c r="AP1578" s="33"/>
      <c r="AQ1578" s="33"/>
      <c r="AR1578" s="33"/>
      <c r="AS1578" s="33"/>
      <c r="AT1578" s="33"/>
      <c r="AU1578" s="33"/>
      <c r="AV1578" s="33"/>
      <c r="AW1578" s="33"/>
      <c r="AX1578" s="33"/>
      <c r="AY1578" s="33"/>
      <c r="AZ1578" s="33"/>
      <c r="BA1578" s="33"/>
      <c r="BB1578" s="33"/>
      <c r="BC1578" s="33"/>
      <c r="BD1578" s="33"/>
      <c r="BE1578" s="33"/>
      <c r="BF1578" s="33"/>
      <c r="BG1578" s="33"/>
      <c r="BH1578" s="33"/>
      <c r="BI1578" s="33"/>
      <c r="BJ1578" s="33"/>
      <c r="BK1578" s="33"/>
      <c r="BL1578" s="33"/>
      <c r="BM1578" s="33"/>
      <c r="BN1578" s="33"/>
      <c r="BO1578" s="33"/>
      <c r="BP1578" s="33"/>
      <c r="BQ1578" s="33"/>
      <c r="BR1578" s="33"/>
      <c r="BS1578" s="33"/>
      <c r="BT1578" s="33"/>
      <c r="BU1578" s="33"/>
      <c r="BV1578" s="33"/>
      <c r="BW1578" s="33"/>
      <c r="BX1578" s="33"/>
      <c r="BY1578" s="33"/>
      <c r="BZ1578" s="33"/>
      <c r="CA1578" s="33"/>
      <c r="CB1578" s="33"/>
      <c r="CC1578" s="33"/>
      <c r="CD1578" s="33"/>
      <c r="CE1578" s="33"/>
      <c r="CF1578" s="33"/>
      <c r="CG1578" s="33"/>
      <c r="CH1578" s="33"/>
      <c r="CI1578" s="33"/>
      <c r="CJ1578" s="33"/>
      <c r="CK1578" s="33"/>
      <c r="CL1578" s="33"/>
      <c r="CM1578" s="33"/>
      <c r="CN1578" s="33"/>
      <c r="CO1578" s="33"/>
      <c r="CP1578" s="33"/>
      <c r="CQ1578" s="33"/>
      <c r="CR1578" s="33"/>
      <c r="CS1578" s="33"/>
      <c r="CT1578" s="33"/>
      <c r="CU1578" s="33"/>
      <c r="CV1578" s="33"/>
      <c r="CW1578" s="33"/>
      <c r="CX1578" s="33"/>
      <c r="CY1578" s="33"/>
      <c r="CZ1578" s="33"/>
      <c r="DA1578" s="33"/>
      <c r="DB1578" s="33"/>
      <c r="DC1578" s="33"/>
      <c r="DD1578" s="33"/>
      <c r="DE1578" s="33"/>
      <c r="DF1578" s="33"/>
      <c r="DG1578" s="33"/>
      <c r="DH1578" s="33"/>
      <c r="DI1578" s="33"/>
      <c r="DJ1578" s="33"/>
      <c r="DK1578" s="33"/>
      <c r="DL1578" s="33"/>
      <c r="DM1578" s="33"/>
      <c r="DN1578" s="33"/>
      <c r="DO1578" s="33"/>
      <c r="DP1578" s="33"/>
      <c r="DQ1578" s="33"/>
      <c r="DR1578" s="33"/>
      <c r="DS1578" s="33"/>
      <c r="DT1578" s="33"/>
      <c r="DU1578" s="33"/>
      <c r="DV1578" s="33"/>
      <c r="DW1578" s="33"/>
      <c r="DX1578" s="33"/>
      <c r="DY1578" s="33"/>
      <c r="DZ1578" s="33"/>
      <c r="EA1578" s="33"/>
      <c r="EB1578" s="33"/>
      <c r="EC1578" s="33"/>
      <c r="ED1578" s="33"/>
      <c r="EE1578" s="33"/>
      <c r="EF1578" s="33"/>
      <c r="EG1578" s="33"/>
      <c r="EH1578" s="33"/>
      <c r="EI1578" s="33"/>
      <c r="EJ1578" s="33"/>
      <c r="EK1578" s="33"/>
      <c r="EL1578" s="33"/>
      <c r="EM1578" s="33"/>
      <c r="EN1578" s="33"/>
      <c r="EO1578" s="33"/>
      <c r="EP1578" s="33"/>
      <c r="EQ1578" s="33"/>
      <c r="ER1578" s="33"/>
      <c r="ES1578" s="33"/>
      <c r="ET1578" s="33"/>
      <c r="EU1578" s="33"/>
      <c r="EV1578" s="33"/>
      <c r="EW1578" s="33"/>
      <c r="EX1578" s="33"/>
      <c r="EY1578" s="33"/>
      <c r="EZ1578" s="33"/>
      <c r="FA1578" s="33"/>
      <c r="FB1578" s="33"/>
      <c r="FC1578" s="33"/>
      <c r="FD1578" s="33"/>
      <c r="FE1578" s="33"/>
      <c r="FF1578" s="33"/>
      <c r="FG1578" s="33"/>
      <c r="FH1578" s="33"/>
      <c r="FI1578" s="33"/>
      <c r="FJ1578" s="33"/>
      <c r="FK1578" s="33"/>
      <c r="FL1578" s="33"/>
      <c r="FM1578" s="33"/>
      <c r="FN1578" s="33"/>
      <c r="FO1578" s="33"/>
      <c r="FP1578" s="33"/>
      <c r="FQ1578" s="33"/>
      <c r="FR1578" s="33"/>
      <c r="FS1578" s="33"/>
      <c r="FT1578" s="33"/>
      <c r="FU1578" s="33"/>
      <c r="FV1578" s="33"/>
      <c r="FW1578" s="33"/>
      <c r="FX1578" s="33"/>
      <c r="FY1578" s="33"/>
      <c r="FZ1578" s="33"/>
      <c r="GA1578" s="33"/>
      <c r="GB1578" s="33"/>
      <c r="GC1578" s="33"/>
      <c r="GD1578" s="33"/>
      <c r="GE1578" s="33"/>
      <c r="GF1578" s="33"/>
      <c r="GG1578" s="33"/>
      <c r="GH1578" s="33"/>
      <c r="GI1578" s="33"/>
      <c r="GJ1578" s="33"/>
      <c r="GK1578" s="33"/>
      <c r="GL1578" s="33"/>
      <c r="GM1578" s="33"/>
      <c r="GN1578" s="33"/>
      <c r="GO1578" s="33"/>
      <c r="GP1578" s="33"/>
      <c r="GQ1578" s="33"/>
      <c r="GR1578" s="33"/>
      <c r="GS1578" s="33"/>
      <c r="GT1578" s="33"/>
      <c r="GU1578" s="33"/>
      <c r="GV1578" s="33"/>
      <c r="GW1578" s="33"/>
      <c r="GX1578" s="33"/>
      <c r="GY1578" s="33"/>
      <c r="GZ1578" s="33"/>
      <c r="HA1578" s="33"/>
      <c r="HB1578" s="33"/>
      <c r="HC1578" s="33"/>
      <c r="HD1578" s="33"/>
      <c r="HE1578" s="33"/>
      <c r="HF1578" s="33"/>
      <c r="HG1578" s="33"/>
      <c r="HH1578" s="33"/>
      <c r="HI1578" s="33"/>
      <c r="HJ1578" s="33"/>
      <c r="HK1578" s="33"/>
      <c r="HL1578" s="33"/>
      <c r="HM1578" s="33"/>
      <c r="HN1578" s="33"/>
      <c r="HO1578" s="33"/>
      <c r="HP1578" s="33"/>
      <c r="HQ1578" s="33"/>
    </row>
    <row r="1579" spans="1:225" ht="15.75" customHeight="1" x14ac:dyDescent="0.35">
      <c r="A1579" s="308">
        <v>276</v>
      </c>
      <c r="B1579" s="308"/>
      <c r="C1579" s="301"/>
      <c r="D1579" s="274"/>
      <c r="E1579" s="274"/>
      <c r="F1579" s="293"/>
      <c r="G1579" s="308"/>
      <c r="H1579" s="116" t="s">
        <v>76</v>
      </c>
      <c r="I1579" s="86">
        <f>K1579*D1577</f>
        <v>300842.5</v>
      </c>
      <c r="J1579" s="86">
        <f>I1579/D1577</f>
        <v>35</v>
      </c>
      <c r="K1579" s="86">
        <v>35</v>
      </c>
      <c r="L1579" s="33"/>
      <c r="M1579" s="33"/>
      <c r="N1579" s="33"/>
      <c r="O1579" s="33"/>
      <c r="P1579" s="33"/>
      <c r="Q1579" s="33"/>
      <c r="R1579" s="33"/>
      <c r="S1579" s="33"/>
      <c r="T1579" s="33"/>
      <c r="U1579" s="33"/>
      <c r="V1579" s="33"/>
      <c r="W1579" s="33"/>
      <c r="X1579" s="33"/>
      <c r="Y1579" s="33"/>
      <c r="Z1579" s="33"/>
      <c r="AA1579" s="33"/>
      <c r="AB1579" s="33"/>
      <c r="AC1579" s="33"/>
      <c r="AD1579" s="33"/>
      <c r="AE1579" s="33"/>
      <c r="AF1579" s="33"/>
      <c r="AG1579" s="33"/>
      <c r="AH1579" s="33"/>
      <c r="AI1579" s="33"/>
      <c r="AJ1579" s="33"/>
      <c r="AK1579" s="33"/>
      <c r="AL1579" s="33"/>
      <c r="AM1579" s="33"/>
      <c r="AN1579" s="33"/>
      <c r="AO1579" s="33"/>
      <c r="AP1579" s="33"/>
      <c r="AQ1579" s="33"/>
      <c r="AR1579" s="33"/>
      <c r="AS1579" s="33"/>
      <c r="AT1579" s="33"/>
      <c r="AU1579" s="33"/>
      <c r="AV1579" s="33"/>
      <c r="AW1579" s="33"/>
      <c r="AX1579" s="33"/>
      <c r="AY1579" s="33"/>
      <c r="AZ1579" s="33"/>
      <c r="BA1579" s="33"/>
      <c r="BB1579" s="33"/>
      <c r="BC1579" s="33"/>
      <c r="BD1579" s="33"/>
      <c r="BE1579" s="33"/>
      <c r="BF1579" s="33"/>
      <c r="BG1579" s="33"/>
      <c r="BH1579" s="33"/>
      <c r="BI1579" s="33"/>
      <c r="BJ1579" s="33"/>
      <c r="BK1579" s="33"/>
      <c r="BL1579" s="33"/>
      <c r="BM1579" s="33"/>
      <c r="BN1579" s="33"/>
      <c r="BO1579" s="33"/>
      <c r="BP1579" s="33"/>
      <c r="BQ1579" s="33"/>
      <c r="BR1579" s="33"/>
      <c r="BS1579" s="33"/>
      <c r="BT1579" s="33"/>
      <c r="BU1579" s="33"/>
      <c r="BV1579" s="33"/>
      <c r="BW1579" s="33"/>
      <c r="BX1579" s="33"/>
      <c r="BY1579" s="33"/>
      <c r="BZ1579" s="33"/>
      <c r="CA1579" s="33"/>
      <c r="CB1579" s="33"/>
      <c r="CC1579" s="33"/>
      <c r="CD1579" s="33"/>
      <c r="CE1579" s="33"/>
      <c r="CF1579" s="33"/>
      <c r="CG1579" s="33"/>
      <c r="CH1579" s="33"/>
      <c r="CI1579" s="33"/>
      <c r="CJ1579" s="33"/>
      <c r="CK1579" s="33"/>
      <c r="CL1579" s="33"/>
      <c r="CM1579" s="33"/>
      <c r="CN1579" s="33"/>
      <c r="CO1579" s="33"/>
      <c r="CP1579" s="33"/>
      <c r="CQ1579" s="33"/>
      <c r="CR1579" s="33"/>
      <c r="CS1579" s="33"/>
      <c r="CT1579" s="33"/>
      <c r="CU1579" s="33"/>
      <c r="CV1579" s="33"/>
      <c r="CW1579" s="33"/>
      <c r="CX1579" s="33"/>
      <c r="CY1579" s="33"/>
      <c r="CZ1579" s="33"/>
      <c r="DA1579" s="33"/>
      <c r="DB1579" s="33"/>
      <c r="DC1579" s="33"/>
      <c r="DD1579" s="33"/>
      <c r="DE1579" s="33"/>
      <c r="DF1579" s="33"/>
      <c r="DG1579" s="33"/>
      <c r="DH1579" s="33"/>
      <c r="DI1579" s="33"/>
      <c r="DJ1579" s="33"/>
      <c r="DK1579" s="33"/>
      <c r="DL1579" s="33"/>
      <c r="DM1579" s="33"/>
      <c r="DN1579" s="33"/>
      <c r="DO1579" s="33"/>
      <c r="DP1579" s="33"/>
      <c r="DQ1579" s="33"/>
      <c r="DR1579" s="33"/>
      <c r="DS1579" s="33"/>
      <c r="DT1579" s="33"/>
      <c r="DU1579" s="33"/>
      <c r="DV1579" s="33"/>
      <c r="DW1579" s="33"/>
      <c r="DX1579" s="33"/>
      <c r="DY1579" s="33"/>
      <c r="DZ1579" s="33"/>
      <c r="EA1579" s="33"/>
      <c r="EB1579" s="33"/>
      <c r="EC1579" s="33"/>
      <c r="ED1579" s="33"/>
      <c r="EE1579" s="33"/>
      <c r="EF1579" s="33"/>
      <c r="EG1579" s="33"/>
      <c r="EH1579" s="33"/>
      <c r="EI1579" s="33"/>
      <c r="EJ1579" s="33"/>
      <c r="EK1579" s="33"/>
      <c r="EL1579" s="33"/>
      <c r="EM1579" s="33"/>
      <c r="EN1579" s="33"/>
      <c r="EO1579" s="33"/>
      <c r="EP1579" s="33"/>
      <c r="EQ1579" s="33"/>
      <c r="ER1579" s="33"/>
      <c r="ES1579" s="33"/>
      <c r="ET1579" s="33"/>
      <c r="EU1579" s="33"/>
      <c r="EV1579" s="33"/>
      <c r="EW1579" s="33"/>
      <c r="EX1579" s="33"/>
      <c r="EY1579" s="33"/>
      <c r="EZ1579" s="33"/>
      <c r="FA1579" s="33"/>
      <c r="FB1579" s="33"/>
      <c r="FC1579" s="33"/>
      <c r="FD1579" s="33"/>
      <c r="FE1579" s="33"/>
      <c r="FF1579" s="33"/>
      <c r="FG1579" s="33"/>
      <c r="FH1579" s="33"/>
      <c r="FI1579" s="33"/>
      <c r="FJ1579" s="33"/>
      <c r="FK1579" s="33"/>
      <c r="FL1579" s="33"/>
      <c r="FM1579" s="33"/>
      <c r="FN1579" s="33"/>
      <c r="FO1579" s="33"/>
      <c r="FP1579" s="33"/>
      <c r="FQ1579" s="33"/>
      <c r="FR1579" s="33"/>
      <c r="FS1579" s="33"/>
      <c r="FT1579" s="33"/>
      <c r="FU1579" s="33"/>
      <c r="FV1579" s="33"/>
      <c r="FW1579" s="33"/>
      <c r="FX1579" s="33"/>
      <c r="FY1579" s="33"/>
      <c r="FZ1579" s="33"/>
      <c r="GA1579" s="33"/>
      <c r="GB1579" s="33"/>
      <c r="GC1579" s="33"/>
      <c r="GD1579" s="33"/>
      <c r="GE1579" s="33"/>
      <c r="GF1579" s="33"/>
      <c r="GG1579" s="33"/>
      <c r="GH1579" s="33"/>
      <c r="GI1579" s="33"/>
      <c r="GJ1579" s="33"/>
      <c r="GK1579" s="33"/>
      <c r="GL1579" s="33"/>
      <c r="GM1579" s="33"/>
      <c r="GN1579" s="33"/>
      <c r="GO1579" s="33"/>
      <c r="GP1579" s="33"/>
      <c r="GQ1579" s="33"/>
      <c r="GR1579" s="33"/>
      <c r="GS1579" s="33"/>
      <c r="GT1579" s="33"/>
      <c r="GU1579" s="33"/>
      <c r="GV1579" s="33"/>
      <c r="GW1579" s="33"/>
      <c r="GX1579" s="33"/>
      <c r="GY1579" s="33"/>
      <c r="GZ1579" s="33"/>
      <c r="HA1579" s="33"/>
      <c r="HB1579" s="33"/>
      <c r="HC1579" s="33"/>
      <c r="HD1579" s="33"/>
      <c r="HE1579" s="33"/>
      <c r="HF1579" s="33"/>
      <c r="HG1579" s="33"/>
      <c r="HH1579" s="33"/>
      <c r="HI1579" s="33"/>
      <c r="HJ1579" s="33"/>
      <c r="HK1579" s="33"/>
      <c r="HL1579" s="33"/>
      <c r="HM1579" s="33"/>
      <c r="HN1579" s="33"/>
      <c r="HO1579" s="33"/>
      <c r="HP1579" s="33"/>
      <c r="HQ1579" s="33"/>
    </row>
    <row r="1580" spans="1:225" ht="15.75" customHeight="1" x14ac:dyDescent="0.35">
      <c r="A1580" s="285">
        <f>A1577+1</f>
        <v>15</v>
      </c>
      <c r="B1580" s="285">
        <v>5140</v>
      </c>
      <c r="C1580" s="295" t="s">
        <v>541</v>
      </c>
      <c r="D1580" s="279">
        <v>8292.2000000000007</v>
      </c>
      <c r="E1580" s="279" t="s">
        <v>75</v>
      </c>
      <c r="F1580" s="291">
        <v>9</v>
      </c>
      <c r="G1580" s="285" t="s">
        <v>72</v>
      </c>
      <c r="H1580" s="116" t="s">
        <v>73</v>
      </c>
      <c r="I1580" s="86">
        <f>I1582+I1581</f>
        <v>5444658.5199999996</v>
      </c>
      <c r="J1580" s="86">
        <f>J1582+J1581</f>
        <v>656.6</v>
      </c>
      <c r="K1580" s="86">
        <f>K1582+K1581</f>
        <v>1799</v>
      </c>
      <c r="L1580" s="33"/>
      <c r="M1580" s="33"/>
      <c r="N1580" s="33"/>
      <c r="O1580" s="33"/>
      <c r="P1580" s="33"/>
      <c r="Q1580" s="33"/>
      <c r="R1580" s="33"/>
      <c r="S1580" s="33"/>
      <c r="T1580" s="33"/>
      <c r="U1580" s="33"/>
      <c r="V1580" s="33"/>
      <c r="W1580" s="33"/>
      <c r="X1580" s="33"/>
      <c r="Y1580" s="33"/>
      <c r="Z1580" s="33"/>
      <c r="AA1580" s="33"/>
      <c r="AB1580" s="33"/>
      <c r="AC1580" s="33"/>
      <c r="AD1580" s="33"/>
      <c r="AE1580" s="33"/>
      <c r="AF1580" s="33"/>
      <c r="AG1580" s="33"/>
      <c r="AH1580" s="33"/>
      <c r="AI1580" s="33"/>
      <c r="AJ1580" s="33"/>
      <c r="AK1580" s="33"/>
      <c r="AL1580" s="33"/>
      <c r="AM1580" s="33"/>
      <c r="AN1580" s="33"/>
      <c r="AO1580" s="33"/>
      <c r="AP1580" s="33"/>
      <c r="AQ1580" s="33"/>
      <c r="AR1580" s="33"/>
      <c r="AS1580" s="33"/>
      <c r="AT1580" s="33"/>
      <c r="AU1580" s="33"/>
      <c r="AV1580" s="33"/>
      <c r="AW1580" s="33"/>
      <c r="AX1580" s="33"/>
      <c r="AY1580" s="33"/>
      <c r="AZ1580" s="33"/>
      <c r="BA1580" s="33"/>
      <c r="BB1580" s="33"/>
      <c r="BC1580" s="33"/>
      <c r="BD1580" s="33"/>
      <c r="BE1580" s="33"/>
      <c r="BF1580" s="33"/>
      <c r="BG1580" s="33"/>
      <c r="BH1580" s="33"/>
      <c r="BI1580" s="33"/>
      <c r="BJ1580" s="33"/>
      <c r="BK1580" s="33"/>
      <c r="BL1580" s="33"/>
      <c r="BM1580" s="33"/>
      <c r="BN1580" s="33"/>
      <c r="BO1580" s="33"/>
      <c r="BP1580" s="33"/>
      <c r="BQ1580" s="33"/>
      <c r="BR1580" s="33"/>
      <c r="BS1580" s="33"/>
      <c r="BT1580" s="33"/>
      <c r="BU1580" s="33"/>
      <c r="BV1580" s="33"/>
      <c r="BW1580" s="33"/>
      <c r="BX1580" s="33"/>
      <c r="BY1580" s="33"/>
      <c r="BZ1580" s="33"/>
      <c r="CA1580" s="33"/>
      <c r="CB1580" s="33"/>
      <c r="CC1580" s="33"/>
      <c r="CD1580" s="33"/>
      <c r="CE1580" s="33"/>
      <c r="CF1580" s="33"/>
      <c r="CG1580" s="33"/>
      <c r="CH1580" s="33"/>
      <c r="CI1580" s="33"/>
      <c r="CJ1580" s="33"/>
      <c r="CK1580" s="33"/>
      <c r="CL1580" s="33"/>
      <c r="CM1580" s="33"/>
      <c r="CN1580" s="33"/>
      <c r="CO1580" s="33"/>
      <c r="CP1580" s="33"/>
      <c r="CQ1580" s="33"/>
      <c r="CR1580" s="33"/>
      <c r="CS1580" s="33"/>
      <c r="CT1580" s="33"/>
      <c r="CU1580" s="33"/>
      <c r="CV1580" s="33"/>
      <c r="CW1580" s="33"/>
      <c r="CX1580" s="33"/>
      <c r="CY1580" s="33"/>
      <c r="CZ1580" s="33"/>
      <c r="DA1580" s="33"/>
      <c r="DB1580" s="33"/>
      <c r="DC1580" s="33"/>
      <c r="DD1580" s="33"/>
      <c r="DE1580" s="33"/>
      <c r="DF1580" s="33"/>
      <c r="DG1580" s="33"/>
      <c r="DH1580" s="33"/>
      <c r="DI1580" s="33"/>
      <c r="DJ1580" s="33"/>
      <c r="DK1580" s="33"/>
      <c r="DL1580" s="33"/>
      <c r="DM1580" s="33"/>
      <c r="DN1580" s="33"/>
      <c r="DO1580" s="33"/>
      <c r="DP1580" s="33"/>
      <c r="DQ1580" s="33"/>
      <c r="DR1580" s="33"/>
      <c r="DS1580" s="33"/>
      <c r="DT1580" s="33"/>
      <c r="DU1580" s="33"/>
      <c r="DV1580" s="33"/>
      <c r="DW1580" s="33"/>
      <c r="DX1580" s="33"/>
      <c r="DY1580" s="33"/>
      <c r="DZ1580" s="33"/>
      <c r="EA1580" s="33"/>
      <c r="EB1580" s="33"/>
      <c r="EC1580" s="33"/>
      <c r="ED1580" s="33"/>
      <c r="EE1580" s="33"/>
      <c r="EF1580" s="33"/>
      <c r="EG1580" s="33"/>
      <c r="EH1580" s="33"/>
      <c r="EI1580" s="33"/>
      <c r="EJ1580" s="33"/>
      <c r="EK1580" s="33"/>
      <c r="EL1580" s="33"/>
      <c r="EM1580" s="33"/>
      <c r="EN1580" s="33"/>
      <c r="EO1580" s="33"/>
      <c r="EP1580" s="33"/>
      <c r="EQ1580" s="33"/>
      <c r="ER1580" s="33"/>
      <c r="ES1580" s="33"/>
      <c r="ET1580" s="33"/>
      <c r="EU1580" s="33"/>
      <c r="EV1580" s="33"/>
      <c r="EW1580" s="33"/>
      <c r="EX1580" s="33"/>
      <c r="EY1580" s="33"/>
      <c r="EZ1580" s="33"/>
      <c r="FA1580" s="33"/>
      <c r="FB1580" s="33"/>
      <c r="FC1580" s="33"/>
      <c r="FD1580" s="33"/>
      <c r="FE1580" s="33"/>
      <c r="FF1580" s="33"/>
      <c r="FG1580" s="33"/>
      <c r="FH1580" s="33"/>
      <c r="FI1580" s="33"/>
      <c r="FJ1580" s="33"/>
      <c r="FK1580" s="33"/>
      <c r="FL1580" s="33"/>
      <c r="FM1580" s="33"/>
      <c r="FN1580" s="33"/>
      <c r="FO1580" s="33"/>
      <c r="FP1580" s="33"/>
      <c r="FQ1580" s="33"/>
      <c r="FR1580" s="33"/>
      <c r="FS1580" s="33"/>
      <c r="FT1580" s="33"/>
      <c r="FU1580" s="33"/>
      <c r="FV1580" s="33"/>
      <c r="FW1580" s="33"/>
      <c r="FX1580" s="33"/>
      <c r="FY1580" s="33"/>
      <c r="FZ1580" s="33"/>
      <c r="GA1580" s="33"/>
      <c r="GB1580" s="33"/>
      <c r="GC1580" s="33"/>
      <c r="GD1580" s="33"/>
      <c r="GE1580" s="33"/>
      <c r="GF1580" s="33"/>
      <c r="GG1580" s="33"/>
      <c r="GH1580" s="33"/>
      <c r="GI1580" s="33"/>
      <c r="GJ1580" s="33"/>
      <c r="GK1580" s="33"/>
      <c r="GL1580" s="33"/>
      <c r="GM1580" s="33"/>
      <c r="GN1580" s="33"/>
      <c r="GO1580" s="33"/>
      <c r="GP1580" s="33"/>
      <c r="GQ1580" s="33"/>
      <c r="GR1580" s="33"/>
      <c r="GS1580" s="33"/>
      <c r="GT1580" s="33"/>
      <c r="GU1580" s="33"/>
      <c r="GV1580" s="33"/>
      <c r="GW1580" s="33"/>
      <c r="GX1580" s="33"/>
      <c r="GY1580" s="33"/>
      <c r="GZ1580" s="33"/>
      <c r="HA1580" s="33"/>
      <c r="HB1580" s="33"/>
      <c r="HC1580" s="33"/>
      <c r="HD1580" s="33"/>
      <c r="HE1580" s="33"/>
      <c r="HF1580" s="33"/>
      <c r="HG1580" s="33"/>
      <c r="HH1580" s="33"/>
      <c r="HI1580" s="33"/>
      <c r="HJ1580" s="33"/>
      <c r="HK1580" s="33"/>
      <c r="HL1580" s="33"/>
      <c r="HM1580" s="33"/>
      <c r="HN1580" s="33"/>
      <c r="HO1580" s="33"/>
      <c r="HP1580" s="33"/>
      <c r="HQ1580" s="33"/>
    </row>
    <row r="1581" spans="1:225" ht="46.5" x14ac:dyDescent="0.35">
      <c r="A1581" s="286"/>
      <c r="B1581" s="286"/>
      <c r="C1581" s="296"/>
      <c r="D1581" s="280"/>
      <c r="E1581" s="280"/>
      <c r="F1581" s="292"/>
      <c r="G1581" s="286"/>
      <c r="H1581" s="159" t="s">
        <v>705</v>
      </c>
      <c r="I1581" s="86">
        <f>D1580*K1581</f>
        <v>1384797.4</v>
      </c>
      <c r="J1581" s="86">
        <f>I1581/D1580</f>
        <v>167</v>
      </c>
      <c r="K1581" s="86">
        <f>154+13</f>
        <v>167</v>
      </c>
      <c r="L1581" s="33"/>
      <c r="M1581" s="33"/>
      <c r="N1581" s="33"/>
      <c r="O1581" s="33"/>
      <c r="P1581" s="33"/>
      <c r="Q1581" s="33"/>
      <c r="R1581" s="33"/>
      <c r="S1581" s="33"/>
      <c r="T1581" s="33"/>
      <c r="U1581" s="33"/>
      <c r="V1581" s="33"/>
      <c r="W1581" s="33"/>
      <c r="X1581" s="33"/>
      <c r="Y1581" s="33"/>
      <c r="Z1581" s="33"/>
      <c r="AA1581" s="33"/>
      <c r="AB1581" s="33"/>
      <c r="AC1581" s="33"/>
      <c r="AD1581" s="33"/>
      <c r="AE1581" s="33"/>
      <c r="AF1581" s="33"/>
      <c r="AG1581" s="33"/>
      <c r="AH1581" s="33"/>
      <c r="AI1581" s="33"/>
      <c r="AJ1581" s="33"/>
      <c r="AK1581" s="33"/>
      <c r="AL1581" s="33"/>
      <c r="AM1581" s="33"/>
      <c r="AN1581" s="33"/>
      <c r="AO1581" s="33"/>
      <c r="AP1581" s="33"/>
      <c r="AQ1581" s="33"/>
      <c r="AR1581" s="33"/>
      <c r="AS1581" s="33"/>
      <c r="AT1581" s="33"/>
      <c r="AU1581" s="33"/>
      <c r="AV1581" s="33"/>
      <c r="AW1581" s="33"/>
      <c r="AX1581" s="33"/>
      <c r="AY1581" s="33"/>
      <c r="AZ1581" s="33"/>
      <c r="BA1581" s="33"/>
      <c r="BB1581" s="33"/>
      <c r="BC1581" s="33"/>
      <c r="BD1581" s="33"/>
      <c r="BE1581" s="33"/>
      <c r="BF1581" s="33"/>
      <c r="BG1581" s="33"/>
      <c r="BH1581" s="33"/>
      <c r="BI1581" s="33"/>
      <c r="BJ1581" s="33"/>
      <c r="BK1581" s="33"/>
      <c r="BL1581" s="33"/>
      <c r="BM1581" s="33"/>
      <c r="BN1581" s="33"/>
      <c r="BO1581" s="33"/>
      <c r="BP1581" s="33"/>
      <c r="BQ1581" s="33"/>
      <c r="BR1581" s="33"/>
      <c r="BS1581" s="33"/>
      <c r="BT1581" s="33"/>
      <c r="BU1581" s="33"/>
      <c r="BV1581" s="33"/>
      <c r="BW1581" s="33"/>
      <c r="BX1581" s="33"/>
      <c r="BY1581" s="33"/>
      <c r="BZ1581" s="33"/>
      <c r="CA1581" s="33"/>
      <c r="CB1581" s="33"/>
      <c r="CC1581" s="33"/>
      <c r="CD1581" s="33"/>
      <c r="CE1581" s="33"/>
      <c r="CF1581" s="33"/>
      <c r="CG1581" s="33"/>
      <c r="CH1581" s="33"/>
      <c r="CI1581" s="33"/>
      <c r="CJ1581" s="33"/>
      <c r="CK1581" s="33"/>
      <c r="CL1581" s="33"/>
      <c r="CM1581" s="33"/>
      <c r="CN1581" s="33"/>
      <c r="CO1581" s="33"/>
      <c r="CP1581" s="33"/>
      <c r="CQ1581" s="33"/>
      <c r="CR1581" s="33"/>
      <c r="CS1581" s="33"/>
      <c r="CT1581" s="33"/>
      <c r="CU1581" s="33"/>
      <c r="CV1581" s="33"/>
      <c r="CW1581" s="33"/>
      <c r="CX1581" s="33"/>
      <c r="CY1581" s="33"/>
      <c r="CZ1581" s="33"/>
      <c r="DA1581" s="33"/>
      <c r="DB1581" s="33"/>
      <c r="DC1581" s="33"/>
      <c r="DD1581" s="33"/>
      <c r="DE1581" s="33"/>
      <c r="DF1581" s="33"/>
      <c r="DG1581" s="33"/>
      <c r="DH1581" s="33"/>
      <c r="DI1581" s="33"/>
      <c r="DJ1581" s="33"/>
      <c r="DK1581" s="33"/>
      <c r="DL1581" s="33"/>
      <c r="DM1581" s="33"/>
      <c r="DN1581" s="33"/>
      <c r="DO1581" s="33"/>
      <c r="DP1581" s="33"/>
      <c r="DQ1581" s="33"/>
      <c r="DR1581" s="33"/>
      <c r="DS1581" s="33"/>
      <c r="DT1581" s="33"/>
      <c r="DU1581" s="33"/>
      <c r="DV1581" s="33"/>
      <c r="DW1581" s="33"/>
      <c r="DX1581" s="33"/>
      <c r="DY1581" s="33"/>
      <c r="DZ1581" s="33"/>
      <c r="EA1581" s="33"/>
      <c r="EB1581" s="33"/>
      <c r="EC1581" s="33"/>
      <c r="ED1581" s="33"/>
      <c r="EE1581" s="33"/>
      <c r="EF1581" s="33"/>
      <c r="EG1581" s="33"/>
      <c r="EH1581" s="33"/>
      <c r="EI1581" s="33"/>
      <c r="EJ1581" s="33"/>
      <c r="EK1581" s="33"/>
      <c r="EL1581" s="33"/>
      <c r="EM1581" s="33"/>
      <c r="EN1581" s="33"/>
      <c r="EO1581" s="33"/>
      <c r="EP1581" s="33"/>
      <c r="EQ1581" s="33"/>
      <c r="ER1581" s="33"/>
      <c r="ES1581" s="33"/>
      <c r="ET1581" s="33"/>
      <c r="EU1581" s="33"/>
      <c r="EV1581" s="33"/>
      <c r="EW1581" s="33"/>
      <c r="EX1581" s="33"/>
      <c r="EY1581" s="33"/>
      <c r="EZ1581" s="33"/>
      <c r="FA1581" s="33"/>
      <c r="FB1581" s="33"/>
      <c r="FC1581" s="33"/>
      <c r="FD1581" s="33"/>
      <c r="FE1581" s="33"/>
      <c r="FF1581" s="33"/>
      <c r="FG1581" s="33"/>
      <c r="FH1581" s="33"/>
      <c r="FI1581" s="33"/>
      <c r="FJ1581" s="33"/>
      <c r="FK1581" s="33"/>
      <c r="FL1581" s="33"/>
      <c r="FM1581" s="33"/>
      <c r="FN1581" s="33"/>
      <c r="FO1581" s="33"/>
      <c r="FP1581" s="33"/>
      <c r="FQ1581" s="33"/>
      <c r="FR1581" s="33"/>
      <c r="FS1581" s="33"/>
      <c r="FT1581" s="33"/>
      <c r="FU1581" s="33"/>
      <c r="FV1581" s="33"/>
      <c r="FW1581" s="33"/>
      <c r="FX1581" s="33"/>
      <c r="FY1581" s="33"/>
      <c r="FZ1581" s="33"/>
      <c r="GA1581" s="33"/>
      <c r="GB1581" s="33"/>
      <c r="GC1581" s="33"/>
      <c r="GD1581" s="33"/>
      <c r="GE1581" s="33"/>
      <c r="GF1581" s="33"/>
      <c r="GG1581" s="33"/>
      <c r="GH1581" s="33"/>
      <c r="GI1581" s="33"/>
      <c r="GJ1581" s="33"/>
      <c r="GK1581" s="33"/>
      <c r="GL1581" s="33"/>
      <c r="GM1581" s="33"/>
      <c r="GN1581" s="33"/>
      <c r="GO1581" s="33"/>
      <c r="GP1581" s="33"/>
      <c r="GQ1581" s="33"/>
      <c r="GR1581" s="33"/>
      <c r="GS1581" s="33"/>
      <c r="GT1581" s="33"/>
      <c r="GU1581" s="33"/>
      <c r="GV1581" s="33"/>
      <c r="GW1581" s="33"/>
      <c r="GX1581" s="33"/>
      <c r="GY1581" s="33"/>
      <c r="GZ1581" s="33"/>
      <c r="HA1581" s="33"/>
      <c r="HB1581" s="33"/>
      <c r="HC1581" s="33"/>
      <c r="HD1581" s="33"/>
      <c r="HE1581" s="33"/>
      <c r="HF1581" s="33"/>
      <c r="HG1581" s="33"/>
      <c r="HH1581" s="33"/>
      <c r="HI1581" s="33"/>
      <c r="HJ1581" s="33"/>
      <c r="HK1581" s="33"/>
      <c r="HL1581" s="33"/>
      <c r="HM1581" s="33"/>
      <c r="HN1581" s="33"/>
      <c r="HO1581" s="33"/>
      <c r="HP1581" s="33"/>
      <c r="HQ1581" s="33"/>
    </row>
    <row r="1582" spans="1:225" x14ac:dyDescent="0.35">
      <c r="A1582" s="287"/>
      <c r="B1582" s="287"/>
      <c r="C1582" s="297"/>
      <c r="D1582" s="281"/>
      <c r="E1582" s="281"/>
      <c r="F1582" s="294"/>
      <c r="G1582" s="287"/>
      <c r="H1582" s="116" t="s">
        <v>74</v>
      </c>
      <c r="I1582" s="86">
        <f>D1580*K1582*30/100</f>
        <v>4059861.12</v>
      </c>
      <c r="J1582" s="86">
        <f>I1582/D1580</f>
        <v>489.6</v>
      </c>
      <c r="K1582" s="86">
        <v>1632</v>
      </c>
      <c r="L1582" s="33"/>
      <c r="M1582" s="33"/>
      <c r="N1582" s="33"/>
      <c r="O1582" s="33"/>
      <c r="P1582" s="33"/>
      <c r="Q1582" s="33"/>
      <c r="R1582" s="33"/>
      <c r="S1582" s="33"/>
      <c r="T1582" s="33"/>
      <c r="U1582" s="33"/>
      <c r="V1582" s="33"/>
      <c r="W1582" s="33"/>
      <c r="X1582" s="33"/>
      <c r="Y1582" s="33"/>
      <c r="Z1582" s="33"/>
      <c r="AA1582" s="33"/>
      <c r="AB1582" s="33"/>
      <c r="AC1582" s="33"/>
      <c r="AD1582" s="33"/>
      <c r="AE1582" s="33"/>
      <c r="AF1582" s="33"/>
      <c r="AG1582" s="33"/>
      <c r="AH1582" s="33"/>
      <c r="AI1582" s="33"/>
      <c r="AJ1582" s="33"/>
      <c r="AK1582" s="33"/>
      <c r="AL1582" s="33"/>
      <c r="AM1582" s="33"/>
      <c r="AN1582" s="33"/>
      <c r="AO1582" s="33"/>
      <c r="AP1582" s="33"/>
      <c r="AQ1582" s="33"/>
      <c r="AR1582" s="33"/>
      <c r="AS1582" s="33"/>
      <c r="AT1582" s="33"/>
      <c r="AU1582" s="33"/>
      <c r="AV1582" s="33"/>
      <c r="AW1582" s="33"/>
      <c r="AX1582" s="33"/>
      <c r="AY1582" s="33"/>
      <c r="AZ1582" s="33"/>
      <c r="BA1582" s="33"/>
      <c r="BB1582" s="33"/>
      <c r="BC1582" s="33"/>
      <c r="BD1582" s="33"/>
      <c r="BE1582" s="33"/>
      <c r="BF1582" s="33"/>
      <c r="BG1582" s="33"/>
      <c r="BH1582" s="33"/>
      <c r="BI1582" s="33"/>
      <c r="BJ1582" s="33"/>
      <c r="BK1582" s="33"/>
      <c r="BL1582" s="33"/>
      <c r="BM1582" s="33"/>
      <c r="BN1582" s="33"/>
      <c r="BO1582" s="33"/>
      <c r="BP1582" s="33"/>
      <c r="BQ1582" s="33"/>
      <c r="BR1582" s="33"/>
      <c r="BS1582" s="33"/>
      <c r="BT1582" s="33"/>
      <c r="BU1582" s="33"/>
      <c r="BV1582" s="33"/>
      <c r="BW1582" s="33"/>
      <c r="BX1582" s="33"/>
      <c r="BY1582" s="33"/>
      <c r="BZ1582" s="33"/>
      <c r="CA1582" s="33"/>
      <c r="CB1582" s="33"/>
      <c r="CC1582" s="33"/>
      <c r="CD1582" s="33"/>
      <c r="CE1582" s="33"/>
      <c r="CF1582" s="33"/>
      <c r="CG1582" s="33"/>
      <c r="CH1582" s="33"/>
      <c r="CI1582" s="33"/>
      <c r="CJ1582" s="33"/>
      <c r="CK1582" s="33"/>
      <c r="CL1582" s="33"/>
      <c r="CM1582" s="33"/>
      <c r="CN1582" s="33"/>
      <c r="CO1582" s="33"/>
      <c r="CP1582" s="33"/>
      <c r="CQ1582" s="33"/>
      <c r="CR1582" s="33"/>
      <c r="CS1582" s="33"/>
      <c r="CT1582" s="33"/>
      <c r="CU1582" s="33"/>
      <c r="CV1582" s="33"/>
      <c r="CW1582" s="33"/>
      <c r="CX1582" s="33"/>
      <c r="CY1582" s="33"/>
      <c r="CZ1582" s="33"/>
      <c r="DA1582" s="33"/>
      <c r="DB1582" s="33"/>
      <c r="DC1582" s="33"/>
      <c r="DD1582" s="33"/>
      <c r="DE1582" s="33"/>
      <c r="DF1582" s="33"/>
      <c r="DG1582" s="33"/>
      <c r="DH1582" s="33"/>
      <c r="DI1582" s="33"/>
      <c r="DJ1582" s="33"/>
      <c r="DK1582" s="33"/>
      <c r="DL1582" s="33"/>
      <c r="DM1582" s="33"/>
      <c r="DN1582" s="33"/>
      <c r="DO1582" s="33"/>
      <c r="DP1582" s="33"/>
      <c r="DQ1582" s="33"/>
      <c r="DR1582" s="33"/>
      <c r="DS1582" s="33"/>
      <c r="DT1582" s="33"/>
      <c r="DU1582" s="33"/>
      <c r="DV1582" s="33"/>
      <c r="DW1582" s="33"/>
      <c r="DX1582" s="33"/>
      <c r="DY1582" s="33"/>
      <c r="DZ1582" s="33"/>
      <c r="EA1582" s="33"/>
      <c r="EB1582" s="33"/>
      <c r="EC1582" s="33"/>
      <c r="ED1582" s="33"/>
      <c r="EE1582" s="33"/>
      <c r="EF1582" s="33"/>
      <c r="EG1582" s="33"/>
      <c r="EH1582" s="33"/>
      <c r="EI1582" s="33"/>
      <c r="EJ1582" s="33"/>
      <c r="EK1582" s="33"/>
      <c r="EL1582" s="33"/>
      <c r="EM1582" s="33"/>
      <c r="EN1582" s="33"/>
      <c r="EO1582" s="33"/>
      <c r="EP1582" s="33"/>
      <c r="EQ1582" s="33"/>
      <c r="ER1582" s="33"/>
      <c r="ES1582" s="33"/>
      <c r="ET1582" s="33"/>
      <c r="EU1582" s="33"/>
      <c r="EV1582" s="33"/>
      <c r="EW1582" s="33"/>
      <c r="EX1582" s="33"/>
      <c r="EY1582" s="33"/>
      <c r="EZ1582" s="33"/>
      <c r="FA1582" s="33"/>
      <c r="FB1582" s="33"/>
      <c r="FC1582" s="33"/>
      <c r="FD1582" s="33"/>
      <c r="FE1582" s="33"/>
      <c r="FF1582" s="33"/>
      <c r="FG1582" s="33"/>
      <c r="FH1582" s="33"/>
      <c r="FI1582" s="33"/>
      <c r="FJ1582" s="33"/>
      <c r="FK1582" s="33"/>
      <c r="FL1582" s="33"/>
      <c r="FM1582" s="33"/>
      <c r="FN1582" s="33"/>
      <c r="FO1582" s="33"/>
      <c r="FP1582" s="33"/>
      <c r="FQ1582" s="33"/>
      <c r="FR1582" s="33"/>
      <c r="FS1582" s="33"/>
      <c r="FT1582" s="33"/>
      <c r="FU1582" s="33"/>
      <c r="FV1582" s="33"/>
      <c r="FW1582" s="33"/>
      <c r="FX1582" s="33"/>
      <c r="FY1582" s="33"/>
      <c r="FZ1582" s="33"/>
      <c r="GA1582" s="33"/>
      <c r="GB1582" s="33"/>
      <c r="GC1582" s="33"/>
      <c r="GD1582" s="33"/>
      <c r="GE1582" s="33"/>
      <c r="GF1582" s="33"/>
      <c r="GG1582" s="33"/>
      <c r="GH1582" s="33"/>
      <c r="GI1582" s="33"/>
      <c r="GJ1582" s="33"/>
      <c r="GK1582" s="33"/>
      <c r="GL1582" s="33"/>
      <c r="GM1582" s="33"/>
      <c r="GN1582" s="33"/>
      <c r="GO1582" s="33"/>
      <c r="GP1582" s="33"/>
      <c r="GQ1582" s="33"/>
      <c r="GR1582" s="33"/>
      <c r="GS1582" s="33"/>
      <c r="GT1582" s="33"/>
      <c r="GU1582" s="33"/>
      <c r="GV1582" s="33"/>
      <c r="GW1582" s="33"/>
      <c r="GX1582" s="33"/>
      <c r="GY1582" s="33"/>
      <c r="GZ1582" s="33"/>
      <c r="HA1582" s="33"/>
      <c r="HB1582" s="33"/>
      <c r="HC1582" s="33"/>
      <c r="HD1582" s="33"/>
      <c r="HE1582" s="33"/>
      <c r="HF1582" s="33"/>
      <c r="HG1582" s="33"/>
      <c r="HH1582" s="33"/>
      <c r="HI1582" s="33"/>
      <c r="HJ1582" s="33"/>
      <c r="HK1582" s="33"/>
      <c r="HL1582" s="33"/>
      <c r="HM1582" s="33"/>
      <c r="HN1582" s="33"/>
      <c r="HO1582" s="33"/>
      <c r="HP1582" s="33"/>
      <c r="HQ1582" s="33"/>
    </row>
    <row r="1583" spans="1:225" ht="15.75" customHeight="1" x14ac:dyDescent="0.35">
      <c r="A1583" s="256">
        <f>A1580+1</f>
        <v>16</v>
      </c>
      <c r="B1583" s="256">
        <v>5164</v>
      </c>
      <c r="C1583" s="288" t="s">
        <v>542</v>
      </c>
      <c r="D1583" s="262">
        <v>2523.3000000000002</v>
      </c>
      <c r="E1583" s="262" t="s">
        <v>75</v>
      </c>
      <c r="F1583" s="265">
        <v>5</v>
      </c>
      <c r="G1583" s="256" t="s">
        <v>72</v>
      </c>
      <c r="H1583" s="159" t="s">
        <v>73</v>
      </c>
      <c r="I1583" s="158">
        <f>I1584</f>
        <v>421391.1</v>
      </c>
      <c r="J1583" s="158">
        <f>J1584</f>
        <v>167</v>
      </c>
      <c r="K1583" s="158">
        <f>K1584</f>
        <v>167</v>
      </c>
      <c r="L1583" s="7"/>
      <c r="M1583" s="7"/>
      <c r="N1583" s="7"/>
      <c r="O1583" s="7"/>
      <c r="P1583" s="7"/>
      <c r="Q1583" s="7"/>
      <c r="R1583" s="7"/>
      <c r="S1583" s="7"/>
      <c r="T1583" s="7"/>
      <c r="U1583" s="7"/>
      <c r="V1583" s="7"/>
      <c r="W1583" s="7"/>
    </row>
    <row r="1584" spans="1:225" ht="46.5" x14ac:dyDescent="0.35">
      <c r="A1584" s="257"/>
      <c r="B1584" s="257"/>
      <c r="C1584" s="289"/>
      <c r="D1584" s="263"/>
      <c r="E1584" s="263"/>
      <c r="F1584" s="266"/>
      <c r="G1584" s="257"/>
      <c r="H1584" s="159" t="s">
        <v>705</v>
      </c>
      <c r="I1584" s="158">
        <f>K1584*D1583</f>
        <v>421391.1</v>
      </c>
      <c r="J1584" s="158">
        <f>I1584/D1583</f>
        <v>167</v>
      </c>
      <c r="K1584" s="158">
        <f>154+13</f>
        <v>167</v>
      </c>
      <c r="L1584" s="7"/>
      <c r="M1584" s="7"/>
      <c r="N1584" s="7"/>
      <c r="O1584" s="7"/>
      <c r="P1584" s="7"/>
      <c r="Q1584" s="7"/>
      <c r="R1584" s="7"/>
      <c r="S1584" s="7"/>
      <c r="T1584" s="7"/>
      <c r="U1584" s="7"/>
      <c r="V1584" s="7"/>
      <c r="W1584" s="7"/>
    </row>
    <row r="1585" spans="1:225" ht="15.75" customHeight="1" x14ac:dyDescent="0.35">
      <c r="A1585" s="256">
        <f>A1583+1</f>
        <v>17</v>
      </c>
      <c r="B1585" s="256">
        <v>5186</v>
      </c>
      <c r="C1585" s="259" t="s">
        <v>543</v>
      </c>
      <c r="D1585" s="262">
        <v>10091</v>
      </c>
      <c r="E1585" s="262" t="s">
        <v>71</v>
      </c>
      <c r="F1585" s="265">
        <v>9</v>
      </c>
      <c r="G1585" s="144"/>
      <c r="H1585" s="159" t="s">
        <v>73</v>
      </c>
      <c r="I1585" s="158">
        <f>SUM(I1586:I1595)</f>
        <v>8752630</v>
      </c>
      <c r="J1585" s="158">
        <f>SUM(J1586:J1595)</f>
        <v>867.37</v>
      </c>
      <c r="K1585" s="158">
        <f>SUM(K1586:K1595)</f>
        <v>867.37</v>
      </c>
      <c r="L1585" s="7"/>
      <c r="M1585" s="7"/>
      <c r="N1585" s="7"/>
      <c r="O1585" s="7"/>
      <c r="P1585" s="7"/>
      <c r="Q1585" s="7"/>
      <c r="R1585" s="7"/>
      <c r="S1585" s="7"/>
      <c r="T1585" s="7"/>
      <c r="U1585" s="7"/>
      <c r="V1585" s="7"/>
      <c r="W1585" s="7"/>
    </row>
    <row r="1586" spans="1:225" x14ac:dyDescent="0.35">
      <c r="A1586" s="257"/>
      <c r="B1586" s="257"/>
      <c r="C1586" s="260"/>
      <c r="D1586" s="263"/>
      <c r="E1586" s="263"/>
      <c r="F1586" s="266"/>
      <c r="G1586" s="256" t="s">
        <v>673</v>
      </c>
      <c r="H1586" s="159" t="s">
        <v>674</v>
      </c>
      <c r="I1586" s="158">
        <v>1713850</v>
      </c>
      <c r="J1586" s="158">
        <f>I1586/D1585+0.01</f>
        <v>169.85</v>
      </c>
      <c r="K1586" s="158">
        <f>1713850/D1585+0.01</f>
        <v>169.85</v>
      </c>
      <c r="L1586" s="7"/>
      <c r="M1586" s="7"/>
      <c r="N1586" s="7"/>
      <c r="O1586" s="7"/>
      <c r="P1586" s="7"/>
      <c r="Q1586" s="7"/>
      <c r="R1586" s="7"/>
      <c r="S1586" s="7"/>
      <c r="T1586" s="7"/>
      <c r="U1586" s="7"/>
      <c r="V1586" s="7"/>
      <c r="W1586" s="7"/>
    </row>
    <row r="1587" spans="1:225" x14ac:dyDescent="0.35">
      <c r="A1587" s="257"/>
      <c r="B1587" s="257"/>
      <c r="C1587" s="260"/>
      <c r="D1587" s="263"/>
      <c r="E1587" s="263"/>
      <c r="F1587" s="266"/>
      <c r="G1587" s="258"/>
      <c r="H1587" s="159" t="s">
        <v>76</v>
      </c>
      <c r="I1587" s="158">
        <v>36676</v>
      </c>
      <c r="J1587" s="158">
        <f>I1587/D1585</f>
        <v>3.63</v>
      </c>
      <c r="K1587" s="158">
        <f>36676/D1585</f>
        <v>3.63</v>
      </c>
      <c r="L1587" s="7"/>
      <c r="M1587" s="7"/>
      <c r="N1587" s="7"/>
      <c r="O1587" s="7"/>
      <c r="P1587" s="7"/>
      <c r="Q1587" s="7"/>
      <c r="R1587" s="7"/>
      <c r="S1587" s="7"/>
      <c r="T1587" s="7"/>
      <c r="U1587" s="7"/>
      <c r="V1587" s="7"/>
      <c r="W1587" s="7"/>
    </row>
    <row r="1588" spans="1:225" x14ac:dyDescent="0.35">
      <c r="A1588" s="257"/>
      <c r="B1588" s="257"/>
      <c r="C1588" s="260"/>
      <c r="D1588" s="263"/>
      <c r="E1588" s="263"/>
      <c r="F1588" s="266"/>
      <c r="G1588" s="256" t="s">
        <v>679</v>
      </c>
      <c r="H1588" s="159" t="s">
        <v>674</v>
      </c>
      <c r="I1588" s="158">
        <v>1713850</v>
      </c>
      <c r="J1588" s="158">
        <f>I1588/D1585+0.01</f>
        <v>169.85</v>
      </c>
      <c r="K1588" s="158">
        <f>1713850/D1585+0.01</f>
        <v>169.85</v>
      </c>
      <c r="L1588" s="7"/>
      <c r="M1588" s="7"/>
      <c r="N1588" s="7"/>
      <c r="O1588" s="7"/>
      <c r="P1588" s="7"/>
      <c r="Q1588" s="7"/>
      <c r="R1588" s="7"/>
      <c r="S1588" s="7"/>
      <c r="T1588" s="7"/>
      <c r="U1588" s="7"/>
      <c r="V1588" s="7"/>
      <c r="W1588" s="7"/>
    </row>
    <row r="1589" spans="1:225" x14ac:dyDescent="0.35">
      <c r="A1589" s="257"/>
      <c r="B1589" s="257"/>
      <c r="C1589" s="260"/>
      <c r="D1589" s="263"/>
      <c r="E1589" s="263"/>
      <c r="F1589" s="266"/>
      <c r="G1589" s="258"/>
      <c r="H1589" s="159" t="s">
        <v>76</v>
      </c>
      <c r="I1589" s="158">
        <v>36676</v>
      </c>
      <c r="J1589" s="158">
        <f>I1589/D1585</f>
        <v>3.63</v>
      </c>
      <c r="K1589" s="158">
        <f>36676/D1585</f>
        <v>3.63</v>
      </c>
      <c r="L1589" s="7"/>
      <c r="M1589" s="7"/>
      <c r="N1589" s="7"/>
      <c r="O1589" s="7"/>
      <c r="P1589" s="7"/>
      <c r="Q1589" s="7"/>
      <c r="R1589" s="7"/>
      <c r="S1589" s="7"/>
      <c r="T1589" s="7"/>
      <c r="U1589" s="7"/>
      <c r="V1589" s="7"/>
      <c r="W1589" s="7"/>
    </row>
    <row r="1590" spans="1:225" x14ac:dyDescent="0.35">
      <c r="A1590" s="257"/>
      <c r="B1590" s="257"/>
      <c r="C1590" s="260"/>
      <c r="D1590" s="263"/>
      <c r="E1590" s="263"/>
      <c r="F1590" s="266"/>
      <c r="G1590" s="256" t="s">
        <v>680</v>
      </c>
      <c r="H1590" s="159" t="s">
        <v>674</v>
      </c>
      <c r="I1590" s="158">
        <v>1713850</v>
      </c>
      <c r="J1590" s="158">
        <f>I1590/D1585</f>
        <v>169.84</v>
      </c>
      <c r="K1590" s="158">
        <f>1713850/D1585</f>
        <v>169.84</v>
      </c>
      <c r="L1590" s="7"/>
      <c r="M1590" s="7"/>
      <c r="N1590" s="7"/>
      <c r="O1590" s="7"/>
      <c r="P1590" s="7"/>
      <c r="Q1590" s="7"/>
      <c r="R1590" s="7"/>
      <c r="S1590" s="7"/>
      <c r="T1590" s="7"/>
      <c r="U1590" s="7"/>
      <c r="V1590" s="7"/>
      <c r="W1590" s="7"/>
    </row>
    <row r="1591" spans="1:225" x14ac:dyDescent="0.35">
      <c r="A1591" s="257"/>
      <c r="B1591" s="257"/>
      <c r="C1591" s="260"/>
      <c r="D1591" s="263"/>
      <c r="E1591" s="263"/>
      <c r="F1591" s="266"/>
      <c r="G1591" s="258"/>
      <c r="H1591" s="159" t="s">
        <v>76</v>
      </c>
      <c r="I1591" s="158">
        <v>36676</v>
      </c>
      <c r="J1591" s="158">
        <f>I1591/D1585</f>
        <v>3.63</v>
      </c>
      <c r="K1591" s="158">
        <f>36676/D1585</f>
        <v>3.63</v>
      </c>
      <c r="L1591" s="7"/>
      <c r="M1591" s="7"/>
      <c r="N1591" s="7"/>
      <c r="O1591" s="7"/>
      <c r="P1591" s="7"/>
      <c r="Q1591" s="7"/>
      <c r="R1591" s="7"/>
      <c r="S1591" s="7"/>
      <c r="T1591" s="7"/>
      <c r="U1591" s="7"/>
      <c r="V1591" s="7"/>
      <c r="W1591" s="7"/>
    </row>
    <row r="1592" spans="1:225" x14ac:dyDescent="0.35">
      <c r="A1592" s="257"/>
      <c r="B1592" s="257"/>
      <c r="C1592" s="260"/>
      <c r="D1592" s="263"/>
      <c r="E1592" s="263"/>
      <c r="F1592" s="266"/>
      <c r="G1592" s="256" t="s">
        <v>681</v>
      </c>
      <c r="H1592" s="159" t="s">
        <v>674</v>
      </c>
      <c r="I1592" s="158">
        <v>1713850</v>
      </c>
      <c r="J1592" s="158">
        <f>I1592/D1585</f>
        <v>169.84</v>
      </c>
      <c r="K1592" s="158">
        <f>1713850/D1585</f>
        <v>169.84</v>
      </c>
      <c r="L1592" s="7"/>
      <c r="M1592" s="7"/>
      <c r="N1592" s="7"/>
      <c r="O1592" s="7"/>
      <c r="P1592" s="7"/>
      <c r="Q1592" s="7"/>
      <c r="R1592" s="7"/>
      <c r="S1592" s="7"/>
      <c r="T1592" s="7"/>
      <c r="U1592" s="7"/>
      <c r="V1592" s="7"/>
      <c r="W1592" s="7"/>
    </row>
    <row r="1593" spans="1:225" x14ac:dyDescent="0.35">
      <c r="A1593" s="257"/>
      <c r="B1593" s="257"/>
      <c r="C1593" s="260"/>
      <c r="D1593" s="263"/>
      <c r="E1593" s="263"/>
      <c r="F1593" s="266"/>
      <c r="G1593" s="258"/>
      <c r="H1593" s="159" t="s">
        <v>76</v>
      </c>
      <c r="I1593" s="158">
        <v>36676</v>
      </c>
      <c r="J1593" s="158">
        <f>I1593/D1585</f>
        <v>3.63</v>
      </c>
      <c r="K1593" s="158">
        <f>36676/D1585</f>
        <v>3.63</v>
      </c>
      <c r="L1593" s="7"/>
      <c r="M1593" s="7"/>
      <c r="N1593" s="7"/>
      <c r="O1593" s="7"/>
      <c r="P1593" s="7"/>
      <c r="Q1593" s="7"/>
      <c r="R1593" s="7"/>
      <c r="S1593" s="7"/>
      <c r="T1593" s="7"/>
      <c r="U1593" s="7"/>
      <c r="V1593" s="7"/>
      <c r="W1593" s="7"/>
    </row>
    <row r="1594" spans="1:225" x14ac:dyDescent="0.35">
      <c r="A1594" s="257"/>
      <c r="B1594" s="257"/>
      <c r="C1594" s="260"/>
      <c r="D1594" s="263"/>
      <c r="E1594" s="263"/>
      <c r="F1594" s="266"/>
      <c r="G1594" s="256" t="s">
        <v>678</v>
      </c>
      <c r="H1594" s="159" t="s">
        <v>674</v>
      </c>
      <c r="I1594" s="158">
        <v>1713850</v>
      </c>
      <c r="J1594" s="158">
        <f>I1594/D1585</f>
        <v>169.84</v>
      </c>
      <c r="K1594" s="158">
        <f>1713850/D1585</f>
        <v>169.84</v>
      </c>
      <c r="L1594" s="7"/>
      <c r="M1594" s="7"/>
      <c r="N1594" s="7"/>
      <c r="O1594" s="7"/>
      <c r="P1594" s="7"/>
      <c r="Q1594" s="7"/>
      <c r="R1594" s="7"/>
      <c r="S1594" s="7"/>
      <c r="T1594" s="7"/>
      <c r="U1594" s="7"/>
      <c r="V1594" s="7"/>
      <c r="W1594" s="7"/>
    </row>
    <row r="1595" spans="1:225" x14ac:dyDescent="0.35">
      <c r="A1595" s="258"/>
      <c r="B1595" s="258"/>
      <c r="C1595" s="261"/>
      <c r="D1595" s="264"/>
      <c r="E1595" s="264"/>
      <c r="F1595" s="267"/>
      <c r="G1595" s="258"/>
      <c r="H1595" s="159" t="s">
        <v>76</v>
      </c>
      <c r="I1595" s="158">
        <v>36676</v>
      </c>
      <c r="J1595" s="158">
        <f>I1595/D1585</f>
        <v>3.63</v>
      </c>
      <c r="K1595" s="158">
        <f>36676/D1585</f>
        <v>3.63</v>
      </c>
      <c r="L1595" s="7"/>
      <c r="M1595" s="7"/>
      <c r="N1595" s="7"/>
      <c r="O1595" s="7"/>
      <c r="P1595" s="7"/>
      <c r="Q1595" s="7"/>
      <c r="R1595" s="7"/>
      <c r="S1595" s="7"/>
      <c r="T1595" s="7"/>
      <c r="U1595" s="7"/>
      <c r="V1595" s="7"/>
      <c r="W1595" s="7"/>
    </row>
    <row r="1596" spans="1:225" ht="15.75" customHeight="1" x14ac:dyDescent="0.35">
      <c r="A1596" s="308">
        <f>A1585+1</f>
        <v>18</v>
      </c>
      <c r="B1596" s="308">
        <v>5210</v>
      </c>
      <c r="C1596" s="223" t="s">
        <v>253</v>
      </c>
      <c r="D1596" s="274">
        <v>990.3</v>
      </c>
      <c r="E1596" s="274" t="s">
        <v>75</v>
      </c>
      <c r="F1596" s="293">
        <v>2</v>
      </c>
      <c r="G1596" s="13"/>
      <c r="H1596" s="116" t="s">
        <v>73</v>
      </c>
      <c r="I1596" s="86">
        <f>SUM(I1597:I1602)</f>
        <v>2685693.6</v>
      </c>
      <c r="J1596" s="86">
        <f>SUM(J1597:J1602)</f>
        <v>2712</v>
      </c>
      <c r="K1596" s="86">
        <f>SUM(K1597:K1602)</f>
        <v>3840</v>
      </c>
      <c r="L1596" s="33"/>
      <c r="M1596" s="33"/>
      <c r="N1596" s="33"/>
      <c r="O1596" s="33"/>
      <c r="P1596" s="33"/>
      <c r="Q1596" s="33"/>
      <c r="R1596" s="33"/>
      <c r="S1596" s="33"/>
      <c r="T1596" s="33"/>
      <c r="U1596" s="33"/>
      <c r="V1596" s="33"/>
      <c r="W1596" s="33"/>
      <c r="X1596" s="33"/>
      <c r="Y1596" s="33"/>
      <c r="Z1596" s="33"/>
      <c r="AA1596" s="33"/>
      <c r="AB1596" s="33"/>
      <c r="AC1596" s="33"/>
      <c r="AD1596" s="33"/>
      <c r="AE1596" s="33"/>
      <c r="AF1596" s="33"/>
      <c r="AG1596" s="33"/>
      <c r="AH1596" s="33"/>
      <c r="AI1596" s="33"/>
      <c r="AJ1596" s="33"/>
      <c r="AK1596" s="33"/>
      <c r="AL1596" s="33"/>
      <c r="AM1596" s="33"/>
      <c r="AN1596" s="33"/>
      <c r="AO1596" s="33"/>
      <c r="AP1596" s="33"/>
      <c r="AQ1596" s="33"/>
      <c r="AR1596" s="33"/>
      <c r="AS1596" s="33"/>
      <c r="AT1596" s="33"/>
      <c r="AU1596" s="33"/>
      <c r="AV1596" s="33"/>
      <c r="AW1596" s="33"/>
      <c r="AX1596" s="33"/>
      <c r="AY1596" s="33"/>
      <c r="AZ1596" s="33"/>
      <c r="BA1596" s="33"/>
      <c r="BB1596" s="33"/>
      <c r="BC1596" s="33"/>
      <c r="BD1596" s="33"/>
      <c r="BE1596" s="33"/>
      <c r="BF1596" s="33"/>
      <c r="BG1596" s="33"/>
      <c r="BH1596" s="33"/>
      <c r="BI1596" s="33"/>
      <c r="BJ1596" s="33"/>
      <c r="BK1596" s="33"/>
      <c r="BL1596" s="33"/>
      <c r="BM1596" s="33"/>
      <c r="BN1596" s="33"/>
      <c r="BO1596" s="33"/>
      <c r="BP1596" s="33"/>
      <c r="BQ1596" s="33"/>
      <c r="BR1596" s="33"/>
      <c r="BS1596" s="33"/>
      <c r="BT1596" s="33"/>
      <c r="BU1596" s="33"/>
      <c r="BV1596" s="33"/>
      <c r="BW1596" s="33"/>
      <c r="BX1596" s="33"/>
      <c r="BY1596" s="33"/>
      <c r="BZ1596" s="33"/>
      <c r="CA1596" s="33"/>
      <c r="CB1596" s="33"/>
      <c r="CC1596" s="33"/>
      <c r="CD1596" s="33"/>
      <c r="CE1596" s="33"/>
      <c r="CF1596" s="33"/>
      <c r="CG1596" s="33"/>
      <c r="CH1596" s="33"/>
      <c r="CI1596" s="33"/>
      <c r="CJ1596" s="33"/>
      <c r="CK1596" s="33"/>
      <c r="CL1596" s="33"/>
      <c r="CM1596" s="33"/>
      <c r="CN1596" s="33"/>
      <c r="CO1596" s="33"/>
      <c r="CP1596" s="33"/>
      <c r="CQ1596" s="33"/>
      <c r="CR1596" s="33"/>
      <c r="CS1596" s="33"/>
      <c r="CT1596" s="33"/>
      <c r="CU1596" s="33"/>
      <c r="CV1596" s="33"/>
      <c r="CW1596" s="33"/>
      <c r="CX1596" s="33"/>
      <c r="CY1596" s="33"/>
      <c r="CZ1596" s="33"/>
      <c r="DA1596" s="33"/>
      <c r="DB1596" s="33"/>
      <c r="DC1596" s="33"/>
      <c r="DD1596" s="33"/>
      <c r="DE1596" s="33"/>
      <c r="DF1596" s="33"/>
      <c r="DG1596" s="33"/>
      <c r="DH1596" s="33"/>
      <c r="DI1596" s="33"/>
      <c r="DJ1596" s="33"/>
      <c r="DK1596" s="33"/>
      <c r="DL1596" s="33"/>
      <c r="DM1596" s="33"/>
      <c r="DN1596" s="33"/>
      <c r="DO1596" s="33"/>
      <c r="DP1596" s="33"/>
      <c r="DQ1596" s="33"/>
      <c r="DR1596" s="33"/>
      <c r="DS1596" s="33"/>
      <c r="DT1596" s="33"/>
      <c r="DU1596" s="33"/>
      <c r="DV1596" s="33"/>
      <c r="DW1596" s="33"/>
      <c r="DX1596" s="33"/>
      <c r="DY1596" s="33"/>
      <c r="DZ1596" s="33"/>
      <c r="EA1596" s="33"/>
      <c r="EB1596" s="33"/>
      <c r="EC1596" s="33"/>
      <c r="ED1596" s="33"/>
      <c r="EE1596" s="33"/>
      <c r="EF1596" s="33"/>
      <c r="EG1596" s="33"/>
      <c r="EH1596" s="33"/>
      <c r="EI1596" s="33"/>
      <c r="EJ1596" s="33"/>
      <c r="EK1596" s="33"/>
      <c r="EL1596" s="33"/>
      <c r="EM1596" s="33"/>
      <c r="EN1596" s="33"/>
      <c r="EO1596" s="33"/>
      <c r="EP1596" s="33"/>
      <c r="EQ1596" s="33"/>
      <c r="ER1596" s="33"/>
      <c r="ES1596" s="33"/>
      <c r="ET1596" s="33"/>
      <c r="EU1596" s="33"/>
      <c r="EV1596" s="33"/>
      <c r="EW1596" s="33"/>
      <c r="EX1596" s="33"/>
      <c r="EY1596" s="33"/>
      <c r="EZ1596" s="33"/>
      <c r="FA1596" s="33"/>
      <c r="FB1596" s="33"/>
      <c r="FC1596" s="33"/>
      <c r="FD1596" s="33"/>
      <c r="FE1596" s="33"/>
      <c r="FF1596" s="33"/>
      <c r="FG1596" s="33"/>
      <c r="FH1596" s="33"/>
      <c r="FI1596" s="33"/>
      <c r="FJ1596" s="33"/>
      <c r="FK1596" s="33"/>
      <c r="FL1596" s="33"/>
      <c r="FM1596" s="33"/>
      <c r="FN1596" s="33"/>
      <c r="FO1596" s="33"/>
      <c r="FP1596" s="33"/>
      <c r="FQ1596" s="33"/>
      <c r="FR1596" s="33"/>
      <c r="FS1596" s="33"/>
      <c r="FT1596" s="33"/>
      <c r="FU1596" s="33"/>
      <c r="FV1596" s="33"/>
      <c r="FW1596" s="33"/>
      <c r="FX1596" s="33"/>
      <c r="FY1596" s="33"/>
      <c r="FZ1596" s="33"/>
      <c r="GA1596" s="33"/>
      <c r="GB1596" s="33"/>
      <c r="GC1596" s="33"/>
      <c r="GD1596" s="33"/>
      <c r="GE1596" s="33"/>
      <c r="GF1596" s="33"/>
      <c r="GG1596" s="33"/>
      <c r="GH1596" s="33"/>
      <c r="GI1596" s="33"/>
      <c r="GJ1596" s="33"/>
      <c r="GK1596" s="33"/>
      <c r="GL1596" s="33"/>
      <c r="GM1596" s="33"/>
      <c r="GN1596" s="33"/>
      <c r="GO1596" s="33"/>
      <c r="GP1596" s="33"/>
      <c r="GQ1596" s="33"/>
      <c r="GR1596" s="33"/>
      <c r="GS1596" s="33"/>
      <c r="GT1596" s="33"/>
      <c r="GU1596" s="33"/>
      <c r="GV1596" s="33"/>
      <c r="GW1596" s="33"/>
      <c r="GX1596" s="33"/>
      <c r="GY1596" s="33"/>
      <c r="GZ1596" s="33"/>
      <c r="HA1596" s="33"/>
      <c r="HB1596" s="33"/>
      <c r="HC1596" s="33"/>
      <c r="HD1596" s="33"/>
      <c r="HE1596" s="33"/>
      <c r="HF1596" s="33"/>
      <c r="HG1596" s="33"/>
      <c r="HH1596" s="33"/>
      <c r="HI1596" s="33"/>
      <c r="HJ1596" s="33"/>
      <c r="HK1596" s="33"/>
      <c r="HL1596" s="33"/>
      <c r="HM1596" s="33"/>
      <c r="HN1596" s="33"/>
      <c r="HO1596" s="33"/>
      <c r="HP1596" s="33"/>
      <c r="HQ1596" s="33"/>
    </row>
    <row r="1597" spans="1:225" ht="15.75" customHeight="1" x14ac:dyDescent="0.35">
      <c r="A1597" s="308"/>
      <c r="B1597" s="308"/>
      <c r="C1597" s="223"/>
      <c r="D1597" s="274"/>
      <c r="E1597" s="274"/>
      <c r="F1597" s="293"/>
      <c r="G1597" s="308" t="s">
        <v>77</v>
      </c>
      <c r="H1597" s="165" t="s">
        <v>74</v>
      </c>
      <c r="I1597" s="86">
        <f>D1596*K1597*70/100</f>
        <v>1901475.03</v>
      </c>
      <c r="J1597" s="86">
        <f>I1597/D1596</f>
        <v>1920.1</v>
      </c>
      <c r="K1597" s="86">
        <v>2743</v>
      </c>
      <c r="L1597" s="33"/>
      <c r="M1597" s="33"/>
      <c r="N1597" s="33"/>
      <c r="O1597" s="33"/>
      <c r="P1597" s="33"/>
      <c r="Q1597" s="33"/>
      <c r="R1597" s="33"/>
      <c r="S1597" s="33"/>
      <c r="T1597" s="33"/>
      <c r="U1597" s="33"/>
      <c r="V1597" s="33"/>
      <c r="W1597" s="33"/>
      <c r="X1597" s="33"/>
      <c r="Y1597" s="33"/>
      <c r="Z1597" s="33"/>
      <c r="AA1597" s="33"/>
      <c r="AB1597" s="33"/>
      <c r="AC1597" s="33"/>
      <c r="AD1597" s="33"/>
      <c r="AE1597" s="33"/>
      <c r="AF1597" s="33"/>
      <c r="AG1597" s="33"/>
      <c r="AH1597" s="33"/>
      <c r="AI1597" s="33"/>
      <c r="AJ1597" s="33"/>
      <c r="AK1597" s="33"/>
      <c r="AL1597" s="33"/>
      <c r="AM1597" s="33"/>
      <c r="AN1597" s="33"/>
      <c r="AO1597" s="33"/>
      <c r="AP1597" s="33"/>
      <c r="AQ1597" s="33"/>
      <c r="AR1597" s="33"/>
      <c r="AS1597" s="33"/>
      <c r="AT1597" s="33"/>
      <c r="AU1597" s="33"/>
      <c r="AV1597" s="33"/>
      <c r="AW1597" s="33"/>
      <c r="AX1597" s="33"/>
      <c r="AY1597" s="33"/>
      <c r="AZ1597" s="33"/>
      <c r="BA1597" s="33"/>
      <c r="BB1597" s="33"/>
      <c r="BC1597" s="33"/>
      <c r="BD1597" s="33"/>
      <c r="BE1597" s="33"/>
      <c r="BF1597" s="33"/>
      <c r="BG1597" s="33"/>
      <c r="BH1597" s="33"/>
      <c r="BI1597" s="33"/>
      <c r="BJ1597" s="33"/>
      <c r="BK1597" s="33"/>
      <c r="BL1597" s="33"/>
      <c r="BM1597" s="33"/>
      <c r="BN1597" s="33"/>
      <c r="BO1597" s="33"/>
      <c r="BP1597" s="33"/>
      <c r="BQ1597" s="33"/>
      <c r="BR1597" s="33"/>
      <c r="BS1597" s="33"/>
      <c r="BT1597" s="33"/>
      <c r="BU1597" s="33"/>
      <c r="BV1597" s="33"/>
      <c r="BW1597" s="33"/>
      <c r="BX1597" s="33"/>
      <c r="BY1597" s="33"/>
      <c r="BZ1597" s="33"/>
      <c r="CA1597" s="33"/>
      <c r="CB1597" s="33"/>
      <c r="CC1597" s="33"/>
      <c r="CD1597" s="33"/>
      <c r="CE1597" s="33"/>
      <c r="CF1597" s="33"/>
      <c r="CG1597" s="33"/>
      <c r="CH1597" s="33"/>
      <c r="CI1597" s="33"/>
      <c r="CJ1597" s="33"/>
      <c r="CK1597" s="33"/>
      <c r="CL1597" s="33"/>
      <c r="CM1597" s="33"/>
      <c r="CN1597" s="33"/>
      <c r="CO1597" s="33"/>
      <c r="CP1597" s="33"/>
      <c r="CQ1597" s="33"/>
      <c r="CR1597" s="33"/>
      <c r="CS1597" s="33"/>
      <c r="CT1597" s="33"/>
      <c r="CU1597" s="33"/>
      <c r="CV1597" s="33"/>
      <c r="CW1597" s="33"/>
      <c r="CX1597" s="33"/>
      <c r="CY1597" s="33"/>
      <c r="CZ1597" s="33"/>
      <c r="DA1597" s="33"/>
      <c r="DB1597" s="33"/>
      <c r="DC1597" s="33"/>
      <c r="DD1597" s="33"/>
      <c r="DE1597" s="33"/>
      <c r="DF1597" s="33"/>
      <c r="DG1597" s="33"/>
      <c r="DH1597" s="33"/>
      <c r="DI1597" s="33"/>
      <c r="DJ1597" s="33"/>
      <c r="DK1597" s="33"/>
      <c r="DL1597" s="33"/>
      <c r="DM1597" s="33"/>
      <c r="DN1597" s="33"/>
      <c r="DO1597" s="33"/>
      <c r="DP1597" s="33"/>
      <c r="DQ1597" s="33"/>
      <c r="DR1597" s="33"/>
      <c r="DS1597" s="33"/>
      <c r="DT1597" s="33"/>
      <c r="DU1597" s="33"/>
      <c r="DV1597" s="33"/>
      <c r="DW1597" s="33"/>
      <c r="DX1597" s="33"/>
      <c r="DY1597" s="33"/>
      <c r="DZ1597" s="33"/>
      <c r="EA1597" s="33"/>
      <c r="EB1597" s="33"/>
      <c r="EC1597" s="33"/>
      <c r="ED1597" s="33"/>
      <c r="EE1597" s="33"/>
      <c r="EF1597" s="33"/>
      <c r="EG1597" s="33"/>
      <c r="EH1597" s="33"/>
      <c r="EI1597" s="33"/>
      <c r="EJ1597" s="33"/>
      <c r="EK1597" s="33"/>
      <c r="EL1597" s="33"/>
      <c r="EM1597" s="33"/>
      <c r="EN1597" s="33"/>
      <c r="EO1597" s="33"/>
      <c r="EP1597" s="33"/>
      <c r="EQ1597" s="33"/>
      <c r="ER1597" s="33"/>
      <c r="ES1597" s="33"/>
      <c r="ET1597" s="33"/>
      <c r="EU1597" s="33"/>
      <c r="EV1597" s="33"/>
      <c r="EW1597" s="33"/>
      <c r="EX1597" s="33"/>
      <c r="EY1597" s="33"/>
      <c r="EZ1597" s="33"/>
      <c r="FA1597" s="33"/>
      <c r="FB1597" s="33"/>
      <c r="FC1597" s="33"/>
      <c r="FD1597" s="33"/>
      <c r="FE1597" s="33"/>
      <c r="FF1597" s="33"/>
      <c r="FG1597" s="33"/>
      <c r="FH1597" s="33"/>
      <c r="FI1597" s="33"/>
      <c r="FJ1597" s="33"/>
      <c r="FK1597" s="33"/>
      <c r="FL1597" s="33"/>
      <c r="FM1597" s="33"/>
      <c r="FN1597" s="33"/>
      <c r="FO1597" s="33"/>
      <c r="FP1597" s="33"/>
      <c r="FQ1597" s="33"/>
      <c r="FR1597" s="33"/>
      <c r="FS1597" s="33"/>
      <c r="FT1597" s="33"/>
      <c r="FU1597" s="33"/>
      <c r="FV1597" s="33"/>
      <c r="FW1597" s="33"/>
      <c r="FX1597" s="33"/>
      <c r="FY1597" s="33"/>
      <c r="FZ1597" s="33"/>
      <c r="GA1597" s="33"/>
      <c r="GB1597" s="33"/>
      <c r="GC1597" s="33"/>
      <c r="GD1597" s="33"/>
      <c r="GE1597" s="33"/>
      <c r="GF1597" s="33"/>
      <c r="GG1597" s="33"/>
      <c r="GH1597" s="33"/>
      <c r="GI1597" s="33"/>
      <c r="GJ1597" s="33"/>
      <c r="GK1597" s="33"/>
      <c r="GL1597" s="33"/>
      <c r="GM1597" s="33"/>
      <c r="GN1597" s="33"/>
      <c r="GO1597" s="33"/>
      <c r="GP1597" s="33"/>
      <c r="GQ1597" s="33"/>
      <c r="GR1597" s="33"/>
      <c r="GS1597" s="33"/>
      <c r="GT1597" s="33"/>
      <c r="GU1597" s="33"/>
      <c r="GV1597" s="33"/>
      <c r="GW1597" s="33"/>
      <c r="GX1597" s="33"/>
      <c r="GY1597" s="33"/>
      <c r="GZ1597" s="33"/>
      <c r="HA1597" s="33"/>
      <c r="HB1597" s="33"/>
      <c r="HC1597" s="33"/>
      <c r="HD1597" s="33"/>
      <c r="HE1597" s="33"/>
      <c r="HF1597" s="33"/>
      <c r="HG1597" s="33"/>
      <c r="HH1597" s="33"/>
      <c r="HI1597" s="33"/>
      <c r="HJ1597" s="33"/>
      <c r="HK1597" s="33"/>
      <c r="HL1597" s="33"/>
      <c r="HM1597" s="33"/>
      <c r="HN1597" s="33"/>
      <c r="HO1597" s="33"/>
      <c r="HP1597" s="33"/>
      <c r="HQ1597" s="33"/>
    </row>
    <row r="1598" spans="1:225" ht="15.75" customHeight="1" x14ac:dyDescent="0.35">
      <c r="A1598" s="308"/>
      <c r="B1598" s="308"/>
      <c r="C1598" s="223"/>
      <c r="D1598" s="274"/>
      <c r="E1598" s="274"/>
      <c r="F1598" s="293"/>
      <c r="G1598" s="308"/>
      <c r="H1598" s="165" t="s">
        <v>76</v>
      </c>
      <c r="I1598" s="86">
        <f>D1596*K1598</f>
        <v>58427.7</v>
      </c>
      <c r="J1598" s="86">
        <f>I1598/D1596</f>
        <v>59</v>
      </c>
      <c r="K1598" s="86">
        <v>59</v>
      </c>
      <c r="L1598" s="33"/>
      <c r="M1598" s="33"/>
      <c r="N1598" s="33"/>
      <c r="O1598" s="33"/>
      <c r="P1598" s="33"/>
      <c r="Q1598" s="33"/>
      <c r="R1598" s="33"/>
      <c r="S1598" s="33"/>
      <c r="T1598" s="33"/>
      <c r="U1598" s="33"/>
      <c r="V1598" s="33"/>
      <c r="W1598" s="33"/>
      <c r="X1598" s="33"/>
      <c r="Y1598" s="33"/>
      <c r="Z1598" s="33"/>
      <c r="AA1598" s="33"/>
      <c r="AB1598" s="33"/>
      <c r="AC1598" s="33"/>
      <c r="AD1598" s="33"/>
      <c r="AE1598" s="33"/>
      <c r="AF1598" s="33"/>
      <c r="AG1598" s="33"/>
      <c r="AH1598" s="33"/>
      <c r="AI1598" s="33"/>
      <c r="AJ1598" s="33"/>
      <c r="AK1598" s="33"/>
      <c r="AL1598" s="33"/>
      <c r="AM1598" s="33"/>
      <c r="AN1598" s="33"/>
      <c r="AO1598" s="33"/>
      <c r="AP1598" s="33"/>
      <c r="AQ1598" s="33"/>
      <c r="AR1598" s="33"/>
      <c r="AS1598" s="33"/>
      <c r="AT1598" s="33"/>
      <c r="AU1598" s="33"/>
      <c r="AV1598" s="33"/>
      <c r="AW1598" s="33"/>
      <c r="AX1598" s="33"/>
      <c r="AY1598" s="33"/>
      <c r="AZ1598" s="33"/>
      <c r="BA1598" s="33"/>
      <c r="BB1598" s="33"/>
      <c r="BC1598" s="33"/>
      <c r="BD1598" s="33"/>
      <c r="BE1598" s="33"/>
      <c r="BF1598" s="33"/>
      <c r="BG1598" s="33"/>
      <c r="BH1598" s="33"/>
      <c r="BI1598" s="33"/>
      <c r="BJ1598" s="33"/>
      <c r="BK1598" s="33"/>
      <c r="BL1598" s="33"/>
      <c r="BM1598" s="33"/>
      <c r="BN1598" s="33"/>
      <c r="BO1598" s="33"/>
      <c r="BP1598" s="33"/>
      <c r="BQ1598" s="33"/>
      <c r="BR1598" s="33"/>
      <c r="BS1598" s="33"/>
      <c r="BT1598" s="33"/>
      <c r="BU1598" s="33"/>
      <c r="BV1598" s="33"/>
      <c r="BW1598" s="33"/>
      <c r="BX1598" s="33"/>
      <c r="BY1598" s="33"/>
      <c r="BZ1598" s="33"/>
      <c r="CA1598" s="33"/>
      <c r="CB1598" s="33"/>
      <c r="CC1598" s="33"/>
      <c r="CD1598" s="33"/>
      <c r="CE1598" s="33"/>
      <c r="CF1598" s="33"/>
      <c r="CG1598" s="33"/>
      <c r="CH1598" s="33"/>
      <c r="CI1598" s="33"/>
      <c r="CJ1598" s="33"/>
      <c r="CK1598" s="33"/>
      <c r="CL1598" s="33"/>
      <c r="CM1598" s="33"/>
      <c r="CN1598" s="33"/>
      <c r="CO1598" s="33"/>
      <c r="CP1598" s="33"/>
      <c r="CQ1598" s="33"/>
      <c r="CR1598" s="33"/>
      <c r="CS1598" s="33"/>
      <c r="CT1598" s="33"/>
      <c r="CU1598" s="33"/>
      <c r="CV1598" s="33"/>
      <c r="CW1598" s="33"/>
      <c r="CX1598" s="33"/>
      <c r="CY1598" s="33"/>
      <c r="CZ1598" s="33"/>
      <c r="DA1598" s="33"/>
      <c r="DB1598" s="33"/>
      <c r="DC1598" s="33"/>
      <c r="DD1598" s="33"/>
      <c r="DE1598" s="33"/>
      <c r="DF1598" s="33"/>
      <c r="DG1598" s="33"/>
      <c r="DH1598" s="33"/>
      <c r="DI1598" s="33"/>
      <c r="DJ1598" s="33"/>
      <c r="DK1598" s="33"/>
      <c r="DL1598" s="33"/>
      <c r="DM1598" s="33"/>
      <c r="DN1598" s="33"/>
      <c r="DO1598" s="33"/>
      <c r="DP1598" s="33"/>
      <c r="DQ1598" s="33"/>
      <c r="DR1598" s="33"/>
      <c r="DS1598" s="33"/>
      <c r="DT1598" s="33"/>
      <c r="DU1598" s="33"/>
      <c r="DV1598" s="33"/>
      <c r="DW1598" s="33"/>
      <c r="DX1598" s="33"/>
      <c r="DY1598" s="33"/>
      <c r="DZ1598" s="33"/>
      <c r="EA1598" s="33"/>
      <c r="EB1598" s="33"/>
      <c r="EC1598" s="33"/>
      <c r="ED1598" s="33"/>
      <c r="EE1598" s="33"/>
      <c r="EF1598" s="33"/>
      <c r="EG1598" s="33"/>
      <c r="EH1598" s="33"/>
      <c r="EI1598" s="33"/>
      <c r="EJ1598" s="33"/>
      <c r="EK1598" s="33"/>
      <c r="EL1598" s="33"/>
      <c r="EM1598" s="33"/>
      <c r="EN1598" s="33"/>
      <c r="EO1598" s="33"/>
      <c r="EP1598" s="33"/>
      <c r="EQ1598" s="33"/>
      <c r="ER1598" s="33"/>
      <c r="ES1598" s="33"/>
      <c r="ET1598" s="33"/>
      <c r="EU1598" s="33"/>
      <c r="EV1598" s="33"/>
      <c r="EW1598" s="33"/>
      <c r="EX1598" s="33"/>
      <c r="EY1598" s="33"/>
      <c r="EZ1598" s="33"/>
      <c r="FA1598" s="33"/>
      <c r="FB1598" s="33"/>
      <c r="FC1598" s="33"/>
      <c r="FD1598" s="33"/>
      <c r="FE1598" s="33"/>
      <c r="FF1598" s="33"/>
      <c r="FG1598" s="33"/>
      <c r="FH1598" s="33"/>
      <c r="FI1598" s="33"/>
      <c r="FJ1598" s="33"/>
      <c r="FK1598" s="33"/>
      <c r="FL1598" s="33"/>
      <c r="FM1598" s="33"/>
      <c r="FN1598" s="33"/>
      <c r="FO1598" s="33"/>
      <c r="FP1598" s="33"/>
      <c r="FQ1598" s="33"/>
      <c r="FR1598" s="33"/>
      <c r="FS1598" s="33"/>
      <c r="FT1598" s="33"/>
      <c r="FU1598" s="33"/>
      <c r="FV1598" s="33"/>
      <c r="FW1598" s="33"/>
      <c r="FX1598" s="33"/>
      <c r="FY1598" s="33"/>
      <c r="FZ1598" s="33"/>
      <c r="GA1598" s="33"/>
      <c r="GB1598" s="33"/>
      <c r="GC1598" s="33"/>
      <c r="GD1598" s="33"/>
      <c r="GE1598" s="33"/>
      <c r="GF1598" s="33"/>
      <c r="GG1598" s="33"/>
      <c r="GH1598" s="33"/>
      <c r="GI1598" s="33"/>
      <c r="GJ1598" s="33"/>
      <c r="GK1598" s="33"/>
      <c r="GL1598" s="33"/>
      <c r="GM1598" s="33"/>
      <c r="GN1598" s="33"/>
      <c r="GO1598" s="33"/>
      <c r="GP1598" s="33"/>
      <c r="GQ1598" s="33"/>
      <c r="GR1598" s="33"/>
      <c r="GS1598" s="33"/>
      <c r="GT1598" s="33"/>
      <c r="GU1598" s="33"/>
      <c r="GV1598" s="33"/>
      <c r="GW1598" s="33"/>
      <c r="GX1598" s="33"/>
      <c r="GY1598" s="33"/>
      <c r="GZ1598" s="33"/>
      <c r="HA1598" s="33"/>
      <c r="HB1598" s="33"/>
      <c r="HC1598" s="33"/>
      <c r="HD1598" s="33"/>
      <c r="HE1598" s="33"/>
      <c r="HF1598" s="33"/>
      <c r="HG1598" s="33"/>
      <c r="HH1598" s="33"/>
      <c r="HI1598" s="33"/>
      <c r="HJ1598" s="33"/>
      <c r="HK1598" s="33"/>
      <c r="HL1598" s="33"/>
      <c r="HM1598" s="33"/>
      <c r="HN1598" s="33"/>
      <c r="HO1598" s="33"/>
      <c r="HP1598" s="33"/>
      <c r="HQ1598" s="33"/>
    </row>
    <row r="1599" spans="1:225" ht="15.75" customHeight="1" x14ac:dyDescent="0.35">
      <c r="A1599" s="308"/>
      <c r="B1599" s="308"/>
      <c r="C1599" s="223"/>
      <c r="D1599" s="274"/>
      <c r="E1599" s="274"/>
      <c r="F1599" s="293"/>
      <c r="G1599" s="308" t="s">
        <v>78</v>
      </c>
      <c r="H1599" s="165" t="s">
        <v>74</v>
      </c>
      <c r="I1599" s="86">
        <f>D1596*K1599*70/100</f>
        <v>367401.3</v>
      </c>
      <c r="J1599" s="86">
        <f>I1599/D1596</f>
        <v>371</v>
      </c>
      <c r="K1599" s="86">
        <v>530</v>
      </c>
      <c r="L1599" s="33"/>
      <c r="M1599" s="33"/>
      <c r="N1599" s="33"/>
      <c r="O1599" s="33"/>
      <c r="P1599" s="33"/>
      <c r="Q1599" s="33"/>
      <c r="R1599" s="33"/>
      <c r="S1599" s="33"/>
      <c r="T1599" s="33"/>
      <c r="U1599" s="33"/>
      <c r="V1599" s="33"/>
      <c r="W1599" s="33"/>
      <c r="X1599" s="33"/>
      <c r="Y1599" s="33"/>
      <c r="Z1599" s="33"/>
      <c r="AA1599" s="33"/>
      <c r="AB1599" s="33"/>
      <c r="AC1599" s="33"/>
      <c r="AD1599" s="33"/>
      <c r="AE1599" s="33"/>
      <c r="AF1599" s="33"/>
      <c r="AG1599" s="33"/>
      <c r="AH1599" s="33"/>
      <c r="AI1599" s="33"/>
      <c r="AJ1599" s="33"/>
      <c r="AK1599" s="33"/>
      <c r="AL1599" s="33"/>
      <c r="AM1599" s="33"/>
      <c r="AN1599" s="33"/>
      <c r="AO1599" s="33"/>
      <c r="AP1599" s="33"/>
      <c r="AQ1599" s="33"/>
      <c r="AR1599" s="33"/>
      <c r="AS1599" s="33"/>
      <c r="AT1599" s="33"/>
      <c r="AU1599" s="33"/>
      <c r="AV1599" s="33"/>
      <c r="AW1599" s="33"/>
      <c r="AX1599" s="33"/>
      <c r="AY1599" s="33"/>
      <c r="AZ1599" s="33"/>
      <c r="BA1599" s="33"/>
      <c r="BB1599" s="33"/>
      <c r="BC1599" s="33"/>
      <c r="BD1599" s="33"/>
      <c r="BE1599" s="33"/>
      <c r="BF1599" s="33"/>
      <c r="BG1599" s="33"/>
      <c r="BH1599" s="33"/>
      <c r="BI1599" s="33"/>
      <c r="BJ1599" s="33"/>
      <c r="BK1599" s="33"/>
      <c r="BL1599" s="33"/>
      <c r="BM1599" s="33"/>
      <c r="BN1599" s="33"/>
      <c r="BO1599" s="33"/>
      <c r="BP1599" s="33"/>
      <c r="BQ1599" s="33"/>
      <c r="BR1599" s="33"/>
      <c r="BS1599" s="33"/>
      <c r="BT1599" s="33"/>
      <c r="BU1599" s="33"/>
      <c r="BV1599" s="33"/>
      <c r="BW1599" s="33"/>
      <c r="BX1599" s="33"/>
      <c r="BY1599" s="33"/>
      <c r="BZ1599" s="33"/>
      <c r="CA1599" s="33"/>
      <c r="CB1599" s="33"/>
      <c r="CC1599" s="33"/>
      <c r="CD1599" s="33"/>
      <c r="CE1599" s="33"/>
      <c r="CF1599" s="33"/>
      <c r="CG1599" s="33"/>
      <c r="CH1599" s="33"/>
      <c r="CI1599" s="33"/>
      <c r="CJ1599" s="33"/>
      <c r="CK1599" s="33"/>
      <c r="CL1599" s="33"/>
      <c r="CM1599" s="33"/>
      <c r="CN1599" s="33"/>
      <c r="CO1599" s="33"/>
      <c r="CP1599" s="33"/>
      <c r="CQ1599" s="33"/>
      <c r="CR1599" s="33"/>
      <c r="CS1599" s="33"/>
      <c r="CT1599" s="33"/>
      <c r="CU1599" s="33"/>
      <c r="CV1599" s="33"/>
      <c r="CW1599" s="33"/>
      <c r="CX1599" s="33"/>
      <c r="CY1599" s="33"/>
      <c r="CZ1599" s="33"/>
      <c r="DA1599" s="33"/>
      <c r="DB1599" s="33"/>
      <c r="DC1599" s="33"/>
      <c r="DD1599" s="33"/>
      <c r="DE1599" s="33"/>
      <c r="DF1599" s="33"/>
      <c r="DG1599" s="33"/>
      <c r="DH1599" s="33"/>
      <c r="DI1599" s="33"/>
      <c r="DJ1599" s="33"/>
      <c r="DK1599" s="33"/>
      <c r="DL1599" s="33"/>
      <c r="DM1599" s="33"/>
      <c r="DN1599" s="33"/>
      <c r="DO1599" s="33"/>
      <c r="DP1599" s="33"/>
      <c r="DQ1599" s="33"/>
      <c r="DR1599" s="33"/>
      <c r="DS1599" s="33"/>
      <c r="DT1599" s="33"/>
      <c r="DU1599" s="33"/>
      <c r="DV1599" s="33"/>
      <c r="DW1599" s="33"/>
      <c r="DX1599" s="33"/>
      <c r="DY1599" s="33"/>
      <c r="DZ1599" s="33"/>
      <c r="EA1599" s="33"/>
      <c r="EB1599" s="33"/>
      <c r="EC1599" s="33"/>
      <c r="ED1599" s="33"/>
      <c r="EE1599" s="33"/>
      <c r="EF1599" s="33"/>
      <c r="EG1599" s="33"/>
      <c r="EH1599" s="33"/>
      <c r="EI1599" s="33"/>
      <c r="EJ1599" s="33"/>
      <c r="EK1599" s="33"/>
      <c r="EL1599" s="33"/>
      <c r="EM1599" s="33"/>
      <c r="EN1599" s="33"/>
      <c r="EO1599" s="33"/>
      <c r="EP1599" s="33"/>
      <c r="EQ1599" s="33"/>
      <c r="ER1599" s="33"/>
      <c r="ES1599" s="33"/>
      <c r="ET1599" s="33"/>
      <c r="EU1599" s="33"/>
      <c r="EV1599" s="33"/>
      <c r="EW1599" s="33"/>
      <c r="EX1599" s="33"/>
      <c r="EY1599" s="33"/>
      <c r="EZ1599" s="33"/>
      <c r="FA1599" s="33"/>
      <c r="FB1599" s="33"/>
      <c r="FC1599" s="33"/>
      <c r="FD1599" s="33"/>
      <c r="FE1599" s="33"/>
      <c r="FF1599" s="33"/>
      <c r="FG1599" s="33"/>
      <c r="FH1599" s="33"/>
      <c r="FI1599" s="33"/>
      <c r="FJ1599" s="33"/>
      <c r="FK1599" s="33"/>
      <c r="FL1599" s="33"/>
      <c r="FM1599" s="33"/>
      <c r="FN1599" s="33"/>
      <c r="FO1599" s="33"/>
      <c r="FP1599" s="33"/>
      <c r="FQ1599" s="33"/>
      <c r="FR1599" s="33"/>
      <c r="FS1599" s="33"/>
      <c r="FT1599" s="33"/>
      <c r="FU1599" s="33"/>
      <c r="FV1599" s="33"/>
      <c r="FW1599" s="33"/>
      <c r="FX1599" s="33"/>
      <c r="FY1599" s="33"/>
      <c r="FZ1599" s="33"/>
      <c r="GA1599" s="33"/>
      <c r="GB1599" s="33"/>
      <c r="GC1599" s="33"/>
      <c r="GD1599" s="33"/>
      <c r="GE1599" s="33"/>
      <c r="GF1599" s="33"/>
      <c r="GG1599" s="33"/>
      <c r="GH1599" s="33"/>
      <c r="GI1599" s="33"/>
      <c r="GJ1599" s="33"/>
      <c r="GK1599" s="33"/>
      <c r="GL1599" s="33"/>
      <c r="GM1599" s="33"/>
      <c r="GN1599" s="33"/>
      <c r="GO1599" s="33"/>
      <c r="GP1599" s="33"/>
      <c r="GQ1599" s="33"/>
      <c r="GR1599" s="33"/>
      <c r="GS1599" s="33"/>
      <c r="GT1599" s="33"/>
      <c r="GU1599" s="33"/>
      <c r="GV1599" s="33"/>
      <c r="GW1599" s="33"/>
      <c r="GX1599" s="33"/>
      <c r="GY1599" s="33"/>
      <c r="GZ1599" s="33"/>
      <c r="HA1599" s="33"/>
      <c r="HB1599" s="33"/>
      <c r="HC1599" s="33"/>
      <c r="HD1599" s="33"/>
      <c r="HE1599" s="33"/>
      <c r="HF1599" s="33"/>
      <c r="HG1599" s="33"/>
      <c r="HH1599" s="33"/>
      <c r="HI1599" s="33"/>
      <c r="HJ1599" s="33"/>
      <c r="HK1599" s="33"/>
      <c r="HL1599" s="33"/>
      <c r="HM1599" s="33"/>
      <c r="HN1599" s="33"/>
      <c r="HO1599" s="33"/>
      <c r="HP1599" s="33"/>
      <c r="HQ1599" s="33"/>
    </row>
    <row r="1600" spans="1:225" x14ac:dyDescent="0.35">
      <c r="A1600" s="308"/>
      <c r="B1600" s="308"/>
      <c r="C1600" s="223"/>
      <c r="D1600" s="274"/>
      <c r="E1600" s="274"/>
      <c r="F1600" s="293"/>
      <c r="G1600" s="308"/>
      <c r="H1600" s="165" t="s">
        <v>76</v>
      </c>
      <c r="I1600" s="86">
        <f>D1596*K1600</f>
        <v>10893.3</v>
      </c>
      <c r="J1600" s="86">
        <f>I1600/D1596</f>
        <v>11</v>
      </c>
      <c r="K1600" s="86">
        <v>11</v>
      </c>
      <c r="L1600" s="33"/>
      <c r="M1600" s="33"/>
      <c r="N1600" s="33"/>
      <c r="O1600" s="33"/>
      <c r="P1600" s="33"/>
      <c r="Q1600" s="33"/>
      <c r="R1600" s="33"/>
      <c r="S1600" s="33"/>
      <c r="T1600" s="33"/>
      <c r="U1600" s="33"/>
      <c r="V1600" s="33"/>
      <c r="W1600" s="33"/>
      <c r="X1600" s="33"/>
      <c r="Y1600" s="33"/>
      <c r="Z1600" s="33"/>
      <c r="AA1600" s="33"/>
      <c r="AB1600" s="33"/>
      <c r="AC1600" s="33"/>
      <c r="AD1600" s="33"/>
      <c r="AE1600" s="33"/>
      <c r="AF1600" s="33"/>
      <c r="AG1600" s="33"/>
      <c r="AH1600" s="33"/>
      <c r="AI1600" s="33"/>
      <c r="AJ1600" s="33"/>
      <c r="AK1600" s="33"/>
      <c r="AL1600" s="33"/>
      <c r="AM1600" s="33"/>
      <c r="AN1600" s="33"/>
      <c r="AO1600" s="33"/>
      <c r="AP1600" s="33"/>
      <c r="AQ1600" s="33"/>
      <c r="AR1600" s="33"/>
      <c r="AS1600" s="33"/>
      <c r="AT1600" s="33"/>
      <c r="AU1600" s="33"/>
      <c r="AV1600" s="33"/>
      <c r="AW1600" s="33"/>
      <c r="AX1600" s="33"/>
      <c r="AY1600" s="33"/>
      <c r="AZ1600" s="33"/>
      <c r="BA1600" s="33"/>
      <c r="BB1600" s="33"/>
      <c r="BC1600" s="33"/>
      <c r="BD1600" s="33"/>
      <c r="BE1600" s="33"/>
      <c r="BF1600" s="33"/>
      <c r="BG1600" s="33"/>
      <c r="BH1600" s="33"/>
      <c r="BI1600" s="33"/>
      <c r="BJ1600" s="33"/>
      <c r="BK1600" s="33"/>
      <c r="BL1600" s="33"/>
      <c r="BM1600" s="33"/>
      <c r="BN1600" s="33"/>
      <c r="BO1600" s="33"/>
      <c r="BP1600" s="33"/>
      <c r="BQ1600" s="33"/>
      <c r="BR1600" s="33"/>
      <c r="BS1600" s="33"/>
      <c r="BT1600" s="33"/>
      <c r="BU1600" s="33"/>
      <c r="BV1600" s="33"/>
      <c r="BW1600" s="33"/>
      <c r="BX1600" s="33"/>
      <c r="BY1600" s="33"/>
      <c r="BZ1600" s="33"/>
      <c r="CA1600" s="33"/>
      <c r="CB1600" s="33"/>
      <c r="CC1600" s="33"/>
      <c r="CD1600" s="33"/>
      <c r="CE1600" s="33"/>
      <c r="CF1600" s="33"/>
      <c r="CG1600" s="33"/>
      <c r="CH1600" s="33"/>
      <c r="CI1600" s="33"/>
      <c r="CJ1600" s="33"/>
      <c r="CK1600" s="33"/>
      <c r="CL1600" s="33"/>
      <c r="CM1600" s="33"/>
      <c r="CN1600" s="33"/>
      <c r="CO1600" s="33"/>
      <c r="CP1600" s="33"/>
      <c r="CQ1600" s="33"/>
      <c r="CR1600" s="33"/>
      <c r="CS1600" s="33"/>
      <c r="CT1600" s="33"/>
      <c r="CU1600" s="33"/>
      <c r="CV1600" s="33"/>
      <c r="CW1600" s="33"/>
      <c r="CX1600" s="33"/>
      <c r="CY1600" s="33"/>
      <c r="CZ1600" s="33"/>
      <c r="DA1600" s="33"/>
      <c r="DB1600" s="33"/>
      <c r="DC1600" s="33"/>
      <c r="DD1600" s="33"/>
      <c r="DE1600" s="33"/>
      <c r="DF1600" s="33"/>
      <c r="DG1600" s="33"/>
      <c r="DH1600" s="33"/>
      <c r="DI1600" s="33"/>
      <c r="DJ1600" s="33"/>
      <c r="DK1600" s="33"/>
      <c r="DL1600" s="33"/>
      <c r="DM1600" s="33"/>
      <c r="DN1600" s="33"/>
      <c r="DO1600" s="33"/>
      <c r="DP1600" s="33"/>
      <c r="DQ1600" s="33"/>
      <c r="DR1600" s="33"/>
      <c r="DS1600" s="33"/>
      <c r="DT1600" s="33"/>
      <c r="DU1600" s="33"/>
      <c r="DV1600" s="33"/>
      <c r="DW1600" s="33"/>
      <c r="DX1600" s="33"/>
      <c r="DY1600" s="33"/>
      <c r="DZ1600" s="33"/>
      <c r="EA1600" s="33"/>
      <c r="EB1600" s="33"/>
      <c r="EC1600" s="33"/>
      <c r="ED1600" s="33"/>
      <c r="EE1600" s="33"/>
      <c r="EF1600" s="33"/>
      <c r="EG1600" s="33"/>
      <c r="EH1600" s="33"/>
      <c r="EI1600" s="33"/>
      <c r="EJ1600" s="33"/>
      <c r="EK1600" s="33"/>
      <c r="EL1600" s="33"/>
      <c r="EM1600" s="33"/>
      <c r="EN1600" s="33"/>
      <c r="EO1600" s="33"/>
      <c r="EP1600" s="33"/>
      <c r="EQ1600" s="33"/>
      <c r="ER1600" s="33"/>
      <c r="ES1600" s="33"/>
      <c r="ET1600" s="33"/>
      <c r="EU1600" s="33"/>
      <c r="EV1600" s="33"/>
      <c r="EW1600" s="33"/>
      <c r="EX1600" s="33"/>
      <c r="EY1600" s="33"/>
      <c r="EZ1600" s="33"/>
      <c r="FA1600" s="33"/>
      <c r="FB1600" s="33"/>
      <c r="FC1600" s="33"/>
      <c r="FD1600" s="33"/>
      <c r="FE1600" s="33"/>
      <c r="FF1600" s="33"/>
      <c r="FG1600" s="33"/>
      <c r="FH1600" s="33"/>
      <c r="FI1600" s="33"/>
      <c r="FJ1600" s="33"/>
      <c r="FK1600" s="33"/>
      <c r="FL1600" s="33"/>
      <c r="FM1600" s="33"/>
      <c r="FN1600" s="33"/>
      <c r="FO1600" s="33"/>
      <c r="FP1600" s="33"/>
      <c r="FQ1600" s="33"/>
      <c r="FR1600" s="33"/>
      <c r="FS1600" s="33"/>
      <c r="FT1600" s="33"/>
      <c r="FU1600" s="33"/>
      <c r="FV1600" s="33"/>
      <c r="FW1600" s="33"/>
      <c r="FX1600" s="33"/>
      <c r="FY1600" s="33"/>
      <c r="FZ1600" s="33"/>
      <c r="GA1600" s="33"/>
      <c r="GB1600" s="33"/>
      <c r="GC1600" s="33"/>
      <c r="GD1600" s="33"/>
      <c r="GE1600" s="33"/>
      <c r="GF1600" s="33"/>
      <c r="GG1600" s="33"/>
      <c r="GH1600" s="33"/>
      <c r="GI1600" s="33"/>
      <c r="GJ1600" s="33"/>
      <c r="GK1600" s="33"/>
      <c r="GL1600" s="33"/>
      <c r="GM1600" s="33"/>
      <c r="GN1600" s="33"/>
      <c r="GO1600" s="33"/>
      <c r="GP1600" s="33"/>
      <c r="GQ1600" s="33"/>
      <c r="GR1600" s="33"/>
      <c r="GS1600" s="33"/>
      <c r="GT1600" s="33"/>
      <c r="GU1600" s="33"/>
      <c r="GV1600" s="33"/>
      <c r="GW1600" s="33"/>
      <c r="GX1600" s="33"/>
      <c r="GY1600" s="33"/>
      <c r="GZ1600" s="33"/>
      <c r="HA1600" s="33"/>
      <c r="HB1600" s="33"/>
      <c r="HC1600" s="33"/>
      <c r="HD1600" s="33"/>
      <c r="HE1600" s="33"/>
      <c r="HF1600" s="33"/>
      <c r="HG1600" s="33"/>
      <c r="HH1600" s="33"/>
      <c r="HI1600" s="33"/>
      <c r="HJ1600" s="33"/>
      <c r="HK1600" s="33"/>
      <c r="HL1600" s="33"/>
      <c r="HM1600" s="33"/>
      <c r="HN1600" s="33"/>
      <c r="HO1600" s="33"/>
      <c r="HP1600" s="33"/>
      <c r="HQ1600" s="33"/>
    </row>
    <row r="1601" spans="1:225" x14ac:dyDescent="0.35">
      <c r="A1601" s="308"/>
      <c r="B1601" s="308"/>
      <c r="C1601" s="223"/>
      <c r="D1601" s="274"/>
      <c r="E1601" s="274"/>
      <c r="F1601" s="293"/>
      <c r="G1601" s="308" t="s">
        <v>90</v>
      </c>
      <c r="H1601" s="165" t="s">
        <v>74</v>
      </c>
      <c r="I1601" s="86">
        <f>D1596*K1601*70/100</f>
        <v>337593.27</v>
      </c>
      <c r="J1601" s="86">
        <f>I1601/D1596</f>
        <v>340.9</v>
      </c>
      <c r="K1601" s="86">
        <v>487</v>
      </c>
      <c r="L1601" s="33"/>
      <c r="M1601" s="33"/>
      <c r="N1601" s="33"/>
      <c r="O1601" s="33"/>
      <c r="P1601" s="33"/>
      <c r="Q1601" s="33"/>
      <c r="R1601" s="33"/>
      <c r="S1601" s="33"/>
      <c r="T1601" s="33"/>
      <c r="U1601" s="33"/>
      <c r="V1601" s="33"/>
      <c r="W1601" s="33"/>
      <c r="X1601" s="33"/>
      <c r="Y1601" s="33"/>
      <c r="Z1601" s="33"/>
      <c r="AA1601" s="33"/>
      <c r="AB1601" s="33"/>
      <c r="AC1601" s="33"/>
      <c r="AD1601" s="33"/>
      <c r="AE1601" s="33"/>
      <c r="AF1601" s="33"/>
      <c r="AG1601" s="33"/>
      <c r="AH1601" s="33"/>
      <c r="AI1601" s="33"/>
      <c r="AJ1601" s="33"/>
      <c r="AK1601" s="33"/>
      <c r="AL1601" s="33"/>
      <c r="AM1601" s="33"/>
      <c r="AN1601" s="33"/>
      <c r="AO1601" s="33"/>
      <c r="AP1601" s="33"/>
      <c r="AQ1601" s="33"/>
      <c r="AR1601" s="33"/>
      <c r="AS1601" s="33"/>
      <c r="AT1601" s="33"/>
      <c r="AU1601" s="33"/>
      <c r="AV1601" s="33"/>
      <c r="AW1601" s="33"/>
      <c r="AX1601" s="33"/>
      <c r="AY1601" s="33"/>
      <c r="AZ1601" s="33"/>
      <c r="BA1601" s="33"/>
      <c r="BB1601" s="33"/>
      <c r="BC1601" s="33"/>
      <c r="BD1601" s="33"/>
      <c r="BE1601" s="33"/>
      <c r="BF1601" s="33"/>
      <c r="BG1601" s="33"/>
      <c r="BH1601" s="33"/>
      <c r="BI1601" s="33"/>
      <c r="BJ1601" s="33"/>
      <c r="BK1601" s="33"/>
      <c r="BL1601" s="33"/>
      <c r="BM1601" s="33"/>
      <c r="BN1601" s="33"/>
      <c r="BO1601" s="33"/>
      <c r="BP1601" s="33"/>
      <c r="BQ1601" s="33"/>
      <c r="BR1601" s="33"/>
      <c r="BS1601" s="33"/>
      <c r="BT1601" s="33"/>
      <c r="BU1601" s="33"/>
      <c r="BV1601" s="33"/>
      <c r="BW1601" s="33"/>
      <c r="BX1601" s="33"/>
      <c r="BY1601" s="33"/>
      <c r="BZ1601" s="33"/>
      <c r="CA1601" s="33"/>
      <c r="CB1601" s="33"/>
      <c r="CC1601" s="33"/>
      <c r="CD1601" s="33"/>
      <c r="CE1601" s="33"/>
      <c r="CF1601" s="33"/>
      <c r="CG1601" s="33"/>
      <c r="CH1601" s="33"/>
      <c r="CI1601" s="33"/>
      <c r="CJ1601" s="33"/>
      <c r="CK1601" s="33"/>
      <c r="CL1601" s="33"/>
      <c r="CM1601" s="33"/>
      <c r="CN1601" s="33"/>
      <c r="CO1601" s="33"/>
      <c r="CP1601" s="33"/>
      <c r="CQ1601" s="33"/>
      <c r="CR1601" s="33"/>
      <c r="CS1601" s="33"/>
      <c r="CT1601" s="33"/>
      <c r="CU1601" s="33"/>
      <c r="CV1601" s="33"/>
      <c r="CW1601" s="33"/>
      <c r="CX1601" s="33"/>
      <c r="CY1601" s="33"/>
      <c r="CZ1601" s="33"/>
      <c r="DA1601" s="33"/>
      <c r="DB1601" s="33"/>
      <c r="DC1601" s="33"/>
      <c r="DD1601" s="33"/>
      <c r="DE1601" s="33"/>
      <c r="DF1601" s="33"/>
      <c r="DG1601" s="33"/>
      <c r="DH1601" s="33"/>
      <c r="DI1601" s="33"/>
      <c r="DJ1601" s="33"/>
      <c r="DK1601" s="33"/>
      <c r="DL1601" s="33"/>
      <c r="DM1601" s="33"/>
      <c r="DN1601" s="33"/>
      <c r="DO1601" s="33"/>
      <c r="DP1601" s="33"/>
      <c r="DQ1601" s="33"/>
      <c r="DR1601" s="33"/>
      <c r="DS1601" s="33"/>
      <c r="DT1601" s="33"/>
      <c r="DU1601" s="33"/>
      <c r="DV1601" s="33"/>
      <c r="DW1601" s="33"/>
      <c r="DX1601" s="33"/>
      <c r="DY1601" s="33"/>
      <c r="DZ1601" s="33"/>
      <c r="EA1601" s="33"/>
      <c r="EB1601" s="33"/>
      <c r="EC1601" s="33"/>
      <c r="ED1601" s="33"/>
      <c r="EE1601" s="33"/>
      <c r="EF1601" s="33"/>
      <c r="EG1601" s="33"/>
      <c r="EH1601" s="33"/>
      <c r="EI1601" s="33"/>
      <c r="EJ1601" s="33"/>
      <c r="EK1601" s="33"/>
      <c r="EL1601" s="33"/>
      <c r="EM1601" s="33"/>
      <c r="EN1601" s="33"/>
      <c r="EO1601" s="33"/>
      <c r="EP1601" s="33"/>
      <c r="EQ1601" s="33"/>
      <c r="ER1601" s="33"/>
      <c r="ES1601" s="33"/>
      <c r="ET1601" s="33"/>
      <c r="EU1601" s="33"/>
      <c r="EV1601" s="33"/>
      <c r="EW1601" s="33"/>
      <c r="EX1601" s="33"/>
      <c r="EY1601" s="33"/>
      <c r="EZ1601" s="33"/>
      <c r="FA1601" s="33"/>
      <c r="FB1601" s="33"/>
      <c r="FC1601" s="33"/>
      <c r="FD1601" s="33"/>
      <c r="FE1601" s="33"/>
      <c r="FF1601" s="33"/>
      <c r="FG1601" s="33"/>
      <c r="FH1601" s="33"/>
      <c r="FI1601" s="33"/>
      <c r="FJ1601" s="33"/>
      <c r="FK1601" s="33"/>
      <c r="FL1601" s="33"/>
      <c r="FM1601" s="33"/>
      <c r="FN1601" s="33"/>
      <c r="FO1601" s="33"/>
      <c r="FP1601" s="33"/>
      <c r="FQ1601" s="33"/>
      <c r="FR1601" s="33"/>
      <c r="FS1601" s="33"/>
      <c r="FT1601" s="33"/>
      <c r="FU1601" s="33"/>
      <c r="FV1601" s="33"/>
      <c r="FW1601" s="33"/>
      <c r="FX1601" s="33"/>
      <c r="FY1601" s="33"/>
      <c r="FZ1601" s="33"/>
      <c r="GA1601" s="33"/>
      <c r="GB1601" s="33"/>
      <c r="GC1601" s="33"/>
      <c r="GD1601" s="33"/>
      <c r="GE1601" s="33"/>
      <c r="GF1601" s="33"/>
      <c r="GG1601" s="33"/>
      <c r="GH1601" s="33"/>
      <c r="GI1601" s="33"/>
      <c r="GJ1601" s="33"/>
      <c r="GK1601" s="33"/>
      <c r="GL1601" s="33"/>
      <c r="GM1601" s="33"/>
      <c r="GN1601" s="33"/>
      <c r="GO1601" s="33"/>
      <c r="GP1601" s="33"/>
      <c r="GQ1601" s="33"/>
      <c r="GR1601" s="33"/>
      <c r="GS1601" s="33"/>
      <c r="GT1601" s="33"/>
      <c r="GU1601" s="33"/>
      <c r="GV1601" s="33"/>
      <c r="GW1601" s="33"/>
      <c r="GX1601" s="33"/>
      <c r="GY1601" s="33"/>
      <c r="GZ1601" s="33"/>
      <c r="HA1601" s="33"/>
      <c r="HB1601" s="33"/>
      <c r="HC1601" s="33"/>
      <c r="HD1601" s="33"/>
      <c r="HE1601" s="33"/>
      <c r="HF1601" s="33"/>
      <c r="HG1601" s="33"/>
      <c r="HH1601" s="33"/>
      <c r="HI1601" s="33"/>
      <c r="HJ1601" s="33"/>
      <c r="HK1601" s="33"/>
      <c r="HL1601" s="33"/>
      <c r="HM1601" s="33"/>
      <c r="HN1601" s="33"/>
      <c r="HO1601" s="33"/>
      <c r="HP1601" s="33"/>
      <c r="HQ1601" s="33"/>
    </row>
    <row r="1602" spans="1:225" x14ac:dyDescent="0.35">
      <c r="A1602" s="308"/>
      <c r="B1602" s="308"/>
      <c r="C1602" s="223"/>
      <c r="D1602" s="274"/>
      <c r="E1602" s="274"/>
      <c r="F1602" s="293"/>
      <c r="G1602" s="308"/>
      <c r="H1602" s="165" t="s">
        <v>76</v>
      </c>
      <c r="I1602" s="86">
        <f>D1596*K1602</f>
        <v>9903</v>
      </c>
      <c r="J1602" s="86">
        <f>I1602/D1596</f>
        <v>10</v>
      </c>
      <c r="K1602" s="86">
        <v>10</v>
      </c>
      <c r="L1602" s="33"/>
      <c r="M1602" s="33"/>
      <c r="N1602" s="33"/>
      <c r="O1602" s="33"/>
      <c r="P1602" s="33"/>
      <c r="Q1602" s="33"/>
      <c r="R1602" s="33"/>
      <c r="S1602" s="33"/>
      <c r="T1602" s="33"/>
      <c r="U1602" s="33"/>
      <c r="V1602" s="33"/>
      <c r="W1602" s="33"/>
      <c r="X1602" s="33"/>
      <c r="Y1602" s="33"/>
      <c r="Z1602" s="33"/>
      <c r="AA1602" s="33"/>
      <c r="AB1602" s="33"/>
      <c r="AC1602" s="33"/>
      <c r="AD1602" s="33"/>
      <c r="AE1602" s="33"/>
      <c r="AF1602" s="33"/>
      <c r="AG1602" s="33"/>
      <c r="AH1602" s="33"/>
      <c r="AI1602" s="33"/>
      <c r="AJ1602" s="33"/>
      <c r="AK1602" s="33"/>
      <c r="AL1602" s="33"/>
      <c r="AM1602" s="33"/>
      <c r="AN1602" s="33"/>
      <c r="AO1602" s="33"/>
      <c r="AP1602" s="33"/>
      <c r="AQ1602" s="33"/>
      <c r="AR1602" s="33"/>
      <c r="AS1602" s="33"/>
      <c r="AT1602" s="33"/>
      <c r="AU1602" s="33"/>
      <c r="AV1602" s="33"/>
      <c r="AW1602" s="33"/>
      <c r="AX1602" s="33"/>
      <c r="AY1602" s="33"/>
      <c r="AZ1602" s="33"/>
      <c r="BA1602" s="33"/>
      <c r="BB1602" s="33"/>
      <c r="BC1602" s="33"/>
      <c r="BD1602" s="33"/>
      <c r="BE1602" s="33"/>
      <c r="BF1602" s="33"/>
      <c r="BG1602" s="33"/>
      <c r="BH1602" s="33"/>
      <c r="BI1602" s="33"/>
      <c r="BJ1602" s="33"/>
      <c r="BK1602" s="33"/>
      <c r="BL1602" s="33"/>
      <c r="BM1602" s="33"/>
      <c r="BN1602" s="33"/>
      <c r="BO1602" s="33"/>
      <c r="BP1602" s="33"/>
      <c r="BQ1602" s="33"/>
      <c r="BR1602" s="33"/>
      <c r="BS1602" s="33"/>
      <c r="BT1602" s="33"/>
      <c r="BU1602" s="33"/>
      <c r="BV1602" s="33"/>
      <c r="BW1602" s="33"/>
      <c r="BX1602" s="33"/>
      <c r="BY1602" s="33"/>
      <c r="BZ1602" s="33"/>
      <c r="CA1602" s="33"/>
      <c r="CB1602" s="33"/>
      <c r="CC1602" s="33"/>
      <c r="CD1602" s="33"/>
      <c r="CE1602" s="33"/>
      <c r="CF1602" s="33"/>
      <c r="CG1602" s="33"/>
      <c r="CH1602" s="33"/>
      <c r="CI1602" s="33"/>
      <c r="CJ1602" s="33"/>
      <c r="CK1602" s="33"/>
      <c r="CL1602" s="33"/>
      <c r="CM1602" s="33"/>
      <c r="CN1602" s="33"/>
      <c r="CO1602" s="33"/>
      <c r="CP1602" s="33"/>
      <c r="CQ1602" s="33"/>
      <c r="CR1602" s="33"/>
      <c r="CS1602" s="33"/>
      <c r="CT1602" s="33"/>
      <c r="CU1602" s="33"/>
      <c r="CV1602" s="33"/>
      <c r="CW1602" s="33"/>
      <c r="CX1602" s="33"/>
      <c r="CY1602" s="33"/>
      <c r="CZ1602" s="33"/>
      <c r="DA1602" s="33"/>
      <c r="DB1602" s="33"/>
      <c r="DC1602" s="33"/>
      <c r="DD1602" s="33"/>
      <c r="DE1602" s="33"/>
      <c r="DF1602" s="33"/>
      <c r="DG1602" s="33"/>
      <c r="DH1602" s="33"/>
      <c r="DI1602" s="33"/>
      <c r="DJ1602" s="33"/>
      <c r="DK1602" s="33"/>
      <c r="DL1602" s="33"/>
      <c r="DM1602" s="33"/>
      <c r="DN1602" s="33"/>
      <c r="DO1602" s="33"/>
      <c r="DP1602" s="33"/>
      <c r="DQ1602" s="33"/>
      <c r="DR1602" s="33"/>
      <c r="DS1602" s="33"/>
      <c r="DT1602" s="33"/>
      <c r="DU1602" s="33"/>
      <c r="DV1602" s="33"/>
      <c r="DW1602" s="33"/>
      <c r="DX1602" s="33"/>
      <c r="DY1602" s="33"/>
      <c r="DZ1602" s="33"/>
      <c r="EA1602" s="33"/>
      <c r="EB1602" s="33"/>
      <c r="EC1602" s="33"/>
      <c r="ED1602" s="33"/>
      <c r="EE1602" s="33"/>
      <c r="EF1602" s="33"/>
      <c r="EG1602" s="33"/>
      <c r="EH1602" s="33"/>
      <c r="EI1602" s="33"/>
      <c r="EJ1602" s="33"/>
      <c r="EK1602" s="33"/>
      <c r="EL1602" s="33"/>
      <c r="EM1602" s="33"/>
      <c r="EN1602" s="33"/>
      <c r="EO1602" s="33"/>
      <c r="EP1602" s="33"/>
      <c r="EQ1602" s="33"/>
      <c r="ER1602" s="33"/>
      <c r="ES1602" s="33"/>
      <c r="ET1602" s="33"/>
      <c r="EU1602" s="33"/>
      <c r="EV1602" s="33"/>
      <c r="EW1602" s="33"/>
      <c r="EX1602" s="33"/>
      <c r="EY1602" s="33"/>
      <c r="EZ1602" s="33"/>
      <c r="FA1602" s="33"/>
      <c r="FB1602" s="33"/>
      <c r="FC1602" s="33"/>
      <c r="FD1602" s="33"/>
      <c r="FE1602" s="33"/>
      <c r="FF1602" s="33"/>
      <c r="FG1602" s="33"/>
      <c r="FH1602" s="33"/>
      <c r="FI1602" s="33"/>
      <c r="FJ1602" s="33"/>
      <c r="FK1602" s="33"/>
      <c r="FL1602" s="33"/>
      <c r="FM1602" s="33"/>
      <c r="FN1602" s="33"/>
      <c r="FO1602" s="33"/>
      <c r="FP1602" s="33"/>
      <c r="FQ1602" s="33"/>
      <c r="FR1602" s="33"/>
      <c r="FS1602" s="33"/>
      <c r="FT1602" s="33"/>
      <c r="FU1602" s="33"/>
      <c r="FV1602" s="33"/>
      <c r="FW1602" s="33"/>
      <c r="FX1602" s="33"/>
      <c r="FY1602" s="33"/>
      <c r="FZ1602" s="33"/>
      <c r="GA1602" s="33"/>
      <c r="GB1602" s="33"/>
      <c r="GC1602" s="33"/>
      <c r="GD1602" s="33"/>
      <c r="GE1602" s="33"/>
      <c r="GF1602" s="33"/>
      <c r="GG1602" s="33"/>
      <c r="GH1602" s="33"/>
      <c r="GI1602" s="33"/>
      <c r="GJ1602" s="33"/>
      <c r="GK1602" s="33"/>
      <c r="GL1602" s="33"/>
      <c r="GM1602" s="33"/>
      <c r="GN1602" s="33"/>
      <c r="GO1602" s="33"/>
      <c r="GP1602" s="33"/>
      <c r="GQ1602" s="33"/>
      <c r="GR1602" s="33"/>
      <c r="GS1602" s="33"/>
      <c r="GT1602" s="33"/>
      <c r="GU1602" s="33"/>
      <c r="GV1602" s="33"/>
      <c r="GW1602" s="33"/>
      <c r="GX1602" s="33"/>
      <c r="GY1602" s="33"/>
      <c r="GZ1602" s="33"/>
      <c r="HA1602" s="33"/>
      <c r="HB1602" s="33"/>
      <c r="HC1602" s="33"/>
      <c r="HD1602" s="33"/>
      <c r="HE1602" s="33"/>
      <c r="HF1602" s="33"/>
      <c r="HG1602" s="33"/>
      <c r="HH1602" s="33"/>
      <c r="HI1602" s="33"/>
      <c r="HJ1602" s="33"/>
      <c r="HK1602" s="33"/>
      <c r="HL1602" s="33"/>
      <c r="HM1602" s="33"/>
      <c r="HN1602" s="33"/>
      <c r="HO1602" s="33"/>
      <c r="HP1602" s="33"/>
      <c r="HQ1602" s="33"/>
    </row>
    <row r="1603" spans="1:225" ht="15.75" customHeight="1" x14ac:dyDescent="0.35">
      <c r="A1603" s="251">
        <f>A1596+1</f>
        <v>19</v>
      </c>
      <c r="B1603" s="251">
        <v>5257</v>
      </c>
      <c r="C1603" s="309" t="s">
        <v>797</v>
      </c>
      <c r="D1603" s="253">
        <v>576.6</v>
      </c>
      <c r="E1603" s="253" t="s">
        <v>75</v>
      </c>
      <c r="F1603" s="255">
        <v>2</v>
      </c>
      <c r="G1603" s="251" t="s">
        <v>72</v>
      </c>
      <c r="H1603" s="159" t="s">
        <v>73</v>
      </c>
      <c r="I1603" s="158">
        <f>I1604</f>
        <v>96292.2</v>
      </c>
      <c r="J1603" s="158">
        <f>J1604</f>
        <v>167</v>
      </c>
      <c r="K1603" s="158">
        <f>K1604</f>
        <v>167</v>
      </c>
      <c r="L1603" s="7"/>
      <c r="M1603" s="7"/>
      <c r="N1603" s="7"/>
      <c r="O1603" s="7"/>
      <c r="P1603" s="7"/>
      <c r="Q1603" s="7"/>
      <c r="R1603" s="7"/>
      <c r="S1603" s="7"/>
      <c r="T1603" s="7"/>
      <c r="U1603" s="7"/>
      <c r="V1603" s="7"/>
      <c r="W1603" s="7"/>
    </row>
    <row r="1604" spans="1:225" ht="46.5" x14ac:dyDescent="0.35">
      <c r="A1604" s="251"/>
      <c r="B1604" s="251"/>
      <c r="C1604" s="309"/>
      <c r="D1604" s="253"/>
      <c r="E1604" s="253"/>
      <c r="F1604" s="255"/>
      <c r="G1604" s="251"/>
      <c r="H1604" s="159" t="s">
        <v>705</v>
      </c>
      <c r="I1604" s="158">
        <f>K1604*D1603</f>
        <v>96292.2</v>
      </c>
      <c r="J1604" s="158">
        <f>I1604/D1603</f>
        <v>167</v>
      </c>
      <c r="K1604" s="158">
        <f>154+13</f>
        <v>167</v>
      </c>
      <c r="L1604" s="7"/>
      <c r="M1604" s="7"/>
      <c r="N1604" s="7"/>
      <c r="O1604" s="7"/>
      <c r="P1604" s="7"/>
      <c r="Q1604" s="7"/>
      <c r="R1604" s="7"/>
      <c r="S1604" s="7"/>
      <c r="T1604" s="7"/>
      <c r="U1604" s="7"/>
      <c r="V1604" s="7"/>
      <c r="W1604" s="7"/>
    </row>
    <row r="1605" spans="1:225" ht="15.75" customHeight="1" x14ac:dyDescent="0.35">
      <c r="A1605" s="251">
        <f>A1603+1</f>
        <v>20</v>
      </c>
      <c r="B1605" s="251">
        <v>5259</v>
      </c>
      <c r="C1605" s="309" t="s">
        <v>798</v>
      </c>
      <c r="D1605" s="253">
        <v>565.6</v>
      </c>
      <c r="E1605" s="253" t="s">
        <v>75</v>
      </c>
      <c r="F1605" s="255">
        <v>2</v>
      </c>
      <c r="G1605" s="251" t="s">
        <v>72</v>
      </c>
      <c r="H1605" s="159" t="s">
        <v>73</v>
      </c>
      <c r="I1605" s="158">
        <f>I1606</f>
        <v>94455.2</v>
      </c>
      <c r="J1605" s="158">
        <f>J1606</f>
        <v>167</v>
      </c>
      <c r="K1605" s="158">
        <f>K1606</f>
        <v>167</v>
      </c>
      <c r="L1605" s="7"/>
      <c r="M1605" s="7"/>
      <c r="N1605" s="7"/>
      <c r="O1605" s="7"/>
      <c r="P1605" s="7"/>
      <c r="Q1605" s="7"/>
      <c r="R1605" s="7"/>
      <c r="S1605" s="7"/>
      <c r="T1605" s="7"/>
      <c r="U1605" s="7"/>
      <c r="V1605" s="7"/>
      <c r="W1605" s="7"/>
    </row>
    <row r="1606" spans="1:225" ht="46.5" x14ac:dyDescent="0.35">
      <c r="A1606" s="251"/>
      <c r="B1606" s="251"/>
      <c r="C1606" s="309"/>
      <c r="D1606" s="253"/>
      <c r="E1606" s="253"/>
      <c r="F1606" s="255"/>
      <c r="G1606" s="251"/>
      <c r="H1606" s="159" t="s">
        <v>705</v>
      </c>
      <c r="I1606" s="158">
        <f>K1606*D1605</f>
        <v>94455.2</v>
      </c>
      <c r="J1606" s="158">
        <f>I1606/D1605</f>
        <v>167</v>
      </c>
      <c r="K1606" s="158">
        <f>154+13</f>
        <v>167</v>
      </c>
      <c r="L1606" s="7"/>
      <c r="M1606" s="7"/>
      <c r="N1606" s="7"/>
      <c r="O1606" s="7"/>
      <c r="P1606" s="7"/>
      <c r="Q1606" s="7"/>
      <c r="R1606" s="7"/>
      <c r="S1606" s="7"/>
      <c r="T1606" s="7"/>
      <c r="U1606" s="7"/>
      <c r="V1606" s="7"/>
      <c r="W1606" s="7"/>
    </row>
    <row r="1607" spans="1:225" ht="15.75" customHeight="1" x14ac:dyDescent="0.35">
      <c r="A1607" s="251">
        <f>A1605+1</f>
        <v>21</v>
      </c>
      <c r="B1607" s="251">
        <v>5263</v>
      </c>
      <c r="C1607" s="309" t="s">
        <v>799</v>
      </c>
      <c r="D1607" s="253">
        <v>560.6</v>
      </c>
      <c r="E1607" s="253" t="s">
        <v>75</v>
      </c>
      <c r="F1607" s="255">
        <v>2</v>
      </c>
      <c r="G1607" s="251" t="s">
        <v>72</v>
      </c>
      <c r="H1607" s="159" t="s">
        <v>73</v>
      </c>
      <c r="I1607" s="158">
        <f>I1608</f>
        <v>93620.2</v>
      </c>
      <c r="J1607" s="158">
        <f>J1608</f>
        <v>167</v>
      </c>
      <c r="K1607" s="158">
        <f>K1608</f>
        <v>167</v>
      </c>
      <c r="L1607" s="7"/>
      <c r="M1607" s="7"/>
      <c r="N1607" s="7"/>
      <c r="O1607" s="7"/>
      <c r="P1607" s="7"/>
      <c r="Q1607" s="7"/>
      <c r="R1607" s="7"/>
      <c r="S1607" s="7"/>
      <c r="T1607" s="7"/>
      <c r="U1607" s="7"/>
      <c r="V1607" s="7"/>
      <c r="W1607" s="7"/>
    </row>
    <row r="1608" spans="1:225" ht="46.5" x14ac:dyDescent="0.35">
      <c r="A1608" s="251"/>
      <c r="B1608" s="251"/>
      <c r="C1608" s="309"/>
      <c r="D1608" s="253"/>
      <c r="E1608" s="253"/>
      <c r="F1608" s="255"/>
      <c r="G1608" s="251"/>
      <c r="H1608" s="159" t="s">
        <v>705</v>
      </c>
      <c r="I1608" s="158">
        <f>K1608*D1607</f>
        <v>93620.2</v>
      </c>
      <c r="J1608" s="158">
        <f>I1608/D1607</f>
        <v>167</v>
      </c>
      <c r="K1608" s="158">
        <f>154+13</f>
        <v>167</v>
      </c>
      <c r="L1608" s="7"/>
      <c r="M1608" s="7"/>
      <c r="N1608" s="7"/>
      <c r="O1608" s="7"/>
      <c r="P1608" s="7"/>
      <c r="Q1608" s="7"/>
      <c r="R1608" s="7"/>
      <c r="S1608" s="7"/>
      <c r="T1608" s="7"/>
      <c r="U1608" s="7"/>
      <c r="V1608" s="7"/>
      <c r="W1608" s="7"/>
    </row>
    <row r="1609" spans="1:225" x14ac:dyDescent="0.35">
      <c r="A1609" s="153" t="s">
        <v>47</v>
      </c>
      <c r="B1609" s="147"/>
      <c r="C1609" s="153"/>
      <c r="D1609" s="142">
        <f>D1610+D1613+D1616+D1620+D1624+D1627+D1630+D1633+D1637+D1641+D1644+D1646+D1648+D1651+D1654+D1657+D1660+D1662+D1665+D1667+D1670+D1680+D1687+D1690+D1693+D1695+D1702+D1705+D1707+D1710+D1713+D1715+D1718+D1721+D1724+D1726+D1729+D1731+D1734+D1741+D1748+D1750+D1753+D1755+D1758+D1768+D1770+D1777+D1779+D1781+D1783+D1786+D1789+D1791+D1798+D1801+D1805+D1808+D1813+D1816+D1818+D1820+D1824+D1827+D1829+D1833+D1836+D1839+D1843+D1859+D1864+D1866+D1868+D1870+D1873+D1876+D1878+D1881+D1883+D1887+D1890+D1893+D1897+D1900+D1902+D1909+D1911+D1913+D1916+D1919+D1922+D1925+D1932+D1935+D1938+D1942+D1945+D1947+D1952+D1954+D1957+D1961+D1964+D1967+D1969+D1972+D1975+D1978+D1981+D1984+D1986+D1988+D1990+D1992+D1994+D1996+D1999+D2001+D2004+D2006+D2008+D2010+D2012+D2019+D2026+D2031+D2033+D2043+D2045+D2047+D2049+D2052+D2054+D2056+D2058+D2060+D2062+D2067+D2069+D2071+D2073+D2075+D2077+D2081+D2083+D2085+D2095+D2105+D2114+D2116+D2118+D2120+D2123+D2125+D2127+D2129+D2131+D2133+D2138+D2140+D2142+D2145+D2147+D2149+D2151+D2153+D2155+D2168+D2170+D2186+D2194+D2196+D2198+D2200+D2202+D2204+D2206+D2208+D2210+D2212+D2214+D2216+D2218+D2220+D2223+D2226+D2229+D2232+D2234+D2236+D2238+D2240+D2242+D2246+D2250+D2252+D2256+D2258+D2263+D2267+D2272+D2275+D2280+D2282+D2284+D2287+D2289+D2293+D2295+D2298+D2300+D2303+D2306+D2309+D2316+D2319+D2321+D2323+D2326+D2329+D2332+D2336+D2339+D2342+D2344+D2346+D2349+D2351+D2353+D2355+D2358+D2360+D2362+D2365+D2368+D2371+D2373+D2376+D2378+D2380+D2382+D2384+D2387+D2389+D2391+D2393+D2395+D2397+D2399+D2402+D2404+D2407+D2409</f>
        <v>971352.08</v>
      </c>
      <c r="E1609" s="142"/>
      <c r="F1609" s="31"/>
      <c r="G1609" s="123"/>
      <c r="H1609" s="159"/>
      <c r="I1609" s="158">
        <f>I1610+I1613+I1616+I1620+I1624+I1627+I1630+I1633+I1637+I1641+I1644+I1646+I1648+I1651+I1654+I1657+I1660+I1662+I1665+I1667+I1670+I1680+I1687+I1690+I1693+I1695+I1702+I1705+I1707+I1710+I1713+I1715+I1718+I1721+I1724+I1726+I1729+I1731+I1734+I1741+I1748+I1750+I1753+I1755+I1758+I1768+I1770+I1777+I1779+I1781+I1783+I1786+I1789+I1791+I1798+I1801+I1805+I1808+I1813+I1816+I1818+I1820+I1824+I1827+I1829+I1833+I1836+I1839+I1843+I1859+I1864+I1866+I1868+I1870+I1873+I1876+I1878+I1881+I1883+I1887+I1890+I1893+I1897+I1900+I1902+I1909+I1911+I1913+I1916+I1919+I1922+I1925+I1932+I1935+I1938+I1942+I1945+I1947+I1952+I1954+I1957+I1961+I1964+I1967+I1969+I1972+I1975+I1978+I1981+I1984+I1986+I1988+I1990+I1992+I1994+I1996+I1999+I2001+I2004+I2006+I2008+I2010+I2012+I2019+I2026+I2031+I2033+I2043+I2045+I2047+I2049+I2052+I2054+I2056+I2058+I2060+I2062+I2067+I2069+I2071+I2073+I2075+I2077+I2081+I2083+I2085+I2095+I2105+I2114+I2116+I2118+I2120+I2123+I2125+I2127+I2129+I2131+I2133+I2138+I2140+I2142+I2145+I2147+I2149+I2151+I2153+I2155+I2168+I2170+I2186+I2194+I2196+I2198+I2200+I2202+I2204+I2206+I2208+I2210+I2212+I2214+I2216+I2218+I2220+I2223+I2226+I2229+I2232+I2234+I2236+I2238+I2240+I2242+I2246+I2250+I2252+I2256+I2258+I2263+I2267+I2272+I2275+I2280+I2282+I2284+I2287+I2289+I2293+I2295+I2298+I2300+I2303+I2306+I2309+I2316+I2319+I2321+I2323+I2326+I2329+I2332+I2336+I2339+I2342+I2344+I2346+I2349+I2351+I2353+I2355+I2358+I2360+I2362+I2365+I2368+I2371+I2373+I2376+I2378+I2380+I2382+I2384+I2387+I2389+I2391+I2393+I2395+I2397+I2399+I2402+I2404+I2407+I2409</f>
        <v>733471236.44000006</v>
      </c>
      <c r="J1609" s="158"/>
      <c r="K1609" s="158"/>
      <c r="L1609" s="7"/>
      <c r="M1609" s="7"/>
      <c r="N1609" s="7"/>
      <c r="O1609" s="7"/>
      <c r="P1609" s="7"/>
      <c r="Q1609" s="7"/>
      <c r="R1609" s="7"/>
      <c r="S1609" s="7"/>
      <c r="T1609" s="7"/>
      <c r="U1609" s="7"/>
      <c r="V1609" s="7"/>
      <c r="W1609" s="7"/>
    </row>
    <row r="1610" spans="1:225" ht="15.75" customHeight="1" x14ac:dyDescent="0.35">
      <c r="A1610" s="256">
        <v>1</v>
      </c>
      <c r="B1610" s="256">
        <v>654</v>
      </c>
      <c r="C1610" s="259" t="s">
        <v>544</v>
      </c>
      <c r="D1610" s="262">
        <v>3916.7</v>
      </c>
      <c r="E1610" s="268" t="s">
        <v>71</v>
      </c>
      <c r="F1610" s="268">
        <v>5</v>
      </c>
      <c r="G1610" s="256" t="s">
        <v>85</v>
      </c>
      <c r="H1610" s="159" t="s">
        <v>73</v>
      </c>
      <c r="I1610" s="158">
        <f>I1611+I1612</f>
        <v>834257.1</v>
      </c>
      <c r="J1610" s="158">
        <f>J1611+J1612</f>
        <v>213</v>
      </c>
      <c r="K1610" s="158">
        <f>K1611+K1612</f>
        <v>213</v>
      </c>
      <c r="L1610" s="7"/>
      <c r="M1610" s="7"/>
      <c r="N1610" s="7"/>
      <c r="O1610" s="7"/>
      <c r="P1610" s="7"/>
      <c r="Q1610" s="7"/>
      <c r="R1610" s="7"/>
      <c r="S1610" s="7"/>
      <c r="T1610" s="7"/>
      <c r="U1610" s="7"/>
      <c r="V1610" s="7"/>
      <c r="W1610" s="7"/>
    </row>
    <row r="1611" spans="1:225" ht="46.5" x14ac:dyDescent="0.35">
      <c r="A1611" s="257"/>
      <c r="B1611" s="257"/>
      <c r="C1611" s="260"/>
      <c r="D1611" s="263"/>
      <c r="E1611" s="269"/>
      <c r="F1611" s="269"/>
      <c r="G1611" s="257"/>
      <c r="H1611" s="159" t="s">
        <v>705</v>
      </c>
      <c r="I1611" s="158">
        <f>D1610*K1611</f>
        <v>172334.8</v>
      </c>
      <c r="J1611" s="158">
        <f>I1611/D1610</f>
        <v>44</v>
      </c>
      <c r="K1611" s="158">
        <f>41+3</f>
        <v>44</v>
      </c>
      <c r="L1611" s="7"/>
      <c r="M1611" s="7"/>
      <c r="N1611" s="7"/>
      <c r="O1611" s="7"/>
      <c r="P1611" s="7"/>
      <c r="Q1611" s="7"/>
      <c r="R1611" s="7"/>
      <c r="S1611" s="7"/>
      <c r="T1611" s="7"/>
      <c r="U1611" s="7"/>
      <c r="V1611" s="7"/>
      <c r="W1611" s="7"/>
    </row>
    <row r="1612" spans="1:225" ht="46.5" x14ac:dyDescent="0.35">
      <c r="A1612" s="257"/>
      <c r="B1612" s="257"/>
      <c r="C1612" s="260"/>
      <c r="D1612" s="263"/>
      <c r="E1612" s="273"/>
      <c r="F1612" s="273"/>
      <c r="G1612" s="257"/>
      <c r="H1612" s="159" t="s">
        <v>706</v>
      </c>
      <c r="I1612" s="158">
        <f>D1610*K1612</f>
        <v>661922.30000000005</v>
      </c>
      <c r="J1612" s="158">
        <f>I1612/D1610</f>
        <v>169</v>
      </c>
      <c r="K1612" s="158">
        <f>156+13</f>
        <v>169</v>
      </c>
      <c r="L1612" s="7"/>
      <c r="M1612" s="7"/>
      <c r="N1612" s="7"/>
      <c r="O1612" s="7"/>
      <c r="P1612" s="7"/>
      <c r="Q1612" s="7"/>
      <c r="R1612" s="7"/>
      <c r="S1612" s="7"/>
      <c r="T1612" s="7"/>
      <c r="U1612" s="7"/>
      <c r="V1612" s="7"/>
      <c r="W1612" s="7"/>
    </row>
    <row r="1613" spans="1:225" x14ac:dyDescent="0.35">
      <c r="A1613" s="251">
        <f>A1610+1</f>
        <v>2</v>
      </c>
      <c r="B1613" s="298">
        <v>734</v>
      </c>
      <c r="C1613" s="252" t="s">
        <v>259</v>
      </c>
      <c r="D1613" s="253">
        <v>3971.1</v>
      </c>
      <c r="E1613" s="254" t="s">
        <v>71</v>
      </c>
      <c r="F1613" s="254">
        <v>5</v>
      </c>
      <c r="G1613" s="251" t="s">
        <v>72</v>
      </c>
      <c r="H1613" s="159" t="s">
        <v>73</v>
      </c>
      <c r="I1613" s="158">
        <f>I1614+I1615</f>
        <v>7939817.3399999999</v>
      </c>
      <c r="J1613" s="158">
        <f>J1614+J1615</f>
        <v>1999.4</v>
      </c>
      <c r="K1613" s="158">
        <f>K1614+K1615</f>
        <v>2831</v>
      </c>
      <c r="L1613" s="7"/>
      <c r="M1613" s="7"/>
      <c r="N1613" s="7"/>
      <c r="O1613" s="7"/>
      <c r="P1613" s="7"/>
      <c r="Q1613" s="7"/>
      <c r="R1613" s="7"/>
      <c r="S1613" s="7"/>
      <c r="T1613" s="7"/>
      <c r="U1613" s="7"/>
      <c r="V1613" s="7"/>
      <c r="W1613" s="7"/>
    </row>
    <row r="1614" spans="1:225" x14ac:dyDescent="0.35">
      <c r="A1614" s="251"/>
      <c r="B1614" s="299"/>
      <c r="C1614" s="252"/>
      <c r="D1614" s="253"/>
      <c r="E1614" s="254"/>
      <c r="F1614" s="254"/>
      <c r="G1614" s="251"/>
      <c r="H1614" s="159" t="s">
        <v>74</v>
      </c>
      <c r="I1614" s="158">
        <f>K1614*D1613*0.7</f>
        <v>7705522.4400000004</v>
      </c>
      <c r="J1614" s="158">
        <f>I1614/D1613</f>
        <v>1940.4</v>
      </c>
      <c r="K1614" s="158">
        <v>2772</v>
      </c>
      <c r="L1614" s="7"/>
      <c r="M1614" s="7"/>
      <c r="N1614" s="7"/>
      <c r="O1614" s="7"/>
      <c r="P1614" s="7"/>
      <c r="Q1614" s="7"/>
      <c r="R1614" s="7"/>
      <c r="S1614" s="7"/>
      <c r="T1614" s="7"/>
      <c r="U1614" s="7"/>
      <c r="V1614" s="7"/>
      <c r="W1614" s="7"/>
    </row>
    <row r="1615" spans="1:225" x14ac:dyDescent="0.35">
      <c r="A1615" s="251"/>
      <c r="B1615" s="300"/>
      <c r="C1615" s="252"/>
      <c r="D1615" s="253"/>
      <c r="E1615" s="254"/>
      <c r="F1615" s="254"/>
      <c r="G1615" s="251"/>
      <c r="H1615" s="159" t="s">
        <v>76</v>
      </c>
      <c r="I1615" s="158">
        <f>K1615*D1613</f>
        <v>234294.9</v>
      </c>
      <c r="J1615" s="158">
        <f>I1615/D1613</f>
        <v>59</v>
      </c>
      <c r="K1615" s="158">
        <v>59</v>
      </c>
      <c r="L1615" s="7"/>
      <c r="M1615" s="7"/>
      <c r="N1615" s="7"/>
      <c r="O1615" s="7"/>
      <c r="P1615" s="7"/>
      <c r="Q1615" s="7"/>
      <c r="R1615" s="7"/>
      <c r="S1615" s="7"/>
      <c r="T1615" s="7"/>
      <c r="U1615" s="7"/>
      <c r="V1615" s="7"/>
      <c r="W1615" s="7"/>
    </row>
    <row r="1616" spans="1:225" ht="15.75" customHeight="1" x14ac:dyDescent="0.35">
      <c r="A1616" s="256">
        <f>A1613+1</f>
        <v>3</v>
      </c>
      <c r="B1616" s="256">
        <v>736</v>
      </c>
      <c r="C1616" s="259" t="s">
        <v>545</v>
      </c>
      <c r="D1616" s="262">
        <v>930.1</v>
      </c>
      <c r="E1616" s="268" t="s">
        <v>75</v>
      </c>
      <c r="F1616" s="268">
        <v>5</v>
      </c>
      <c r="G1616" s="149"/>
      <c r="H1616" s="159" t="s">
        <v>73</v>
      </c>
      <c r="I1616" s="158">
        <f>I1617+I1618+I1619</f>
        <v>350647.7</v>
      </c>
      <c r="J1616" s="158">
        <f>J1617+J1618+J1619</f>
        <v>377</v>
      </c>
      <c r="K1616" s="158">
        <f>K1617+K1618+K1619</f>
        <v>377</v>
      </c>
      <c r="L1616" s="7"/>
      <c r="M1616" s="7"/>
      <c r="N1616" s="7"/>
      <c r="O1616" s="7"/>
      <c r="P1616" s="7"/>
      <c r="Q1616" s="7"/>
      <c r="R1616" s="7"/>
      <c r="S1616" s="7"/>
      <c r="T1616" s="7"/>
      <c r="U1616" s="7"/>
      <c r="V1616" s="7"/>
      <c r="W1616" s="7"/>
    </row>
    <row r="1617" spans="1:23" ht="46.5" x14ac:dyDescent="0.35">
      <c r="A1617" s="257"/>
      <c r="B1617" s="257"/>
      <c r="C1617" s="260"/>
      <c r="D1617" s="263"/>
      <c r="E1617" s="269"/>
      <c r="F1617" s="269"/>
      <c r="G1617" s="120" t="s">
        <v>72</v>
      </c>
      <c r="H1617" s="159" t="s">
        <v>705</v>
      </c>
      <c r="I1617" s="158">
        <f>D1616*K1617</f>
        <v>152536.4</v>
      </c>
      <c r="J1617" s="158">
        <f>I1617/D1616</f>
        <v>164</v>
      </c>
      <c r="K1617" s="158">
        <f>151+13</f>
        <v>164</v>
      </c>
      <c r="L1617" s="7"/>
      <c r="M1617" s="7"/>
      <c r="N1617" s="7"/>
      <c r="O1617" s="7"/>
      <c r="P1617" s="7"/>
      <c r="Q1617" s="7"/>
      <c r="R1617" s="7"/>
      <c r="S1617" s="7"/>
      <c r="T1617" s="7"/>
      <c r="U1617" s="7"/>
      <c r="V1617" s="7"/>
      <c r="W1617" s="7"/>
    </row>
    <row r="1618" spans="1:23" ht="46.5" x14ac:dyDescent="0.35">
      <c r="A1618" s="257"/>
      <c r="B1618" s="257"/>
      <c r="C1618" s="260"/>
      <c r="D1618" s="263"/>
      <c r="E1618" s="269"/>
      <c r="F1618" s="269"/>
      <c r="G1618" s="256" t="s">
        <v>85</v>
      </c>
      <c r="H1618" s="159" t="s">
        <v>705</v>
      </c>
      <c r="I1618" s="158">
        <f>D1616*K1618</f>
        <v>40924.400000000001</v>
      </c>
      <c r="J1618" s="158">
        <f>I1618/D1616</f>
        <v>44</v>
      </c>
      <c r="K1618" s="158">
        <f>41+3</f>
        <v>44</v>
      </c>
      <c r="L1618" s="7"/>
      <c r="M1618" s="7"/>
      <c r="N1618" s="7"/>
      <c r="O1618" s="7"/>
      <c r="P1618" s="7"/>
      <c r="Q1618" s="7"/>
      <c r="R1618" s="7"/>
      <c r="S1618" s="7"/>
      <c r="T1618" s="7"/>
      <c r="U1618" s="7"/>
      <c r="V1618" s="7"/>
      <c r="W1618" s="7"/>
    </row>
    <row r="1619" spans="1:23" ht="46.5" x14ac:dyDescent="0.35">
      <c r="A1619" s="257"/>
      <c r="B1619" s="257"/>
      <c r="C1619" s="260"/>
      <c r="D1619" s="263"/>
      <c r="E1619" s="269"/>
      <c r="F1619" s="269"/>
      <c r="G1619" s="258"/>
      <c r="H1619" s="159" t="s">
        <v>706</v>
      </c>
      <c r="I1619" s="158">
        <f>D1616*K1619</f>
        <v>157186.9</v>
      </c>
      <c r="J1619" s="158">
        <f>I1619/D1616</f>
        <v>169</v>
      </c>
      <c r="K1619" s="158">
        <f>156+13</f>
        <v>169</v>
      </c>
      <c r="L1619" s="7"/>
      <c r="M1619" s="7"/>
      <c r="N1619" s="7"/>
      <c r="O1619" s="7"/>
      <c r="P1619" s="7"/>
      <c r="Q1619" s="7"/>
      <c r="R1619" s="7"/>
      <c r="S1619" s="7"/>
      <c r="T1619" s="7"/>
      <c r="U1619" s="7"/>
      <c r="V1619" s="7"/>
      <c r="W1619" s="7"/>
    </row>
    <row r="1620" spans="1:23" ht="15.75" customHeight="1" x14ac:dyDescent="0.35">
      <c r="A1620" s="256">
        <f>A1616+1</f>
        <v>4</v>
      </c>
      <c r="B1620" s="256">
        <v>822</v>
      </c>
      <c r="C1620" s="259" t="s">
        <v>742</v>
      </c>
      <c r="D1620" s="262">
        <v>982.57</v>
      </c>
      <c r="E1620" s="262" t="s">
        <v>75</v>
      </c>
      <c r="F1620" s="265">
        <v>5</v>
      </c>
      <c r="G1620" s="149"/>
      <c r="H1620" s="159" t="s">
        <v>73</v>
      </c>
      <c r="I1620" s="158">
        <f>I1621+I1622+I1623</f>
        <v>370428.89</v>
      </c>
      <c r="J1620" s="158">
        <f>J1621+J1622+J1623</f>
        <v>377</v>
      </c>
      <c r="K1620" s="158">
        <f>K1621+K1622+K1623</f>
        <v>377</v>
      </c>
      <c r="L1620" s="7"/>
      <c r="M1620" s="7"/>
      <c r="N1620" s="7"/>
      <c r="O1620" s="7"/>
      <c r="P1620" s="7"/>
      <c r="Q1620" s="7"/>
      <c r="R1620" s="7"/>
      <c r="S1620" s="7"/>
      <c r="T1620" s="7"/>
      <c r="U1620" s="7"/>
      <c r="V1620" s="7"/>
      <c r="W1620" s="7"/>
    </row>
    <row r="1621" spans="1:23" ht="46.5" x14ac:dyDescent="0.35">
      <c r="A1621" s="257"/>
      <c r="B1621" s="257"/>
      <c r="C1621" s="260"/>
      <c r="D1621" s="263"/>
      <c r="E1621" s="263"/>
      <c r="F1621" s="266"/>
      <c r="G1621" s="120" t="s">
        <v>72</v>
      </c>
      <c r="H1621" s="159" t="s">
        <v>705</v>
      </c>
      <c r="I1621" s="158">
        <f>D1620*K1621</f>
        <v>161141.48000000001</v>
      </c>
      <c r="J1621" s="158">
        <f>I1621/D1620</f>
        <v>164</v>
      </c>
      <c r="K1621" s="158">
        <f>151+13</f>
        <v>164</v>
      </c>
      <c r="L1621" s="7"/>
      <c r="M1621" s="7"/>
      <c r="N1621" s="7"/>
      <c r="O1621" s="7"/>
      <c r="P1621" s="7"/>
      <c r="Q1621" s="7"/>
      <c r="R1621" s="7"/>
      <c r="S1621" s="7"/>
      <c r="T1621" s="7"/>
      <c r="U1621" s="7"/>
      <c r="V1621" s="7"/>
      <c r="W1621" s="7"/>
    </row>
    <row r="1622" spans="1:23" ht="46.5" x14ac:dyDescent="0.35">
      <c r="A1622" s="257"/>
      <c r="B1622" s="257"/>
      <c r="C1622" s="260"/>
      <c r="D1622" s="263"/>
      <c r="E1622" s="263"/>
      <c r="F1622" s="266"/>
      <c r="G1622" s="256" t="s">
        <v>85</v>
      </c>
      <c r="H1622" s="159" t="s">
        <v>705</v>
      </c>
      <c r="I1622" s="158">
        <f>D1620*K1622</f>
        <v>43233.08</v>
      </c>
      <c r="J1622" s="158">
        <f>I1622/D1620</f>
        <v>44</v>
      </c>
      <c r="K1622" s="158">
        <f>41+3</f>
        <v>44</v>
      </c>
      <c r="L1622" s="7"/>
      <c r="M1622" s="7"/>
      <c r="N1622" s="7"/>
      <c r="O1622" s="7"/>
      <c r="P1622" s="7"/>
      <c r="Q1622" s="7"/>
      <c r="R1622" s="7"/>
      <c r="S1622" s="7"/>
      <c r="T1622" s="7"/>
      <c r="U1622" s="7"/>
      <c r="V1622" s="7"/>
      <c r="W1622" s="7"/>
    </row>
    <row r="1623" spans="1:23" ht="46.5" x14ac:dyDescent="0.35">
      <c r="A1623" s="257"/>
      <c r="B1623" s="257"/>
      <c r="C1623" s="260"/>
      <c r="D1623" s="263"/>
      <c r="E1623" s="263"/>
      <c r="F1623" s="266"/>
      <c r="G1623" s="258"/>
      <c r="H1623" s="159" t="s">
        <v>706</v>
      </c>
      <c r="I1623" s="158">
        <f>D1620*K1623</f>
        <v>166054.32999999999</v>
      </c>
      <c r="J1623" s="158">
        <f>I1623/D1620</f>
        <v>169</v>
      </c>
      <c r="K1623" s="158">
        <f>156+13</f>
        <v>169</v>
      </c>
      <c r="L1623" s="7"/>
      <c r="M1623" s="7"/>
      <c r="N1623" s="7"/>
      <c r="O1623" s="7"/>
      <c r="P1623" s="7"/>
      <c r="Q1623" s="7"/>
      <c r="R1623" s="7"/>
      <c r="S1623" s="7"/>
      <c r="T1623" s="7"/>
      <c r="U1623" s="7"/>
      <c r="V1623" s="7"/>
      <c r="W1623" s="7"/>
    </row>
    <row r="1624" spans="1:23" x14ac:dyDescent="0.35">
      <c r="A1624" s="251">
        <f>A1620+1</f>
        <v>5</v>
      </c>
      <c r="B1624" s="251">
        <v>818</v>
      </c>
      <c r="C1624" s="252" t="s">
        <v>262</v>
      </c>
      <c r="D1624" s="253">
        <v>746.74</v>
      </c>
      <c r="E1624" s="254" t="s">
        <v>75</v>
      </c>
      <c r="F1624" s="254">
        <v>4</v>
      </c>
      <c r="G1624" s="251" t="s">
        <v>72</v>
      </c>
      <c r="H1624" s="159" t="s">
        <v>73</v>
      </c>
      <c r="I1624" s="158">
        <f>I1625+I1626</f>
        <v>2381933.11</v>
      </c>
      <c r="J1624" s="158">
        <f>J1625+J1626</f>
        <v>3189.78</v>
      </c>
      <c r="K1624" s="158">
        <f>K1625+K1626</f>
        <v>4728</v>
      </c>
      <c r="L1624" s="7"/>
      <c r="M1624" s="7"/>
      <c r="N1624" s="7"/>
      <c r="O1624" s="7"/>
      <c r="P1624" s="7"/>
      <c r="Q1624" s="7"/>
      <c r="R1624" s="7"/>
      <c r="S1624" s="7"/>
      <c r="T1624" s="7"/>
      <c r="U1624" s="7"/>
      <c r="V1624" s="7"/>
      <c r="W1624" s="7"/>
    </row>
    <row r="1625" spans="1:23" x14ac:dyDescent="0.35">
      <c r="A1625" s="251">
        <v>75</v>
      </c>
      <c r="B1625" s="251"/>
      <c r="C1625" s="252"/>
      <c r="D1625" s="253"/>
      <c r="E1625" s="254"/>
      <c r="F1625" s="254"/>
      <c r="G1625" s="251"/>
      <c r="H1625" s="159" t="s">
        <v>74</v>
      </c>
      <c r="I1625" s="158">
        <f>3301820.23*0.7</f>
        <v>2311274.16</v>
      </c>
      <c r="J1625" s="158">
        <f>I1625/D1624+0.01</f>
        <v>3095.16</v>
      </c>
      <c r="K1625" s="158">
        <v>4629</v>
      </c>
      <c r="L1625" s="7"/>
      <c r="M1625" s="7"/>
      <c r="N1625" s="7"/>
      <c r="O1625" s="7"/>
      <c r="P1625" s="7"/>
      <c r="Q1625" s="7"/>
      <c r="R1625" s="7"/>
      <c r="S1625" s="7"/>
      <c r="T1625" s="7"/>
      <c r="U1625" s="7"/>
      <c r="V1625" s="7"/>
      <c r="W1625" s="7"/>
    </row>
    <row r="1626" spans="1:23" x14ac:dyDescent="0.35">
      <c r="A1626" s="251"/>
      <c r="B1626" s="251"/>
      <c r="C1626" s="252"/>
      <c r="D1626" s="253"/>
      <c r="E1626" s="254"/>
      <c r="F1626" s="254"/>
      <c r="G1626" s="251"/>
      <c r="H1626" s="159" t="s">
        <v>76</v>
      </c>
      <c r="I1626" s="158">
        <f>3301820.23*0.0214</f>
        <v>70658.95</v>
      </c>
      <c r="J1626" s="158">
        <f>I1626/D1624</f>
        <v>94.62</v>
      </c>
      <c r="K1626" s="158">
        <v>99</v>
      </c>
      <c r="L1626" s="7"/>
      <c r="M1626" s="7"/>
      <c r="N1626" s="7"/>
      <c r="O1626" s="7"/>
      <c r="P1626" s="7"/>
      <c r="Q1626" s="7"/>
      <c r="R1626" s="7"/>
      <c r="S1626" s="7"/>
      <c r="T1626" s="7"/>
      <c r="U1626" s="7"/>
      <c r="V1626" s="7"/>
      <c r="W1626" s="7"/>
    </row>
    <row r="1627" spans="1:23" x14ac:dyDescent="0.35">
      <c r="A1627" s="251">
        <f>A1624+1</f>
        <v>6</v>
      </c>
      <c r="B1627" s="251">
        <v>722</v>
      </c>
      <c r="C1627" s="252" t="s">
        <v>263</v>
      </c>
      <c r="D1627" s="253">
        <v>722.6</v>
      </c>
      <c r="E1627" s="254" t="s">
        <v>75</v>
      </c>
      <c r="F1627" s="254">
        <v>4</v>
      </c>
      <c r="G1627" s="251" t="s">
        <v>72</v>
      </c>
      <c r="H1627" s="159" t="s">
        <v>73</v>
      </c>
      <c r="I1627" s="158">
        <f>I1628+I1629</f>
        <v>2288180.9</v>
      </c>
      <c r="J1627" s="158">
        <f>J1628+J1629</f>
        <v>3166.59</v>
      </c>
      <c r="K1627" s="158">
        <f>K1628+K1629</f>
        <v>4728</v>
      </c>
      <c r="L1627" s="7"/>
      <c r="M1627" s="7"/>
      <c r="N1627" s="7"/>
      <c r="O1627" s="7"/>
      <c r="P1627" s="7"/>
      <c r="Q1627" s="7"/>
      <c r="R1627" s="7"/>
      <c r="S1627" s="7"/>
      <c r="T1627" s="7"/>
      <c r="U1627" s="7"/>
      <c r="V1627" s="7"/>
      <c r="W1627" s="7"/>
    </row>
    <row r="1628" spans="1:23" x14ac:dyDescent="0.35">
      <c r="A1628" s="251">
        <v>76</v>
      </c>
      <c r="B1628" s="251"/>
      <c r="C1628" s="252"/>
      <c r="D1628" s="253"/>
      <c r="E1628" s="254"/>
      <c r="F1628" s="254"/>
      <c r="G1628" s="251"/>
      <c r="H1628" s="159" t="s">
        <v>74</v>
      </c>
      <c r="I1628" s="158">
        <f>3171861.52*0.7</f>
        <v>2220303.06</v>
      </c>
      <c r="J1628" s="158">
        <f>I1628/D1627-0.01</f>
        <v>3072.65</v>
      </c>
      <c r="K1628" s="158">
        <v>4629</v>
      </c>
      <c r="L1628" s="7"/>
      <c r="M1628" s="7"/>
      <c r="N1628" s="7"/>
      <c r="O1628" s="7"/>
      <c r="P1628" s="7"/>
      <c r="Q1628" s="7"/>
      <c r="R1628" s="7"/>
      <c r="S1628" s="7"/>
      <c r="T1628" s="7"/>
      <c r="U1628" s="7"/>
      <c r="V1628" s="7"/>
      <c r="W1628" s="7"/>
    </row>
    <row r="1629" spans="1:23" x14ac:dyDescent="0.35">
      <c r="A1629" s="251"/>
      <c r="B1629" s="251"/>
      <c r="C1629" s="252"/>
      <c r="D1629" s="253"/>
      <c r="E1629" s="254"/>
      <c r="F1629" s="254"/>
      <c r="G1629" s="251"/>
      <c r="H1629" s="159" t="s">
        <v>76</v>
      </c>
      <c r="I1629" s="158">
        <f>3171861.52*0.0214</f>
        <v>67877.84</v>
      </c>
      <c r="J1629" s="158">
        <f>I1629/D1627</f>
        <v>93.94</v>
      </c>
      <c r="K1629" s="158">
        <v>99</v>
      </c>
      <c r="L1629" s="7"/>
      <c r="M1629" s="7"/>
      <c r="N1629" s="7"/>
      <c r="O1629" s="7"/>
      <c r="P1629" s="7"/>
      <c r="Q1629" s="7"/>
      <c r="R1629" s="7"/>
      <c r="S1629" s="7"/>
      <c r="T1629" s="7"/>
      <c r="U1629" s="7"/>
      <c r="V1629" s="7"/>
      <c r="W1629" s="7"/>
    </row>
    <row r="1630" spans="1:23" ht="15.75" customHeight="1" x14ac:dyDescent="0.35">
      <c r="A1630" s="256">
        <f>A1627+1</f>
        <v>7</v>
      </c>
      <c r="B1630" s="256">
        <v>887</v>
      </c>
      <c r="C1630" s="259" t="s">
        <v>743</v>
      </c>
      <c r="D1630" s="262">
        <v>2590.4</v>
      </c>
      <c r="E1630" s="262" t="s">
        <v>80</v>
      </c>
      <c r="F1630" s="265">
        <v>5</v>
      </c>
      <c r="G1630" s="149"/>
      <c r="H1630" s="159" t="s">
        <v>73</v>
      </c>
      <c r="I1630" s="158">
        <f>I1631+I1632</f>
        <v>676094.4</v>
      </c>
      <c r="J1630" s="158">
        <f>J1631+J1632</f>
        <v>261</v>
      </c>
      <c r="K1630" s="158">
        <f>K1631+K1632</f>
        <v>261</v>
      </c>
      <c r="L1630" s="7"/>
      <c r="M1630" s="7"/>
      <c r="N1630" s="7"/>
      <c r="O1630" s="7"/>
      <c r="P1630" s="7"/>
      <c r="Q1630" s="7"/>
      <c r="R1630" s="7"/>
      <c r="S1630" s="7"/>
      <c r="T1630" s="7"/>
      <c r="U1630" s="7"/>
      <c r="V1630" s="7"/>
      <c r="W1630" s="7"/>
    </row>
    <row r="1631" spans="1:23" ht="46.5" x14ac:dyDescent="0.35">
      <c r="A1631" s="257"/>
      <c r="B1631" s="257"/>
      <c r="C1631" s="260"/>
      <c r="D1631" s="263"/>
      <c r="E1631" s="263"/>
      <c r="F1631" s="266"/>
      <c r="G1631" s="256" t="s">
        <v>85</v>
      </c>
      <c r="H1631" s="159" t="s">
        <v>705</v>
      </c>
      <c r="I1631" s="158">
        <f>D1630*K1631</f>
        <v>238316.79999999999</v>
      </c>
      <c r="J1631" s="158">
        <f>I1631/D1630</f>
        <v>92</v>
      </c>
      <c r="K1631" s="158">
        <f>85+7</f>
        <v>92</v>
      </c>
      <c r="L1631" s="7"/>
      <c r="M1631" s="7"/>
      <c r="N1631" s="7"/>
      <c r="O1631" s="7"/>
      <c r="P1631" s="7"/>
      <c r="Q1631" s="7"/>
      <c r="R1631" s="7"/>
      <c r="S1631" s="7"/>
      <c r="T1631" s="7"/>
      <c r="U1631" s="7"/>
      <c r="V1631" s="7"/>
      <c r="W1631" s="7"/>
    </row>
    <row r="1632" spans="1:23" ht="46.5" x14ac:dyDescent="0.35">
      <c r="A1632" s="257"/>
      <c r="B1632" s="257"/>
      <c r="C1632" s="260"/>
      <c r="D1632" s="263"/>
      <c r="E1632" s="263"/>
      <c r="F1632" s="266"/>
      <c r="G1632" s="258"/>
      <c r="H1632" s="159" t="s">
        <v>706</v>
      </c>
      <c r="I1632" s="158">
        <f>D1630*K1632</f>
        <v>437777.6</v>
      </c>
      <c r="J1632" s="158">
        <f>I1632/D1630</f>
        <v>169</v>
      </c>
      <c r="K1632" s="158">
        <f>156+13</f>
        <v>169</v>
      </c>
      <c r="L1632" s="7"/>
      <c r="M1632" s="7"/>
      <c r="N1632" s="7"/>
      <c r="O1632" s="7"/>
      <c r="P1632" s="7"/>
      <c r="Q1632" s="7"/>
      <c r="R1632" s="7"/>
      <c r="S1632" s="7"/>
      <c r="T1632" s="7"/>
      <c r="U1632" s="7"/>
      <c r="V1632" s="7"/>
      <c r="W1632" s="7"/>
    </row>
    <row r="1633" spans="1:23" ht="15.75" customHeight="1" x14ac:dyDescent="0.35">
      <c r="A1633" s="256">
        <f>A1630+1</f>
        <v>8</v>
      </c>
      <c r="B1633" s="256">
        <v>875</v>
      </c>
      <c r="C1633" s="259" t="s">
        <v>744</v>
      </c>
      <c r="D1633" s="262">
        <v>2739.2</v>
      </c>
      <c r="E1633" s="262" t="s">
        <v>71</v>
      </c>
      <c r="F1633" s="265">
        <v>5</v>
      </c>
      <c r="G1633" s="149"/>
      <c r="H1633" s="159" t="s">
        <v>73</v>
      </c>
      <c r="I1633" s="158">
        <f>I1634+I1635+I1636</f>
        <v>1032678.4</v>
      </c>
      <c r="J1633" s="158">
        <f>J1634+J1635+J1636</f>
        <v>377</v>
      </c>
      <c r="K1633" s="158">
        <f>K1634+K1635+K1636</f>
        <v>377</v>
      </c>
      <c r="L1633" s="7"/>
      <c r="M1633" s="7"/>
      <c r="N1633" s="7"/>
      <c r="O1633" s="7"/>
      <c r="P1633" s="7"/>
      <c r="Q1633" s="7"/>
      <c r="R1633" s="7"/>
      <c r="S1633" s="7"/>
      <c r="T1633" s="7"/>
      <c r="U1633" s="7"/>
      <c r="V1633" s="7"/>
      <c r="W1633" s="7"/>
    </row>
    <row r="1634" spans="1:23" ht="46.5" x14ac:dyDescent="0.35">
      <c r="A1634" s="257"/>
      <c r="B1634" s="257"/>
      <c r="C1634" s="260"/>
      <c r="D1634" s="263"/>
      <c r="E1634" s="263"/>
      <c r="F1634" s="266"/>
      <c r="G1634" s="120" t="s">
        <v>72</v>
      </c>
      <c r="H1634" s="159" t="s">
        <v>705</v>
      </c>
      <c r="I1634" s="158">
        <f>D1633*K1634</f>
        <v>449228.79999999999</v>
      </c>
      <c r="J1634" s="158">
        <f>I1634/D1633</f>
        <v>164</v>
      </c>
      <c r="K1634" s="158">
        <f>151+13</f>
        <v>164</v>
      </c>
      <c r="L1634" s="7"/>
      <c r="M1634" s="7"/>
      <c r="N1634" s="7"/>
      <c r="O1634" s="7"/>
      <c r="P1634" s="7"/>
      <c r="Q1634" s="7"/>
      <c r="R1634" s="7"/>
      <c r="S1634" s="7"/>
      <c r="T1634" s="7"/>
      <c r="U1634" s="7"/>
      <c r="V1634" s="7"/>
      <c r="W1634" s="7"/>
    </row>
    <row r="1635" spans="1:23" ht="46.5" x14ac:dyDescent="0.35">
      <c r="A1635" s="257"/>
      <c r="B1635" s="257"/>
      <c r="C1635" s="260"/>
      <c r="D1635" s="263"/>
      <c r="E1635" s="263"/>
      <c r="F1635" s="266"/>
      <c r="G1635" s="256" t="s">
        <v>85</v>
      </c>
      <c r="H1635" s="159" t="s">
        <v>705</v>
      </c>
      <c r="I1635" s="158">
        <f>D1633*K1635</f>
        <v>120524.8</v>
      </c>
      <c r="J1635" s="158">
        <f>I1635/D1633</f>
        <v>44</v>
      </c>
      <c r="K1635" s="158">
        <f>41+3</f>
        <v>44</v>
      </c>
      <c r="L1635" s="7"/>
      <c r="M1635" s="7"/>
      <c r="N1635" s="7"/>
      <c r="O1635" s="7"/>
      <c r="P1635" s="7"/>
      <c r="Q1635" s="7"/>
      <c r="R1635" s="7"/>
      <c r="S1635" s="7"/>
      <c r="T1635" s="7"/>
      <c r="U1635" s="7"/>
      <c r="V1635" s="7"/>
      <c r="W1635" s="7"/>
    </row>
    <row r="1636" spans="1:23" ht="46.5" x14ac:dyDescent="0.35">
      <c r="A1636" s="257"/>
      <c r="B1636" s="257"/>
      <c r="C1636" s="260"/>
      <c r="D1636" s="263"/>
      <c r="E1636" s="263"/>
      <c r="F1636" s="266"/>
      <c r="G1636" s="258"/>
      <c r="H1636" s="159" t="s">
        <v>706</v>
      </c>
      <c r="I1636" s="158">
        <f>D1633*K1636</f>
        <v>462924.79999999999</v>
      </c>
      <c r="J1636" s="158">
        <f>I1636/D1633</f>
        <v>169</v>
      </c>
      <c r="K1636" s="158">
        <f>156+13</f>
        <v>169</v>
      </c>
      <c r="L1636" s="7"/>
      <c r="M1636" s="7"/>
      <c r="N1636" s="7"/>
      <c r="O1636" s="7"/>
      <c r="P1636" s="7"/>
      <c r="Q1636" s="7"/>
      <c r="R1636" s="7"/>
      <c r="S1636" s="7"/>
      <c r="T1636" s="7"/>
      <c r="U1636" s="7"/>
      <c r="V1636" s="7"/>
      <c r="W1636" s="7"/>
    </row>
    <row r="1637" spans="1:23" ht="15.75" customHeight="1" x14ac:dyDescent="0.35">
      <c r="A1637" s="256">
        <f>A1633+1</f>
        <v>9</v>
      </c>
      <c r="B1637" s="256">
        <v>876</v>
      </c>
      <c r="C1637" s="259" t="s">
        <v>745</v>
      </c>
      <c r="D1637" s="262">
        <v>2745.8</v>
      </c>
      <c r="E1637" s="262" t="s">
        <v>71</v>
      </c>
      <c r="F1637" s="265">
        <v>5</v>
      </c>
      <c r="G1637" s="149"/>
      <c r="H1637" s="159" t="s">
        <v>73</v>
      </c>
      <c r="I1637" s="158">
        <f>I1638+I1639+I1640</f>
        <v>1035166.6</v>
      </c>
      <c r="J1637" s="158">
        <f>J1638+J1639+J1640</f>
        <v>377</v>
      </c>
      <c r="K1637" s="158">
        <f>K1638+K1639+K1640</f>
        <v>377</v>
      </c>
      <c r="L1637" s="7"/>
      <c r="M1637" s="7"/>
      <c r="N1637" s="7"/>
      <c r="O1637" s="7"/>
      <c r="P1637" s="7"/>
      <c r="Q1637" s="7"/>
      <c r="R1637" s="7"/>
      <c r="S1637" s="7"/>
      <c r="T1637" s="7"/>
      <c r="U1637" s="7"/>
      <c r="V1637" s="7"/>
      <c r="W1637" s="7"/>
    </row>
    <row r="1638" spans="1:23" ht="46.5" x14ac:dyDescent="0.35">
      <c r="A1638" s="257"/>
      <c r="B1638" s="257"/>
      <c r="C1638" s="260"/>
      <c r="D1638" s="263"/>
      <c r="E1638" s="263"/>
      <c r="F1638" s="266"/>
      <c r="G1638" s="120" t="s">
        <v>72</v>
      </c>
      <c r="H1638" s="159" t="s">
        <v>705</v>
      </c>
      <c r="I1638" s="158">
        <f>D1637*K1638</f>
        <v>450311.2</v>
      </c>
      <c r="J1638" s="158">
        <f>I1638/D1637</f>
        <v>164</v>
      </c>
      <c r="K1638" s="158">
        <f>151+13</f>
        <v>164</v>
      </c>
      <c r="L1638" s="7"/>
      <c r="M1638" s="7"/>
      <c r="N1638" s="7"/>
      <c r="O1638" s="7"/>
      <c r="P1638" s="7"/>
      <c r="Q1638" s="7"/>
      <c r="R1638" s="7"/>
      <c r="S1638" s="7"/>
      <c r="T1638" s="7"/>
      <c r="U1638" s="7"/>
      <c r="V1638" s="7"/>
      <c r="W1638" s="7"/>
    </row>
    <row r="1639" spans="1:23" ht="46.5" x14ac:dyDescent="0.35">
      <c r="A1639" s="257"/>
      <c r="B1639" s="257"/>
      <c r="C1639" s="260"/>
      <c r="D1639" s="263"/>
      <c r="E1639" s="263"/>
      <c r="F1639" s="266"/>
      <c r="G1639" s="256" t="s">
        <v>85</v>
      </c>
      <c r="H1639" s="159" t="s">
        <v>705</v>
      </c>
      <c r="I1639" s="158">
        <f>D1637*K1639</f>
        <v>120815.2</v>
      </c>
      <c r="J1639" s="158">
        <f>I1639/D1637</f>
        <v>44</v>
      </c>
      <c r="K1639" s="158">
        <f>41+3</f>
        <v>44</v>
      </c>
      <c r="L1639" s="7"/>
      <c r="M1639" s="7"/>
      <c r="N1639" s="7"/>
      <c r="O1639" s="7"/>
      <c r="P1639" s="7"/>
      <c r="Q1639" s="7"/>
      <c r="R1639" s="7"/>
      <c r="S1639" s="7"/>
      <c r="T1639" s="7"/>
      <c r="U1639" s="7"/>
      <c r="V1639" s="7"/>
      <c r="W1639" s="7"/>
    </row>
    <row r="1640" spans="1:23" ht="46.5" x14ac:dyDescent="0.35">
      <c r="A1640" s="257"/>
      <c r="B1640" s="257"/>
      <c r="C1640" s="260"/>
      <c r="D1640" s="263"/>
      <c r="E1640" s="263"/>
      <c r="F1640" s="266"/>
      <c r="G1640" s="258"/>
      <c r="H1640" s="159" t="s">
        <v>706</v>
      </c>
      <c r="I1640" s="158">
        <f>D1637*K1640</f>
        <v>464040.2</v>
      </c>
      <c r="J1640" s="158">
        <f>I1640/D1637</f>
        <v>169</v>
      </c>
      <c r="K1640" s="158">
        <f>156+13</f>
        <v>169</v>
      </c>
      <c r="L1640" s="7"/>
      <c r="M1640" s="7"/>
      <c r="N1640" s="7"/>
      <c r="O1640" s="7"/>
      <c r="P1640" s="7"/>
      <c r="Q1640" s="7"/>
      <c r="R1640" s="7"/>
      <c r="S1640" s="7"/>
      <c r="T1640" s="7"/>
      <c r="U1640" s="7"/>
      <c r="V1640" s="7"/>
      <c r="W1640" s="7"/>
    </row>
    <row r="1641" spans="1:23" x14ac:dyDescent="0.35">
      <c r="A1641" s="251">
        <f>A1637+1</f>
        <v>10</v>
      </c>
      <c r="B1641" s="251">
        <v>339</v>
      </c>
      <c r="C1641" s="252" t="s">
        <v>270</v>
      </c>
      <c r="D1641" s="253">
        <v>7469.5</v>
      </c>
      <c r="E1641" s="254" t="s">
        <v>75</v>
      </c>
      <c r="F1641" s="254">
        <v>5</v>
      </c>
      <c r="G1641" s="251" t="s">
        <v>72</v>
      </c>
      <c r="H1641" s="159" t="s">
        <v>73</v>
      </c>
      <c r="I1641" s="158">
        <f>I1642+I1643</f>
        <v>5447928.1299999999</v>
      </c>
      <c r="J1641" s="158">
        <f>J1642+J1643</f>
        <v>729.36</v>
      </c>
      <c r="K1641" s="158">
        <f>K1642+K1643</f>
        <v>2831</v>
      </c>
      <c r="L1641" s="7"/>
      <c r="M1641" s="7"/>
      <c r="N1641" s="7"/>
      <c r="O1641" s="7"/>
      <c r="P1641" s="7"/>
      <c r="Q1641" s="7"/>
      <c r="R1641" s="7"/>
      <c r="S1641" s="7"/>
      <c r="T1641" s="7"/>
      <c r="U1641" s="7"/>
      <c r="V1641" s="7"/>
      <c r="W1641" s="7"/>
    </row>
    <row r="1642" spans="1:23" x14ac:dyDescent="0.35">
      <c r="A1642" s="251">
        <v>77</v>
      </c>
      <c r="B1642" s="251"/>
      <c r="C1642" s="252"/>
      <c r="D1642" s="253"/>
      <c r="E1642" s="254"/>
      <c r="F1642" s="254"/>
      <c r="G1642" s="251"/>
      <c r="H1642" s="159" t="s">
        <v>74</v>
      </c>
      <c r="I1642" s="158">
        <f>7551882.63*0.7</f>
        <v>5286317.84</v>
      </c>
      <c r="J1642" s="158">
        <f>I1642/D1641</f>
        <v>707.72</v>
      </c>
      <c r="K1642" s="158">
        <v>2772</v>
      </c>
      <c r="L1642" s="7"/>
      <c r="M1642" s="7"/>
      <c r="N1642" s="7"/>
      <c r="O1642" s="7"/>
      <c r="P1642" s="7"/>
      <c r="Q1642" s="7"/>
      <c r="R1642" s="7"/>
      <c r="S1642" s="7"/>
      <c r="T1642" s="7"/>
      <c r="U1642" s="7"/>
      <c r="V1642" s="7"/>
      <c r="W1642" s="7"/>
    </row>
    <row r="1643" spans="1:23" x14ac:dyDescent="0.35">
      <c r="A1643" s="251">
        <v>78</v>
      </c>
      <c r="B1643" s="251"/>
      <c r="C1643" s="252"/>
      <c r="D1643" s="253"/>
      <c r="E1643" s="254"/>
      <c r="F1643" s="254"/>
      <c r="G1643" s="251"/>
      <c r="H1643" s="159" t="s">
        <v>76</v>
      </c>
      <c r="I1643" s="158">
        <f>7551882.63*0.0214</f>
        <v>161610.29</v>
      </c>
      <c r="J1643" s="158">
        <f>I1643/D1641</f>
        <v>21.64</v>
      </c>
      <c r="K1643" s="158">
        <v>59</v>
      </c>
      <c r="L1643" s="7"/>
      <c r="M1643" s="7"/>
      <c r="N1643" s="7"/>
      <c r="O1643" s="7"/>
      <c r="P1643" s="7"/>
      <c r="Q1643" s="7"/>
      <c r="R1643" s="7"/>
      <c r="S1643" s="7"/>
      <c r="T1643" s="7"/>
      <c r="U1643" s="7"/>
      <c r="V1643" s="7"/>
      <c r="W1643" s="7"/>
    </row>
    <row r="1644" spans="1:23" ht="15.75" customHeight="1" x14ac:dyDescent="0.35">
      <c r="A1644" s="256">
        <f>A1641+1</f>
        <v>11</v>
      </c>
      <c r="B1644" s="256">
        <v>122</v>
      </c>
      <c r="C1644" s="259" t="s">
        <v>91</v>
      </c>
      <c r="D1644" s="262">
        <v>821.3</v>
      </c>
      <c r="E1644" s="268" t="s">
        <v>80</v>
      </c>
      <c r="F1644" s="268">
        <v>3</v>
      </c>
      <c r="G1644" s="256" t="s">
        <v>85</v>
      </c>
      <c r="H1644" s="159" t="s">
        <v>73</v>
      </c>
      <c r="I1644" s="158">
        <f>I1645</f>
        <v>174115.6</v>
      </c>
      <c r="J1644" s="158">
        <f>J1645</f>
        <v>212</v>
      </c>
      <c r="K1644" s="158">
        <f>K1645</f>
        <v>212</v>
      </c>
      <c r="L1644" s="7"/>
      <c r="M1644" s="7"/>
      <c r="N1644" s="7"/>
      <c r="O1644" s="7"/>
      <c r="P1644" s="7"/>
      <c r="Q1644" s="7"/>
      <c r="R1644" s="7"/>
      <c r="S1644" s="7"/>
      <c r="T1644" s="7"/>
      <c r="U1644" s="7"/>
      <c r="V1644" s="7"/>
      <c r="W1644" s="7"/>
    </row>
    <row r="1645" spans="1:23" ht="46.5" x14ac:dyDescent="0.35">
      <c r="A1645" s="257"/>
      <c r="B1645" s="257"/>
      <c r="C1645" s="260"/>
      <c r="D1645" s="263"/>
      <c r="E1645" s="269"/>
      <c r="F1645" s="269"/>
      <c r="G1645" s="257"/>
      <c r="H1645" s="159" t="s">
        <v>705</v>
      </c>
      <c r="I1645" s="158">
        <f>D1644*K1645</f>
        <v>174115.6</v>
      </c>
      <c r="J1645" s="158">
        <f>I1645/D1644</f>
        <v>212</v>
      </c>
      <c r="K1645" s="158">
        <f>196+16</f>
        <v>212</v>
      </c>
      <c r="L1645" s="7"/>
      <c r="M1645" s="7"/>
      <c r="N1645" s="7"/>
      <c r="O1645" s="7"/>
      <c r="P1645" s="7"/>
      <c r="Q1645" s="7"/>
      <c r="R1645" s="7"/>
      <c r="S1645" s="7"/>
      <c r="T1645" s="7"/>
      <c r="U1645" s="7"/>
      <c r="V1645" s="7"/>
      <c r="W1645" s="7"/>
    </row>
    <row r="1646" spans="1:23" ht="15.75" customHeight="1" x14ac:dyDescent="0.35">
      <c r="A1646" s="251">
        <f>A1644+1</f>
        <v>12</v>
      </c>
      <c r="B1646" s="251">
        <v>347</v>
      </c>
      <c r="C1646" s="252" t="s">
        <v>92</v>
      </c>
      <c r="D1646" s="253">
        <v>3127.4</v>
      </c>
      <c r="E1646" s="254" t="s">
        <v>75</v>
      </c>
      <c r="F1646" s="254">
        <v>5</v>
      </c>
      <c r="G1646" s="251" t="s">
        <v>72</v>
      </c>
      <c r="H1646" s="159" t="s">
        <v>73</v>
      </c>
      <c r="I1646" s="158">
        <f>I1647</f>
        <v>512893.6</v>
      </c>
      <c r="J1646" s="158">
        <f>J1647</f>
        <v>164</v>
      </c>
      <c r="K1646" s="158">
        <f>K1647</f>
        <v>164</v>
      </c>
      <c r="L1646" s="7"/>
      <c r="M1646" s="7"/>
      <c r="N1646" s="7"/>
      <c r="O1646" s="7"/>
      <c r="P1646" s="7"/>
      <c r="Q1646" s="7"/>
      <c r="R1646" s="7"/>
      <c r="S1646" s="7"/>
      <c r="T1646" s="7"/>
      <c r="U1646" s="7"/>
      <c r="V1646" s="7"/>
      <c r="W1646" s="7"/>
    </row>
    <row r="1647" spans="1:23" ht="46.5" x14ac:dyDescent="0.35">
      <c r="A1647" s="251"/>
      <c r="B1647" s="251"/>
      <c r="C1647" s="252"/>
      <c r="D1647" s="253"/>
      <c r="E1647" s="254"/>
      <c r="F1647" s="254"/>
      <c r="G1647" s="251"/>
      <c r="H1647" s="159" t="s">
        <v>705</v>
      </c>
      <c r="I1647" s="158">
        <f>D1646*K1647</f>
        <v>512893.6</v>
      </c>
      <c r="J1647" s="158">
        <f>I1647/D1646</f>
        <v>164</v>
      </c>
      <c r="K1647" s="158">
        <f>151+13</f>
        <v>164</v>
      </c>
      <c r="L1647" s="7"/>
      <c r="M1647" s="7"/>
      <c r="N1647" s="7"/>
      <c r="O1647" s="7"/>
      <c r="P1647" s="7"/>
      <c r="Q1647" s="7"/>
      <c r="R1647" s="7"/>
      <c r="S1647" s="7"/>
      <c r="T1647" s="7"/>
      <c r="U1647" s="7"/>
      <c r="V1647" s="7"/>
      <c r="W1647" s="7"/>
    </row>
    <row r="1648" spans="1:23" ht="15.75" customHeight="1" x14ac:dyDescent="0.35">
      <c r="A1648" s="256">
        <f>A1646+1</f>
        <v>13</v>
      </c>
      <c r="B1648" s="256">
        <v>367</v>
      </c>
      <c r="C1648" s="259" t="s">
        <v>93</v>
      </c>
      <c r="D1648" s="262">
        <v>3136</v>
      </c>
      <c r="E1648" s="268" t="s">
        <v>75</v>
      </c>
      <c r="F1648" s="268">
        <v>5</v>
      </c>
      <c r="G1648" s="144"/>
      <c r="H1648" s="159" t="s">
        <v>73</v>
      </c>
      <c r="I1648" s="158">
        <f>I1649+I1650</f>
        <v>652288</v>
      </c>
      <c r="J1648" s="158">
        <f>J1649+J1650</f>
        <v>208</v>
      </c>
      <c r="K1648" s="158">
        <f>K1649+K1650</f>
        <v>208</v>
      </c>
      <c r="L1648" s="7"/>
      <c r="M1648" s="7"/>
      <c r="N1648" s="7"/>
      <c r="O1648" s="7"/>
      <c r="P1648" s="7"/>
      <c r="Q1648" s="7"/>
      <c r="R1648" s="7"/>
      <c r="S1648" s="7"/>
      <c r="T1648" s="7"/>
      <c r="U1648" s="7"/>
      <c r="V1648" s="7"/>
      <c r="W1648" s="7"/>
    </row>
    <row r="1649" spans="1:23" ht="46.5" x14ac:dyDescent="0.35">
      <c r="A1649" s="257"/>
      <c r="B1649" s="257"/>
      <c r="C1649" s="260"/>
      <c r="D1649" s="263"/>
      <c r="E1649" s="269"/>
      <c r="F1649" s="269"/>
      <c r="G1649" s="120" t="s">
        <v>85</v>
      </c>
      <c r="H1649" s="159" t="s">
        <v>705</v>
      </c>
      <c r="I1649" s="158">
        <f>D1648*K1649</f>
        <v>137984</v>
      </c>
      <c r="J1649" s="158">
        <f>I1649/D1648</f>
        <v>44</v>
      </c>
      <c r="K1649" s="158">
        <f>41+3</f>
        <v>44</v>
      </c>
      <c r="L1649" s="7"/>
      <c r="M1649" s="7"/>
      <c r="N1649" s="7"/>
      <c r="O1649" s="7"/>
      <c r="P1649" s="7"/>
      <c r="Q1649" s="7"/>
      <c r="R1649" s="7"/>
      <c r="S1649" s="7"/>
      <c r="T1649" s="7"/>
      <c r="U1649" s="7"/>
      <c r="V1649" s="7"/>
      <c r="W1649" s="7"/>
    </row>
    <row r="1650" spans="1:23" ht="46.5" x14ac:dyDescent="0.35">
      <c r="A1650" s="257"/>
      <c r="B1650" s="257"/>
      <c r="C1650" s="260"/>
      <c r="D1650" s="263"/>
      <c r="E1650" s="269"/>
      <c r="F1650" s="269"/>
      <c r="G1650" s="120" t="s">
        <v>72</v>
      </c>
      <c r="H1650" s="159" t="s">
        <v>705</v>
      </c>
      <c r="I1650" s="158">
        <f>D1648*K1650</f>
        <v>514304</v>
      </c>
      <c r="J1650" s="158">
        <f>I1650/D1648</f>
        <v>164</v>
      </c>
      <c r="K1650" s="158">
        <f>151+13</f>
        <v>164</v>
      </c>
      <c r="L1650" s="7"/>
      <c r="M1650" s="7"/>
      <c r="N1650" s="7"/>
      <c r="O1650" s="7"/>
      <c r="P1650" s="7"/>
      <c r="Q1650" s="7"/>
      <c r="R1650" s="7"/>
      <c r="S1650" s="7"/>
      <c r="T1650" s="7"/>
      <c r="U1650" s="7"/>
      <c r="V1650" s="7"/>
      <c r="W1650" s="7"/>
    </row>
    <row r="1651" spans="1:23" x14ac:dyDescent="0.35">
      <c r="A1651" s="251">
        <f>A1648+1</f>
        <v>14</v>
      </c>
      <c r="B1651" s="251">
        <v>626</v>
      </c>
      <c r="C1651" s="252" t="s">
        <v>272</v>
      </c>
      <c r="D1651" s="253">
        <v>2793.5</v>
      </c>
      <c r="E1651" s="254" t="s">
        <v>71</v>
      </c>
      <c r="F1651" s="254">
        <v>5</v>
      </c>
      <c r="G1651" s="251" t="s">
        <v>72</v>
      </c>
      <c r="H1651" s="159" t="s">
        <v>73</v>
      </c>
      <c r="I1651" s="158">
        <f>I1652+I1653</f>
        <v>5585323.9000000004</v>
      </c>
      <c r="J1651" s="158">
        <f>J1652+J1653</f>
        <v>1999.4</v>
      </c>
      <c r="K1651" s="158">
        <f>K1652+K1653</f>
        <v>2831</v>
      </c>
      <c r="L1651" s="7"/>
      <c r="M1651" s="7"/>
      <c r="N1651" s="7"/>
      <c r="O1651" s="7"/>
      <c r="P1651" s="7"/>
      <c r="Q1651" s="7"/>
      <c r="R1651" s="7"/>
      <c r="S1651" s="7"/>
      <c r="T1651" s="7"/>
      <c r="U1651" s="7"/>
      <c r="V1651" s="7"/>
      <c r="W1651" s="7"/>
    </row>
    <row r="1652" spans="1:23" x14ac:dyDescent="0.35">
      <c r="A1652" s="251">
        <v>75</v>
      </c>
      <c r="B1652" s="251"/>
      <c r="C1652" s="252"/>
      <c r="D1652" s="253"/>
      <c r="E1652" s="254"/>
      <c r="F1652" s="254"/>
      <c r="G1652" s="251"/>
      <c r="H1652" s="159" t="s">
        <v>74</v>
      </c>
      <c r="I1652" s="158">
        <f>K1652*D1651*0.7</f>
        <v>5420507.4000000004</v>
      </c>
      <c r="J1652" s="158">
        <f>I1652/D1651</f>
        <v>1940.4</v>
      </c>
      <c r="K1652" s="158">
        <v>2772</v>
      </c>
      <c r="L1652" s="7"/>
      <c r="M1652" s="7"/>
      <c r="N1652" s="7"/>
      <c r="O1652" s="7"/>
      <c r="P1652" s="7"/>
      <c r="Q1652" s="7"/>
      <c r="R1652" s="7"/>
      <c r="S1652" s="7"/>
      <c r="T1652" s="7"/>
      <c r="U1652" s="7"/>
      <c r="V1652" s="7"/>
      <c r="W1652" s="7"/>
    </row>
    <row r="1653" spans="1:23" x14ac:dyDescent="0.35">
      <c r="A1653" s="251">
        <v>76</v>
      </c>
      <c r="B1653" s="251"/>
      <c r="C1653" s="252"/>
      <c r="D1653" s="253"/>
      <c r="E1653" s="254"/>
      <c r="F1653" s="254"/>
      <c r="G1653" s="251"/>
      <c r="H1653" s="159" t="s">
        <v>76</v>
      </c>
      <c r="I1653" s="158">
        <f>K1653*D1651</f>
        <v>164816.5</v>
      </c>
      <c r="J1653" s="158">
        <f>I1653/D1651</f>
        <v>59</v>
      </c>
      <c r="K1653" s="158">
        <v>59</v>
      </c>
      <c r="L1653" s="7"/>
      <c r="M1653" s="7"/>
      <c r="N1653" s="7"/>
      <c r="O1653" s="7"/>
      <c r="P1653" s="7"/>
      <c r="Q1653" s="7"/>
      <c r="R1653" s="7"/>
      <c r="S1653" s="7"/>
      <c r="T1653" s="7"/>
      <c r="U1653" s="7"/>
      <c r="V1653" s="7"/>
      <c r="W1653" s="7"/>
    </row>
    <row r="1654" spans="1:23" x14ac:dyDescent="0.35">
      <c r="A1654" s="251">
        <f>A1651+1</f>
        <v>15</v>
      </c>
      <c r="B1654" s="251">
        <v>759</v>
      </c>
      <c r="C1654" s="252" t="s">
        <v>275</v>
      </c>
      <c r="D1654" s="253">
        <v>1217.5</v>
      </c>
      <c r="E1654" s="254" t="s">
        <v>75</v>
      </c>
      <c r="F1654" s="254">
        <v>4</v>
      </c>
      <c r="G1654" s="251" t="s">
        <v>72</v>
      </c>
      <c r="H1654" s="159" t="s">
        <v>73</v>
      </c>
      <c r="I1654" s="158">
        <f>I1655+I1656</f>
        <v>4065597.75</v>
      </c>
      <c r="J1654" s="158">
        <f>J1655+J1656</f>
        <v>3339.3</v>
      </c>
      <c r="K1654" s="158">
        <f>K1655+K1656</f>
        <v>4728</v>
      </c>
      <c r="L1654" s="7"/>
      <c r="M1654" s="7"/>
      <c r="N1654" s="7"/>
      <c r="O1654" s="7"/>
      <c r="P1654" s="7"/>
      <c r="Q1654" s="7"/>
      <c r="R1654" s="7"/>
      <c r="S1654" s="7"/>
      <c r="T1654" s="7"/>
      <c r="U1654" s="7"/>
      <c r="V1654" s="7"/>
      <c r="W1654" s="7"/>
    </row>
    <row r="1655" spans="1:23" x14ac:dyDescent="0.35">
      <c r="A1655" s="251">
        <v>76</v>
      </c>
      <c r="B1655" s="251"/>
      <c r="C1655" s="252"/>
      <c r="D1655" s="253"/>
      <c r="E1655" s="254"/>
      <c r="F1655" s="254"/>
      <c r="G1655" s="251"/>
      <c r="H1655" s="159" t="s">
        <v>74</v>
      </c>
      <c r="I1655" s="158">
        <f>K1655*D1654*0.7</f>
        <v>3945065.25</v>
      </c>
      <c r="J1655" s="158">
        <f>I1655/D1654</f>
        <v>3240.3</v>
      </c>
      <c r="K1655" s="158">
        <v>4629</v>
      </c>
      <c r="L1655" s="7"/>
      <c r="M1655" s="7"/>
      <c r="N1655" s="7"/>
      <c r="O1655" s="7"/>
      <c r="P1655" s="7"/>
      <c r="Q1655" s="7"/>
      <c r="R1655" s="7"/>
      <c r="S1655" s="7"/>
      <c r="T1655" s="7"/>
      <c r="U1655" s="7"/>
      <c r="V1655" s="7"/>
      <c r="W1655" s="7"/>
    </row>
    <row r="1656" spans="1:23" x14ac:dyDescent="0.35">
      <c r="A1656" s="251"/>
      <c r="B1656" s="251"/>
      <c r="C1656" s="252"/>
      <c r="D1656" s="253"/>
      <c r="E1656" s="254"/>
      <c r="F1656" s="254"/>
      <c r="G1656" s="251"/>
      <c r="H1656" s="159" t="s">
        <v>76</v>
      </c>
      <c r="I1656" s="158">
        <f>K1656*D1654</f>
        <v>120532.5</v>
      </c>
      <c r="J1656" s="158">
        <f>I1656/D1654</f>
        <v>99</v>
      </c>
      <c r="K1656" s="158">
        <v>99</v>
      </c>
      <c r="L1656" s="7"/>
      <c r="M1656" s="7"/>
      <c r="N1656" s="7"/>
      <c r="O1656" s="7"/>
      <c r="P1656" s="7"/>
      <c r="Q1656" s="7"/>
      <c r="R1656" s="7"/>
      <c r="S1656" s="7"/>
      <c r="T1656" s="7"/>
      <c r="U1656" s="7"/>
      <c r="V1656" s="7"/>
      <c r="W1656" s="7"/>
    </row>
    <row r="1657" spans="1:23" x14ac:dyDescent="0.35">
      <c r="A1657" s="251">
        <f>A1654+1</f>
        <v>16</v>
      </c>
      <c r="B1657" s="251">
        <v>845</v>
      </c>
      <c r="C1657" s="252" t="s">
        <v>276</v>
      </c>
      <c r="D1657" s="253">
        <v>2810.3</v>
      </c>
      <c r="E1657" s="254" t="s">
        <v>75</v>
      </c>
      <c r="F1657" s="254">
        <v>5</v>
      </c>
      <c r="G1657" s="251" t="s">
        <v>72</v>
      </c>
      <c r="H1657" s="159" t="s">
        <v>73</v>
      </c>
      <c r="I1657" s="158">
        <f>I1658+I1659</f>
        <v>7955959.2999999998</v>
      </c>
      <c r="J1657" s="158">
        <f>J1658+J1659</f>
        <v>2831</v>
      </c>
      <c r="K1657" s="158">
        <f>K1658+K1659</f>
        <v>2831</v>
      </c>
      <c r="L1657" s="7"/>
      <c r="M1657" s="7"/>
      <c r="N1657" s="7"/>
      <c r="O1657" s="7"/>
      <c r="P1657" s="7"/>
      <c r="Q1657" s="7"/>
      <c r="R1657" s="7"/>
      <c r="S1657" s="7"/>
      <c r="T1657" s="7"/>
      <c r="U1657" s="7"/>
      <c r="V1657" s="7"/>
      <c r="W1657" s="7"/>
    </row>
    <row r="1658" spans="1:23" x14ac:dyDescent="0.35">
      <c r="A1658" s="251"/>
      <c r="B1658" s="251"/>
      <c r="C1658" s="252"/>
      <c r="D1658" s="253"/>
      <c r="E1658" s="254"/>
      <c r="F1658" s="254"/>
      <c r="G1658" s="251"/>
      <c r="H1658" s="159" t="s">
        <v>74</v>
      </c>
      <c r="I1658" s="158">
        <f>K1658*D1657</f>
        <v>7790151.5999999996</v>
      </c>
      <c r="J1658" s="158">
        <f>I1658/D1657</f>
        <v>2772</v>
      </c>
      <c r="K1658" s="158">
        <v>2772</v>
      </c>
      <c r="L1658" s="7"/>
      <c r="M1658" s="7"/>
      <c r="N1658" s="7"/>
      <c r="O1658" s="7"/>
      <c r="P1658" s="7"/>
      <c r="Q1658" s="7"/>
      <c r="R1658" s="7"/>
      <c r="S1658" s="7"/>
      <c r="T1658" s="7"/>
      <c r="U1658" s="7"/>
      <c r="V1658" s="7"/>
      <c r="W1658" s="7"/>
    </row>
    <row r="1659" spans="1:23" x14ac:dyDescent="0.35">
      <c r="A1659" s="251"/>
      <c r="B1659" s="251"/>
      <c r="C1659" s="252"/>
      <c r="D1659" s="253"/>
      <c r="E1659" s="254"/>
      <c r="F1659" s="254"/>
      <c r="G1659" s="251"/>
      <c r="H1659" s="159" t="s">
        <v>76</v>
      </c>
      <c r="I1659" s="158">
        <f>K1659*D1657</f>
        <v>165807.70000000001</v>
      </c>
      <c r="J1659" s="158">
        <f>I1659/D1657</f>
        <v>59</v>
      </c>
      <c r="K1659" s="158">
        <v>59</v>
      </c>
      <c r="L1659" s="7"/>
      <c r="M1659" s="7"/>
      <c r="N1659" s="7"/>
      <c r="O1659" s="7"/>
      <c r="P1659" s="7"/>
      <c r="Q1659" s="7"/>
      <c r="R1659" s="7"/>
      <c r="S1659" s="7"/>
      <c r="T1659" s="7"/>
      <c r="U1659" s="7"/>
      <c r="V1659" s="7"/>
      <c r="W1659" s="7"/>
    </row>
    <row r="1660" spans="1:23" ht="15.75" customHeight="1" x14ac:dyDescent="0.35">
      <c r="A1660" s="251">
        <f>A1657+1</f>
        <v>17</v>
      </c>
      <c r="B1660" s="251">
        <v>870</v>
      </c>
      <c r="C1660" s="252" t="s">
        <v>746</v>
      </c>
      <c r="D1660" s="253">
        <v>3342.5</v>
      </c>
      <c r="E1660" s="254" t="s">
        <v>75</v>
      </c>
      <c r="F1660" s="254">
        <v>6</v>
      </c>
      <c r="G1660" s="251" t="s">
        <v>72</v>
      </c>
      <c r="H1660" s="159" t="s">
        <v>73</v>
      </c>
      <c r="I1660" s="158">
        <f>I1661</f>
        <v>548170</v>
      </c>
      <c r="J1660" s="158">
        <f>J1661</f>
        <v>164</v>
      </c>
      <c r="K1660" s="158">
        <f>K1661</f>
        <v>164</v>
      </c>
      <c r="L1660" s="7"/>
      <c r="M1660" s="7"/>
      <c r="N1660" s="7"/>
      <c r="O1660" s="7"/>
      <c r="P1660" s="7"/>
      <c r="Q1660" s="7"/>
      <c r="R1660" s="7"/>
      <c r="S1660" s="7"/>
      <c r="T1660" s="7"/>
      <c r="U1660" s="7"/>
      <c r="V1660" s="7"/>
      <c r="W1660" s="7"/>
    </row>
    <row r="1661" spans="1:23" ht="46.5" x14ac:dyDescent="0.35">
      <c r="A1661" s="251"/>
      <c r="B1661" s="251"/>
      <c r="C1661" s="252"/>
      <c r="D1661" s="253"/>
      <c r="E1661" s="254"/>
      <c r="F1661" s="254"/>
      <c r="G1661" s="251"/>
      <c r="H1661" s="159" t="s">
        <v>705</v>
      </c>
      <c r="I1661" s="158">
        <f>D1660*K1661</f>
        <v>548170</v>
      </c>
      <c r="J1661" s="158">
        <f>I1661/D1660</f>
        <v>164</v>
      </c>
      <c r="K1661" s="158">
        <f>151+13</f>
        <v>164</v>
      </c>
      <c r="L1661" s="7"/>
      <c r="M1661" s="7"/>
      <c r="N1661" s="7"/>
      <c r="O1661" s="7"/>
      <c r="P1661" s="7"/>
      <c r="Q1661" s="7"/>
      <c r="R1661" s="7"/>
      <c r="S1661" s="7"/>
      <c r="T1661" s="7"/>
      <c r="U1661" s="7"/>
      <c r="V1661" s="7"/>
      <c r="W1661" s="7"/>
    </row>
    <row r="1662" spans="1:23" x14ac:dyDescent="0.35">
      <c r="A1662" s="251">
        <f>A1660+1</f>
        <v>18</v>
      </c>
      <c r="B1662" s="251">
        <v>585</v>
      </c>
      <c r="C1662" s="252" t="s">
        <v>281</v>
      </c>
      <c r="D1662" s="253">
        <v>4627.3999999999996</v>
      </c>
      <c r="E1662" s="254" t="s">
        <v>75</v>
      </c>
      <c r="F1662" s="254">
        <v>5</v>
      </c>
      <c r="G1662" s="251" t="s">
        <v>72</v>
      </c>
      <c r="H1662" s="159" t="s">
        <v>73</v>
      </c>
      <c r="I1662" s="158">
        <f>I1663+I1664</f>
        <v>9252023.5600000005</v>
      </c>
      <c r="J1662" s="158">
        <f>J1663+J1664</f>
        <v>1999.4</v>
      </c>
      <c r="K1662" s="158">
        <f>K1663+K1664</f>
        <v>2831</v>
      </c>
      <c r="L1662" s="7"/>
      <c r="M1662" s="7"/>
      <c r="N1662" s="7"/>
      <c r="O1662" s="7"/>
      <c r="P1662" s="7"/>
      <c r="Q1662" s="7"/>
      <c r="R1662" s="7"/>
      <c r="S1662" s="7"/>
      <c r="T1662" s="7"/>
      <c r="U1662" s="7"/>
      <c r="V1662" s="7"/>
      <c r="W1662" s="7"/>
    </row>
    <row r="1663" spans="1:23" x14ac:dyDescent="0.35">
      <c r="A1663" s="251">
        <v>75</v>
      </c>
      <c r="B1663" s="251"/>
      <c r="C1663" s="252"/>
      <c r="D1663" s="253"/>
      <c r="E1663" s="254"/>
      <c r="F1663" s="254"/>
      <c r="G1663" s="251"/>
      <c r="H1663" s="159" t="s">
        <v>74</v>
      </c>
      <c r="I1663" s="158">
        <f>K1663*D1662*0.7</f>
        <v>8979006.9600000009</v>
      </c>
      <c r="J1663" s="158">
        <f>I1663/D1662</f>
        <v>1940.4</v>
      </c>
      <c r="K1663" s="158">
        <v>2772</v>
      </c>
      <c r="L1663" s="7"/>
      <c r="M1663" s="7"/>
      <c r="N1663" s="7"/>
      <c r="O1663" s="7"/>
      <c r="P1663" s="7"/>
      <c r="Q1663" s="7"/>
      <c r="R1663" s="7"/>
      <c r="S1663" s="7"/>
      <c r="T1663" s="7"/>
      <c r="U1663" s="7"/>
      <c r="V1663" s="7"/>
      <c r="W1663" s="7"/>
    </row>
    <row r="1664" spans="1:23" x14ac:dyDescent="0.35">
      <c r="A1664" s="251">
        <v>76</v>
      </c>
      <c r="B1664" s="251"/>
      <c r="C1664" s="252"/>
      <c r="D1664" s="253"/>
      <c r="E1664" s="254"/>
      <c r="F1664" s="254"/>
      <c r="G1664" s="251"/>
      <c r="H1664" s="159" t="s">
        <v>76</v>
      </c>
      <c r="I1664" s="158">
        <f>K1664*D1662</f>
        <v>273016.59999999998</v>
      </c>
      <c r="J1664" s="158">
        <f>I1664/D1662</f>
        <v>59</v>
      </c>
      <c r="K1664" s="158">
        <v>59</v>
      </c>
      <c r="L1664" s="7"/>
      <c r="M1664" s="7"/>
      <c r="N1664" s="7"/>
      <c r="O1664" s="7"/>
      <c r="P1664" s="7"/>
      <c r="Q1664" s="7"/>
      <c r="R1664" s="7"/>
      <c r="S1664" s="7"/>
      <c r="T1664" s="7"/>
      <c r="U1664" s="7"/>
      <c r="V1664" s="7"/>
      <c r="W1664" s="7"/>
    </row>
    <row r="1665" spans="1:23" ht="15.75" customHeight="1" x14ac:dyDescent="0.35">
      <c r="A1665" s="251">
        <f>A1662+1</f>
        <v>19</v>
      </c>
      <c r="B1665" s="251">
        <v>518</v>
      </c>
      <c r="C1665" s="252" t="s">
        <v>94</v>
      </c>
      <c r="D1665" s="253">
        <v>2925.19</v>
      </c>
      <c r="E1665" s="254" t="s">
        <v>75</v>
      </c>
      <c r="F1665" s="254">
        <v>5</v>
      </c>
      <c r="G1665" s="251" t="s">
        <v>72</v>
      </c>
      <c r="H1665" s="159" t="s">
        <v>73</v>
      </c>
      <c r="I1665" s="158">
        <f>I1666</f>
        <v>479731.16</v>
      </c>
      <c r="J1665" s="158">
        <f>J1666</f>
        <v>164</v>
      </c>
      <c r="K1665" s="158">
        <f>K1666</f>
        <v>164</v>
      </c>
      <c r="L1665" s="7"/>
      <c r="M1665" s="7"/>
      <c r="N1665" s="7"/>
      <c r="O1665" s="7"/>
      <c r="P1665" s="7"/>
      <c r="Q1665" s="7"/>
      <c r="R1665" s="7"/>
      <c r="S1665" s="7"/>
      <c r="T1665" s="7"/>
      <c r="U1665" s="7"/>
      <c r="V1665" s="7"/>
      <c r="W1665" s="7"/>
    </row>
    <row r="1666" spans="1:23" ht="46.5" x14ac:dyDescent="0.35">
      <c r="A1666" s="251"/>
      <c r="B1666" s="251"/>
      <c r="C1666" s="252"/>
      <c r="D1666" s="253"/>
      <c r="E1666" s="254"/>
      <c r="F1666" s="254"/>
      <c r="G1666" s="251"/>
      <c r="H1666" s="159" t="s">
        <v>705</v>
      </c>
      <c r="I1666" s="158">
        <f>D1665*K1666</f>
        <v>479731.16</v>
      </c>
      <c r="J1666" s="158">
        <f>I1666/D1665</f>
        <v>164</v>
      </c>
      <c r="K1666" s="158">
        <f>151+13</f>
        <v>164</v>
      </c>
      <c r="L1666" s="7"/>
      <c r="M1666" s="7"/>
      <c r="N1666" s="7"/>
      <c r="O1666" s="7"/>
      <c r="P1666" s="7"/>
      <c r="Q1666" s="7"/>
      <c r="R1666" s="7"/>
      <c r="S1666" s="7"/>
      <c r="T1666" s="7"/>
      <c r="U1666" s="7"/>
      <c r="V1666" s="7"/>
      <c r="W1666" s="7"/>
    </row>
    <row r="1667" spans="1:23" ht="15.75" customHeight="1" x14ac:dyDescent="0.35">
      <c r="A1667" s="251">
        <f>A1665+1</f>
        <v>20</v>
      </c>
      <c r="B1667" s="251">
        <v>401</v>
      </c>
      <c r="C1667" s="252" t="s">
        <v>81</v>
      </c>
      <c r="D1667" s="253">
        <v>1277.0999999999999</v>
      </c>
      <c r="E1667" s="253" t="s">
        <v>75</v>
      </c>
      <c r="F1667" s="255">
        <v>4</v>
      </c>
      <c r="G1667" s="123"/>
      <c r="H1667" s="159" t="s">
        <v>73</v>
      </c>
      <c r="I1667" s="158">
        <f>I1668+I1669</f>
        <v>65132.1</v>
      </c>
      <c r="J1667" s="158">
        <f>J1668+J1669</f>
        <v>51</v>
      </c>
      <c r="K1667" s="158">
        <f>K1668+K1669</f>
        <v>51</v>
      </c>
      <c r="L1667" s="7"/>
      <c r="M1667" s="7"/>
      <c r="N1667" s="7"/>
      <c r="O1667" s="7"/>
      <c r="P1667" s="7"/>
      <c r="Q1667" s="7"/>
      <c r="R1667" s="7"/>
      <c r="S1667" s="7"/>
      <c r="T1667" s="7"/>
      <c r="U1667" s="7"/>
      <c r="V1667" s="7"/>
      <c r="W1667" s="7"/>
    </row>
    <row r="1668" spans="1:23" ht="31" x14ac:dyDescent="0.35">
      <c r="A1668" s="251">
        <v>882</v>
      </c>
      <c r="B1668" s="251"/>
      <c r="C1668" s="252"/>
      <c r="D1668" s="253"/>
      <c r="E1668" s="253"/>
      <c r="F1668" s="255"/>
      <c r="G1668" s="123" t="s">
        <v>82</v>
      </c>
      <c r="H1668" s="159" t="s">
        <v>666</v>
      </c>
      <c r="I1668" s="158">
        <f>D1667*K1668</f>
        <v>45975.6</v>
      </c>
      <c r="J1668" s="158">
        <f>I1668/D1667</f>
        <v>36</v>
      </c>
      <c r="K1668" s="158">
        <f>33+3</f>
        <v>36</v>
      </c>
      <c r="L1668" s="7"/>
      <c r="M1668" s="7"/>
      <c r="N1668" s="7"/>
      <c r="O1668" s="7"/>
      <c r="P1668" s="7"/>
      <c r="Q1668" s="7"/>
      <c r="R1668" s="7"/>
      <c r="S1668" s="7"/>
      <c r="T1668" s="7"/>
      <c r="U1668" s="7"/>
      <c r="V1668" s="7"/>
      <c r="W1668" s="7"/>
    </row>
    <row r="1669" spans="1:23" ht="46.5" x14ac:dyDescent="0.35">
      <c r="A1669" s="251">
        <v>884</v>
      </c>
      <c r="B1669" s="251"/>
      <c r="C1669" s="252"/>
      <c r="D1669" s="253"/>
      <c r="E1669" s="253"/>
      <c r="F1669" s="255"/>
      <c r="G1669" s="123" t="s">
        <v>83</v>
      </c>
      <c r="H1669" s="159" t="s">
        <v>666</v>
      </c>
      <c r="I1669" s="158">
        <f>D1667*K1669</f>
        <v>19156.5</v>
      </c>
      <c r="J1669" s="158">
        <f>I1669/D1667</f>
        <v>15</v>
      </c>
      <c r="K1669" s="158">
        <f>14+1</f>
        <v>15</v>
      </c>
      <c r="L1669" s="7"/>
      <c r="M1669" s="7"/>
      <c r="N1669" s="7"/>
      <c r="O1669" s="7"/>
      <c r="P1669" s="7"/>
      <c r="Q1669" s="7"/>
      <c r="R1669" s="7"/>
      <c r="S1669" s="7"/>
      <c r="T1669" s="7"/>
      <c r="U1669" s="7"/>
      <c r="V1669" s="7"/>
      <c r="W1669" s="7"/>
    </row>
    <row r="1670" spans="1:23" ht="15.75" customHeight="1" x14ac:dyDescent="0.35">
      <c r="A1670" s="265">
        <f>A1667+1</f>
        <v>21</v>
      </c>
      <c r="B1670" s="265">
        <v>156</v>
      </c>
      <c r="C1670" s="353" t="s">
        <v>547</v>
      </c>
      <c r="D1670" s="262">
        <v>835</v>
      </c>
      <c r="E1670" s="262" t="s">
        <v>80</v>
      </c>
      <c r="F1670" s="265">
        <v>2</v>
      </c>
      <c r="G1670" s="256" t="s">
        <v>85</v>
      </c>
      <c r="H1670" s="159" t="s">
        <v>73</v>
      </c>
      <c r="I1670" s="158">
        <f>I1671+I1672+I1673+I1674+I1675+I1676+I1677+I1678+I1679</f>
        <v>14949840</v>
      </c>
      <c r="J1670" s="158">
        <f>J1671+J1672+J1673+J1674+J1675+J1676+J1677+J1678+J1679</f>
        <v>17904</v>
      </c>
      <c r="K1670" s="158">
        <f>K1671+K1672+K1673+K1674+K1675+K1676+K1677+K1678+K1679</f>
        <v>17904</v>
      </c>
      <c r="L1670" s="7"/>
      <c r="M1670" s="7"/>
      <c r="N1670" s="7"/>
      <c r="O1670" s="7"/>
      <c r="P1670" s="7"/>
      <c r="Q1670" s="7"/>
      <c r="R1670" s="7"/>
      <c r="S1670" s="7"/>
      <c r="T1670" s="7"/>
      <c r="U1670" s="7"/>
      <c r="V1670" s="7"/>
      <c r="W1670" s="7"/>
    </row>
    <row r="1671" spans="1:23" ht="46.5" x14ac:dyDescent="0.35">
      <c r="A1671" s="266"/>
      <c r="B1671" s="266"/>
      <c r="C1671" s="354"/>
      <c r="D1671" s="263"/>
      <c r="E1671" s="263"/>
      <c r="F1671" s="266"/>
      <c r="G1671" s="257"/>
      <c r="H1671" s="159" t="s">
        <v>705</v>
      </c>
      <c r="I1671" s="158">
        <f>D1670*K1671</f>
        <v>177020</v>
      </c>
      <c r="J1671" s="158">
        <f>I1671/D1670</f>
        <v>212</v>
      </c>
      <c r="K1671" s="158">
        <f>196+16</f>
        <v>212</v>
      </c>
      <c r="L1671" s="7"/>
      <c r="M1671" s="7"/>
      <c r="N1671" s="7"/>
      <c r="O1671" s="7"/>
      <c r="P1671" s="7"/>
      <c r="Q1671" s="7"/>
      <c r="R1671" s="7"/>
      <c r="S1671" s="7"/>
      <c r="T1671" s="7"/>
      <c r="U1671" s="7"/>
      <c r="V1671" s="7"/>
      <c r="W1671" s="7"/>
    </row>
    <row r="1672" spans="1:23" x14ac:dyDescent="0.35">
      <c r="A1672" s="266"/>
      <c r="B1672" s="266"/>
      <c r="C1672" s="354"/>
      <c r="D1672" s="263"/>
      <c r="E1672" s="263"/>
      <c r="F1672" s="266"/>
      <c r="G1672" s="257"/>
      <c r="H1672" s="159" t="s">
        <v>74</v>
      </c>
      <c r="I1672" s="158">
        <f>D1670*K1672</f>
        <v>4083150</v>
      </c>
      <c r="J1672" s="158">
        <f>I1672/D1670</f>
        <v>4890</v>
      </c>
      <c r="K1672" s="158">
        <v>4890</v>
      </c>
      <c r="L1672" s="7"/>
      <c r="M1672" s="7"/>
      <c r="N1672" s="7"/>
      <c r="O1672" s="7"/>
      <c r="P1672" s="7"/>
      <c r="Q1672" s="7"/>
      <c r="R1672" s="7"/>
      <c r="S1672" s="7"/>
      <c r="T1672" s="7"/>
      <c r="U1672" s="7"/>
      <c r="V1672" s="7"/>
      <c r="W1672" s="7"/>
    </row>
    <row r="1673" spans="1:23" x14ac:dyDescent="0.35">
      <c r="A1673" s="266"/>
      <c r="B1673" s="266"/>
      <c r="C1673" s="354"/>
      <c r="D1673" s="263"/>
      <c r="E1673" s="263"/>
      <c r="F1673" s="266"/>
      <c r="G1673" s="258"/>
      <c r="H1673" s="159" t="s">
        <v>76</v>
      </c>
      <c r="I1673" s="158">
        <f>D1670*K1673</f>
        <v>87675</v>
      </c>
      <c r="J1673" s="158">
        <f>I1673/D1670</f>
        <v>105</v>
      </c>
      <c r="K1673" s="158">
        <v>105</v>
      </c>
      <c r="L1673" s="7"/>
      <c r="M1673" s="7"/>
      <c r="N1673" s="7"/>
      <c r="O1673" s="7"/>
      <c r="P1673" s="7"/>
      <c r="Q1673" s="7"/>
      <c r="R1673" s="7"/>
      <c r="S1673" s="7"/>
      <c r="T1673" s="7"/>
      <c r="U1673" s="7"/>
      <c r="V1673" s="7"/>
      <c r="W1673" s="7"/>
    </row>
    <row r="1674" spans="1:23" ht="31" x14ac:dyDescent="0.35">
      <c r="A1674" s="266"/>
      <c r="B1674" s="266"/>
      <c r="C1674" s="354"/>
      <c r="D1674" s="263"/>
      <c r="E1674" s="263"/>
      <c r="F1674" s="266"/>
      <c r="G1674" s="256" t="s">
        <v>82</v>
      </c>
      <c r="H1674" s="159" t="s">
        <v>666</v>
      </c>
      <c r="I1674" s="158">
        <f>D1670*K1674</f>
        <v>185370</v>
      </c>
      <c r="J1674" s="158">
        <f>I1674/D1670</f>
        <v>222</v>
      </c>
      <c r="K1674" s="158">
        <f>205+17</f>
        <v>222</v>
      </c>
      <c r="L1674" s="7"/>
      <c r="M1674" s="7"/>
      <c r="N1674" s="7"/>
      <c r="O1674" s="7"/>
      <c r="P1674" s="7"/>
      <c r="Q1674" s="7"/>
      <c r="R1674" s="7"/>
      <c r="S1674" s="7"/>
      <c r="T1674" s="7"/>
      <c r="U1674" s="7"/>
      <c r="V1674" s="7"/>
      <c r="W1674" s="7"/>
    </row>
    <row r="1675" spans="1:23" x14ac:dyDescent="0.35">
      <c r="A1675" s="266"/>
      <c r="B1675" s="266"/>
      <c r="C1675" s="354"/>
      <c r="D1675" s="263"/>
      <c r="E1675" s="263"/>
      <c r="F1675" s="266"/>
      <c r="G1675" s="257"/>
      <c r="H1675" s="159" t="s">
        <v>74</v>
      </c>
      <c r="I1675" s="158">
        <f>D1670*K1675</f>
        <v>4276035</v>
      </c>
      <c r="J1675" s="158">
        <f>I1675/D1670</f>
        <v>5121</v>
      </c>
      <c r="K1675" s="158">
        <v>5121</v>
      </c>
      <c r="L1675" s="7"/>
      <c r="M1675" s="7"/>
      <c r="N1675" s="7"/>
      <c r="O1675" s="7"/>
      <c r="P1675" s="7"/>
      <c r="Q1675" s="7"/>
      <c r="R1675" s="7"/>
      <c r="S1675" s="7"/>
      <c r="T1675" s="7"/>
      <c r="U1675" s="7"/>
      <c r="V1675" s="7"/>
      <c r="W1675" s="7"/>
    </row>
    <row r="1676" spans="1:23" x14ac:dyDescent="0.35">
      <c r="A1676" s="266"/>
      <c r="B1676" s="266"/>
      <c r="C1676" s="354"/>
      <c r="D1676" s="263"/>
      <c r="E1676" s="263"/>
      <c r="F1676" s="266"/>
      <c r="G1676" s="258"/>
      <c r="H1676" s="159" t="s">
        <v>76</v>
      </c>
      <c r="I1676" s="158">
        <f>D1670*K1676</f>
        <v>91850</v>
      </c>
      <c r="J1676" s="158">
        <f>I1676/D1670</f>
        <v>110</v>
      </c>
      <c r="K1676" s="158">
        <v>110</v>
      </c>
      <c r="L1676" s="7"/>
      <c r="M1676" s="7"/>
      <c r="N1676" s="7"/>
      <c r="O1676" s="7"/>
      <c r="P1676" s="7"/>
      <c r="Q1676" s="7"/>
      <c r="R1676" s="7"/>
      <c r="S1676" s="7"/>
      <c r="T1676" s="7"/>
      <c r="U1676" s="7"/>
      <c r="V1676" s="7"/>
      <c r="W1676" s="7"/>
    </row>
    <row r="1677" spans="1:23" ht="46.5" x14ac:dyDescent="0.35">
      <c r="A1677" s="266"/>
      <c r="B1677" s="266"/>
      <c r="C1677" s="354"/>
      <c r="D1677" s="263"/>
      <c r="E1677" s="263"/>
      <c r="F1677" s="266"/>
      <c r="G1677" s="256" t="s">
        <v>72</v>
      </c>
      <c r="H1677" s="159" t="s">
        <v>705</v>
      </c>
      <c r="I1677" s="158">
        <f>D1670*K1677</f>
        <v>148630</v>
      </c>
      <c r="J1677" s="158">
        <f>I1677/D1670</f>
        <v>178</v>
      </c>
      <c r="K1677" s="158">
        <f>164+14</f>
        <v>178</v>
      </c>
      <c r="L1677" s="7"/>
      <c r="M1677" s="7"/>
      <c r="N1677" s="7"/>
      <c r="O1677" s="7"/>
      <c r="P1677" s="7"/>
      <c r="Q1677" s="7"/>
      <c r="R1677" s="7"/>
      <c r="S1677" s="7"/>
      <c r="T1677" s="7"/>
      <c r="U1677" s="7"/>
      <c r="V1677" s="7"/>
      <c r="W1677" s="7"/>
    </row>
    <row r="1678" spans="1:23" x14ac:dyDescent="0.35">
      <c r="A1678" s="266"/>
      <c r="B1678" s="266"/>
      <c r="C1678" s="354"/>
      <c r="D1678" s="263"/>
      <c r="E1678" s="263"/>
      <c r="F1678" s="266"/>
      <c r="G1678" s="257"/>
      <c r="H1678" s="159" t="s">
        <v>74</v>
      </c>
      <c r="I1678" s="158">
        <f>D1670*K1678</f>
        <v>5776530</v>
      </c>
      <c r="J1678" s="158">
        <f>I1678/D1670</f>
        <v>6918</v>
      </c>
      <c r="K1678" s="158">
        <v>6918</v>
      </c>
      <c r="L1678" s="7"/>
      <c r="M1678" s="7"/>
      <c r="N1678" s="7"/>
      <c r="O1678" s="7"/>
      <c r="P1678" s="7"/>
      <c r="Q1678" s="7"/>
      <c r="R1678" s="7"/>
      <c r="S1678" s="7"/>
      <c r="T1678" s="7"/>
      <c r="U1678" s="7"/>
      <c r="V1678" s="7"/>
      <c r="W1678" s="7"/>
    </row>
    <row r="1679" spans="1:23" x14ac:dyDescent="0.35">
      <c r="A1679" s="267"/>
      <c r="B1679" s="267"/>
      <c r="C1679" s="355"/>
      <c r="D1679" s="264"/>
      <c r="E1679" s="264"/>
      <c r="F1679" s="267"/>
      <c r="G1679" s="258"/>
      <c r="H1679" s="159" t="s">
        <v>76</v>
      </c>
      <c r="I1679" s="158">
        <f>D1670*K1679</f>
        <v>123580</v>
      </c>
      <c r="J1679" s="158">
        <f>I1679/D1670</f>
        <v>148</v>
      </c>
      <c r="K1679" s="158">
        <v>148</v>
      </c>
      <c r="L1679" s="7"/>
      <c r="M1679" s="7"/>
      <c r="N1679" s="7"/>
      <c r="O1679" s="7"/>
      <c r="P1679" s="7"/>
      <c r="Q1679" s="7"/>
      <c r="R1679" s="7"/>
      <c r="S1679" s="7"/>
      <c r="T1679" s="7"/>
      <c r="U1679" s="7"/>
      <c r="V1679" s="7"/>
      <c r="W1679" s="7"/>
    </row>
    <row r="1680" spans="1:23" ht="15.75" customHeight="1" x14ac:dyDescent="0.35">
      <c r="A1680" s="256">
        <f>A1670+1</f>
        <v>22</v>
      </c>
      <c r="B1680" s="256">
        <v>167</v>
      </c>
      <c r="C1680" s="259" t="s">
        <v>549</v>
      </c>
      <c r="D1680" s="262">
        <v>836.38</v>
      </c>
      <c r="E1680" s="256" t="s">
        <v>80</v>
      </c>
      <c r="F1680" s="256">
        <v>2</v>
      </c>
      <c r="G1680" s="149"/>
      <c r="H1680" s="159" t="s">
        <v>73</v>
      </c>
      <c r="I1680" s="158">
        <f>I1681+I1682+I1683+I1684+I1685+I1686</f>
        <v>10413767.380000001</v>
      </c>
      <c r="J1680" s="158">
        <f>J1681+J1682+J1683+J1684+J1685+J1686</f>
        <v>12451</v>
      </c>
      <c r="K1680" s="158">
        <f>K1681+K1682+K1683+K1684+K1685+K1686</f>
        <v>12451</v>
      </c>
      <c r="L1680" s="7"/>
      <c r="M1680" s="7"/>
      <c r="N1680" s="7"/>
      <c r="O1680" s="7"/>
      <c r="P1680" s="7"/>
      <c r="Q1680" s="7"/>
      <c r="R1680" s="7"/>
      <c r="S1680" s="7"/>
      <c r="T1680" s="7"/>
      <c r="U1680" s="7"/>
      <c r="V1680" s="7"/>
      <c r="W1680" s="7"/>
    </row>
    <row r="1681" spans="1:23" ht="46.5" x14ac:dyDescent="0.35">
      <c r="A1681" s="257"/>
      <c r="B1681" s="257"/>
      <c r="C1681" s="260"/>
      <c r="D1681" s="263"/>
      <c r="E1681" s="257"/>
      <c r="F1681" s="257"/>
      <c r="G1681" s="256" t="s">
        <v>72</v>
      </c>
      <c r="H1681" s="159" t="s">
        <v>705</v>
      </c>
      <c r="I1681" s="158">
        <f>D1680*K1681</f>
        <v>148875.64000000001</v>
      </c>
      <c r="J1681" s="158">
        <f>I1681/D1680</f>
        <v>178</v>
      </c>
      <c r="K1681" s="158">
        <f>164+14</f>
        <v>178</v>
      </c>
      <c r="L1681" s="7"/>
      <c r="M1681" s="7"/>
      <c r="N1681" s="7"/>
      <c r="O1681" s="7"/>
      <c r="P1681" s="7"/>
      <c r="Q1681" s="7"/>
      <c r="R1681" s="7"/>
      <c r="S1681" s="7"/>
      <c r="T1681" s="7"/>
      <c r="U1681" s="7"/>
      <c r="V1681" s="7"/>
      <c r="W1681" s="7"/>
    </row>
    <row r="1682" spans="1:23" x14ac:dyDescent="0.35">
      <c r="A1682" s="257"/>
      <c r="B1682" s="257"/>
      <c r="C1682" s="260"/>
      <c r="D1682" s="263"/>
      <c r="E1682" s="257"/>
      <c r="F1682" s="257"/>
      <c r="G1682" s="257"/>
      <c r="H1682" s="159" t="s">
        <v>74</v>
      </c>
      <c r="I1682" s="158">
        <f>D1680*K1682</f>
        <v>5786076.8399999999</v>
      </c>
      <c r="J1682" s="158">
        <f>I1682/D1680</f>
        <v>6918</v>
      </c>
      <c r="K1682" s="158">
        <v>6918</v>
      </c>
      <c r="L1682" s="7"/>
      <c r="M1682" s="7"/>
      <c r="N1682" s="7"/>
      <c r="O1682" s="7"/>
      <c r="P1682" s="7"/>
      <c r="Q1682" s="7"/>
      <c r="R1682" s="7"/>
      <c r="S1682" s="7"/>
      <c r="T1682" s="7"/>
      <c r="U1682" s="7"/>
      <c r="V1682" s="7"/>
      <c r="W1682" s="7"/>
    </row>
    <row r="1683" spans="1:23" x14ac:dyDescent="0.35">
      <c r="A1683" s="257"/>
      <c r="B1683" s="257"/>
      <c r="C1683" s="260"/>
      <c r="D1683" s="263"/>
      <c r="E1683" s="257"/>
      <c r="F1683" s="257"/>
      <c r="G1683" s="258"/>
      <c r="H1683" s="159" t="s">
        <v>76</v>
      </c>
      <c r="I1683" s="158">
        <f>D1680*K1683</f>
        <v>123784.24</v>
      </c>
      <c r="J1683" s="158">
        <f>I1683/D1680</f>
        <v>148</v>
      </c>
      <c r="K1683" s="158">
        <v>148</v>
      </c>
      <c r="L1683" s="7"/>
      <c r="M1683" s="7"/>
      <c r="N1683" s="7"/>
      <c r="O1683" s="7"/>
      <c r="P1683" s="7"/>
      <c r="Q1683" s="7"/>
      <c r="R1683" s="7"/>
      <c r="S1683" s="7"/>
      <c r="T1683" s="7"/>
      <c r="U1683" s="7"/>
      <c r="V1683" s="7"/>
      <c r="W1683" s="7"/>
    </row>
    <row r="1684" spans="1:23" ht="46.5" x14ac:dyDescent="0.35">
      <c r="A1684" s="257"/>
      <c r="B1684" s="257"/>
      <c r="C1684" s="260"/>
      <c r="D1684" s="263"/>
      <c r="E1684" s="257"/>
      <c r="F1684" s="257"/>
      <c r="G1684" s="256" t="s">
        <v>85</v>
      </c>
      <c r="H1684" s="159" t="s">
        <v>705</v>
      </c>
      <c r="I1684" s="158">
        <f>D1680*K1684</f>
        <v>177312.56</v>
      </c>
      <c r="J1684" s="158">
        <f>I1684/D1680</f>
        <v>212</v>
      </c>
      <c r="K1684" s="158">
        <f>196+16</f>
        <v>212</v>
      </c>
      <c r="L1684" s="7"/>
      <c r="M1684" s="7"/>
      <c r="N1684" s="7"/>
      <c r="O1684" s="7"/>
      <c r="P1684" s="7"/>
      <c r="Q1684" s="7"/>
      <c r="R1684" s="7"/>
      <c r="S1684" s="7"/>
      <c r="T1684" s="7"/>
      <c r="U1684" s="7"/>
      <c r="V1684" s="7"/>
      <c r="W1684" s="7"/>
    </row>
    <row r="1685" spans="1:23" x14ac:dyDescent="0.35">
      <c r="A1685" s="257"/>
      <c r="B1685" s="257"/>
      <c r="C1685" s="260"/>
      <c r="D1685" s="263"/>
      <c r="E1685" s="257"/>
      <c r="F1685" s="257"/>
      <c r="G1685" s="257"/>
      <c r="H1685" s="159" t="s">
        <v>74</v>
      </c>
      <c r="I1685" s="158">
        <f>D1680*K1685</f>
        <v>4089898.2</v>
      </c>
      <c r="J1685" s="158">
        <f>I1685/D1680</f>
        <v>4890</v>
      </c>
      <c r="K1685" s="158">
        <v>4890</v>
      </c>
      <c r="L1685" s="7"/>
      <c r="M1685" s="7"/>
      <c r="N1685" s="7"/>
      <c r="O1685" s="7"/>
      <c r="P1685" s="7"/>
      <c r="Q1685" s="7"/>
      <c r="R1685" s="7"/>
      <c r="S1685" s="7"/>
      <c r="T1685" s="7"/>
      <c r="U1685" s="7"/>
      <c r="V1685" s="7"/>
      <c r="W1685" s="7"/>
    </row>
    <row r="1686" spans="1:23" x14ac:dyDescent="0.35">
      <c r="A1686" s="258"/>
      <c r="B1686" s="258"/>
      <c r="C1686" s="261"/>
      <c r="D1686" s="264"/>
      <c r="E1686" s="258"/>
      <c r="F1686" s="258"/>
      <c r="G1686" s="258"/>
      <c r="H1686" s="159" t="s">
        <v>76</v>
      </c>
      <c r="I1686" s="158">
        <f>D1680*K1686</f>
        <v>87819.9</v>
      </c>
      <c r="J1686" s="158">
        <f>I1686/D1680</f>
        <v>105</v>
      </c>
      <c r="K1686" s="158">
        <v>105</v>
      </c>
      <c r="L1686" s="7"/>
      <c r="M1686" s="7"/>
      <c r="N1686" s="7"/>
      <c r="O1686" s="7"/>
      <c r="P1686" s="7"/>
      <c r="Q1686" s="7"/>
      <c r="R1686" s="7"/>
      <c r="S1686" s="7"/>
      <c r="T1686" s="7"/>
      <c r="U1686" s="7"/>
      <c r="V1686" s="7"/>
      <c r="W1686" s="7"/>
    </row>
    <row r="1687" spans="1:23" ht="15.75" customHeight="1" x14ac:dyDescent="0.35">
      <c r="A1687" s="256">
        <f>A1680+1</f>
        <v>23</v>
      </c>
      <c r="B1687" s="256">
        <v>203</v>
      </c>
      <c r="C1687" s="259" t="s">
        <v>95</v>
      </c>
      <c r="D1687" s="262">
        <v>408.23</v>
      </c>
      <c r="E1687" s="262" t="s">
        <v>75</v>
      </c>
      <c r="F1687" s="265">
        <v>2</v>
      </c>
      <c r="G1687" s="144"/>
      <c r="H1687" s="159" t="s">
        <v>73</v>
      </c>
      <c r="I1687" s="158">
        <f>I1688+I1689</f>
        <v>84911.84</v>
      </c>
      <c r="J1687" s="158">
        <f>J1688+J1689</f>
        <v>208</v>
      </c>
      <c r="K1687" s="158">
        <f>K1688+K1689</f>
        <v>208</v>
      </c>
      <c r="L1687" s="7"/>
      <c r="M1687" s="7"/>
      <c r="N1687" s="7"/>
      <c r="O1687" s="7"/>
      <c r="P1687" s="7"/>
      <c r="Q1687" s="7"/>
      <c r="R1687" s="7"/>
      <c r="S1687" s="7"/>
      <c r="T1687" s="7"/>
      <c r="U1687" s="7"/>
      <c r="V1687" s="7"/>
      <c r="W1687" s="7"/>
    </row>
    <row r="1688" spans="1:23" ht="46.5" x14ac:dyDescent="0.35">
      <c r="A1688" s="257"/>
      <c r="B1688" s="257"/>
      <c r="C1688" s="260"/>
      <c r="D1688" s="263"/>
      <c r="E1688" s="263"/>
      <c r="F1688" s="266"/>
      <c r="G1688" s="120" t="s">
        <v>85</v>
      </c>
      <c r="H1688" s="159" t="s">
        <v>705</v>
      </c>
      <c r="I1688" s="158">
        <f>D1687*K1688</f>
        <v>17962.12</v>
      </c>
      <c r="J1688" s="158">
        <f>I1688/D1687</f>
        <v>44</v>
      </c>
      <c r="K1688" s="158">
        <f>41+3</f>
        <v>44</v>
      </c>
      <c r="L1688" s="7"/>
      <c r="M1688" s="7"/>
      <c r="N1688" s="7"/>
      <c r="O1688" s="7"/>
      <c r="P1688" s="7"/>
      <c r="Q1688" s="7"/>
      <c r="R1688" s="7"/>
      <c r="S1688" s="7"/>
      <c r="T1688" s="7"/>
      <c r="U1688" s="7"/>
      <c r="V1688" s="7"/>
      <c r="W1688" s="7"/>
    </row>
    <row r="1689" spans="1:23" ht="46.5" x14ac:dyDescent="0.35">
      <c r="A1689" s="257"/>
      <c r="B1689" s="257"/>
      <c r="C1689" s="260"/>
      <c r="D1689" s="263"/>
      <c r="E1689" s="263"/>
      <c r="F1689" s="266"/>
      <c r="G1689" s="120" t="s">
        <v>72</v>
      </c>
      <c r="H1689" s="159" t="s">
        <v>705</v>
      </c>
      <c r="I1689" s="158">
        <f>D1687*K1689</f>
        <v>66949.72</v>
      </c>
      <c r="J1689" s="158">
        <f>I1689/D1687</f>
        <v>164</v>
      </c>
      <c r="K1689" s="158">
        <f>151+13</f>
        <v>164</v>
      </c>
      <c r="L1689" s="7"/>
      <c r="M1689" s="7"/>
      <c r="N1689" s="7"/>
      <c r="O1689" s="7"/>
      <c r="P1689" s="7"/>
      <c r="Q1689" s="7"/>
      <c r="R1689" s="7"/>
      <c r="S1689" s="7"/>
      <c r="T1689" s="7"/>
      <c r="U1689" s="7"/>
      <c r="V1689" s="7"/>
      <c r="W1689" s="7"/>
    </row>
    <row r="1690" spans="1:23" ht="15.75" customHeight="1" x14ac:dyDescent="0.35">
      <c r="A1690" s="256">
        <f>A1687+1</f>
        <v>24</v>
      </c>
      <c r="B1690" s="256">
        <v>204</v>
      </c>
      <c r="C1690" s="259" t="s">
        <v>96</v>
      </c>
      <c r="D1690" s="262">
        <v>405.9</v>
      </c>
      <c r="E1690" s="262" t="s">
        <v>75</v>
      </c>
      <c r="F1690" s="265">
        <v>2</v>
      </c>
      <c r="G1690" s="149"/>
      <c r="H1690" s="159" t="s">
        <v>73</v>
      </c>
      <c r="I1690" s="158">
        <f>I1691+I1692</f>
        <v>84427.199999999997</v>
      </c>
      <c r="J1690" s="158">
        <f>J1691+J1692</f>
        <v>208</v>
      </c>
      <c r="K1690" s="158">
        <f>K1691+K1692</f>
        <v>208</v>
      </c>
      <c r="L1690" s="7"/>
      <c r="M1690" s="7"/>
      <c r="N1690" s="7"/>
      <c r="O1690" s="7"/>
      <c r="P1690" s="7"/>
      <c r="Q1690" s="7"/>
      <c r="R1690" s="7"/>
      <c r="S1690" s="7"/>
      <c r="T1690" s="7"/>
      <c r="U1690" s="7"/>
      <c r="V1690" s="7"/>
      <c r="W1690" s="7"/>
    </row>
    <row r="1691" spans="1:23" ht="46.5" x14ac:dyDescent="0.35">
      <c r="A1691" s="257"/>
      <c r="B1691" s="257"/>
      <c r="C1691" s="260"/>
      <c r="D1691" s="263"/>
      <c r="E1691" s="263"/>
      <c r="F1691" s="266"/>
      <c r="G1691" s="120" t="s">
        <v>72</v>
      </c>
      <c r="H1691" s="159" t="s">
        <v>705</v>
      </c>
      <c r="I1691" s="158">
        <f>D1690*K1691</f>
        <v>66567.600000000006</v>
      </c>
      <c r="J1691" s="158">
        <f>I1691/D1690</f>
        <v>164</v>
      </c>
      <c r="K1691" s="158">
        <f>151+13</f>
        <v>164</v>
      </c>
      <c r="L1691" s="7"/>
      <c r="M1691" s="7"/>
      <c r="N1691" s="7"/>
      <c r="O1691" s="7"/>
      <c r="P1691" s="7"/>
      <c r="Q1691" s="7"/>
      <c r="R1691" s="7"/>
      <c r="S1691" s="7"/>
      <c r="T1691" s="7"/>
      <c r="U1691" s="7"/>
      <c r="V1691" s="7"/>
      <c r="W1691" s="7"/>
    </row>
    <row r="1692" spans="1:23" ht="46.5" x14ac:dyDescent="0.35">
      <c r="A1692" s="257"/>
      <c r="B1692" s="257"/>
      <c r="C1692" s="260"/>
      <c r="D1692" s="263"/>
      <c r="E1692" s="263"/>
      <c r="F1692" s="266"/>
      <c r="G1692" s="120" t="s">
        <v>85</v>
      </c>
      <c r="H1692" s="159" t="s">
        <v>705</v>
      </c>
      <c r="I1692" s="158">
        <f>D1690*K1692</f>
        <v>17859.599999999999</v>
      </c>
      <c r="J1692" s="158">
        <f>I1692/D1690</f>
        <v>44</v>
      </c>
      <c r="K1692" s="158">
        <f>41+3</f>
        <v>44</v>
      </c>
      <c r="L1692" s="7"/>
      <c r="M1692" s="7"/>
      <c r="N1692" s="7"/>
      <c r="O1692" s="7"/>
      <c r="P1692" s="7"/>
      <c r="Q1692" s="7"/>
      <c r="R1692" s="7"/>
      <c r="S1692" s="7"/>
      <c r="T1692" s="7"/>
      <c r="U1692" s="7"/>
      <c r="V1692" s="7"/>
      <c r="W1692" s="7"/>
    </row>
    <row r="1693" spans="1:23" ht="15.75" customHeight="1" x14ac:dyDescent="0.35">
      <c r="A1693" s="256">
        <f>A1690+1</f>
        <v>25</v>
      </c>
      <c r="B1693" s="256">
        <v>602</v>
      </c>
      <c r="C1693" s="259" t="s">
        <v>550</v>
      </c>
      <c r="D1693" s="262">
        <v>3240.43</v>
      </c>
      <c r="E1693" s="262" t="s">
        <v>75</v>
      </c>
      <c r="F1693" s="265">
        <v>5</v>
      </c>
      <c r="G1693" s="256" t="s">
        <v>85</v>
      </c>
      <c r="H1693" s="159" t="s">
        <v>73</v>
      </c>
      <c r="I1693" s="158">
        <f>I1694</f>
        <v>547632.67000000004</v>
      </c>
      <c r="J1693" s="158">
        <f>J1694</f>
        <v>169</v>
      </c>
      <c r="K1693" s="158">
        <f>K1694</f>
        <v>169</v>
      </c>
      <c r="L1693" s="7"/>
      <c r="M1693" s="7"/>
      <c r="N1693" s="7"/>
      <c r="O1693" s="7"/>
      <c r="P1693" s="7"/>
      <c r="Q1693" s="7"/>
      <c r="R1693" s="7"/>
      <c r="S1693" s="7"/>
      <c r="T1693" s="7"/>
      <c r="U1693" s="7"/>
      <c r="V1693" s="7"/>
      <c r="W1693" s="7"/>
    </row>
    <row r="1694" spans="1:23" ht="46.5" x14ac:dyDescent="0.35">
      <c r="A1694" s="257"/>
      <c r="B1694" s="257"/>
      <c r="C1694" s="260"/>
      <c r="D1694" s="263"/>
      <c r="E1694" s="263"/>
      <c r="F1694" s="266"/>
      <c r="G1694" s="257"/>
      <c r="H1694" s="159" t="s">
        <v>706</v>
      </c>
      <c r="I1694" s="158">
        <f>D1693*K1694</f>
        <v>547632.67000000004</v>
      </c>
      <c r="J1694" s="158">
        <f>I1694/D1693</f>
        <v>169</v>
      </c>
      <c r="K1694" s="158">
        <f>156+13</f>
        <v>169</v>
      </c>
      <c r="L1694" s="7"/>
      <c r="M1694" s="7"/>
      <c r="N1694" s="7"/>
      <c r="O1694" s="7"/>
      <c r="P1694" s="7"/>
      <c r="Q1694" s="7"/>
      <c r="R1694" s="7"/>
      <c r="S1694" s="7"/>
      <c r="T1694" s="7"/>
      <c r="U1694" s="7"/>
      <c r="V1694" s="7"/>
      <c r="W1694" s="7"/>
    </row>
    <row r="1695" spans="1:23" ht="15.75" customHeight="1" x14ac:dyDescent="0.35">
      <c r="A1695" s="256">
        <f>A1693+1</f>
        <v>26</v>
      </c>
      <c r="B1695" s="256">
        <v>284</v>
      </c>
      <c r="C1695" s="259" t="s">
        <v>551</v>
      </c>
      <c r="D1695" s="262">
        <v>2104.5</v>
      </c>
      <c r="E1695" s="262" t="s">
        <v>75</v>
      </c>
      <c r="F1695" s="265">
        <v>4</v>
      </c>
      <c r="G1695" s="144"/>
      <c r="H1695" s="159" t="s">
        <v>73</v>
      </c>
      <c r="I1695" s="158">
        <f>I1696+I1697+I1698+I1699+I1700+I1701</f>
        <v>12582805.5</v>
      </c>
      <c r="J1695" s="158">
        <f>J1696+J1697+J1698+J1699+J1700+J1701</f>
        <v>5979</v>
      </c>
      <c r="K1695" s="158">
        <f>K1696+K1697+K1698+K1699+K1700+K1701</f>
        <v>5979</v>
      </c>
      <c r="L1695" s="7"/>
      <c r="M1695" s="7"/>
      <c r="N1695" s="7"/>
      <c r="O1695" s="7"/>
      <c r="P1695" s="7"/>
      <c r="Q1695" s="7"/>
      <c r="R1695" s="7"/>
      <c r="S1695" s="7"/>
      <c r="T1695" s="7"/>
      <c r="U1695" s="7"/>
      <c r="V1695" s="7"/>
      <c r="W1695" s="7"/>
    </row>
    <row r="1696" spans="1:23" ht="46.5" x14ac:dyDescent="0.35">
      <c r="A1696" s="257"/>
      <c r="B1696" s="257"/>
      <c r="C1696" s="260"/>
      <c r="D1696" s="263"/>
      <c r="E1696" s="263"/>
      <c r="F1696" s="266"/>
      <c r="G1696" s="256" t="s">
        <v>85</v>
      </c>
      <c r="H1696" s="159" t="s">
        <v>705</v>
      </c>
      <c r="I1696" s="158">
        <f>D1695*K1696</f>
        <v>92598</v>
      </c>
      <c r="J1696" s="158">
        <f>I1696/D1695</f>
        <v>44</v>
      </c>
      <c r="K1696" s="158">
        <f>41+3</f>
        <v>44</v>
      </c>
      <c r="L1696" s="7"/>
      <c r="M1696" s="7"/>
      <c r="N1696" s="7"/>
      <c r="O1696" s="7"/>
      <c r="P1696" s="7"/>
      <c r="Q1696" s="7"/>
      <c r="R1696" s="7"/>
      <c r="S1696" s="7"/>
      <c r="T1696" s="7"/>
      <c r="U1696" s="7"/>
      <c r="V1696" s="7"/>
      <c r="W1696" s="7"/>
    </row>
    <row r="1697" spans="1:23" x14ac:dyDescent="0.35">
      <c r="A1697" s="257"/>
      <c r="B1697" s="257"/>
      <c r="C1697" s="260"/>
      <c r="D1697" s="263"/>
      <c r="E1697" s="263"/>
      <c r="F1697" s="266"/>
      <c r="G1697" s="257"/>
      <c r="H1697" s="159" t="s">
        <v>74</v>
      </c>
      <c r="I1697" s="158">
        <f>D1695*K1697</f>
        <v>2148694.5</v>
      </c>
      <c r="J1697" s="158">
        <f>I1697/D1695</f>
        <v>1021</v>
      </c>
      <c r="K1697" s="158">
        <v>1021</v>
      </c>
      <c r="L1697" s="7"/>
      <c r="M1697" s="7"/>
      <c r="N1697" s="7"/>
      <c r="O1697" s="7"/>
      <c r="P1697" s="7"/>
      <c r="Q1697" s="7"/>
      <c r="R1697" s="7"/>
      <c r="S1697" s="7"/>
      <c r="T1697" s="7"/>
      <c r="U1697" s="7"/>
      <c r="V1697" s="7"/>
      <c r="W1697" s="7"/>
    </row>
    <row r="1698" spans="1:23" x14ac:dyDescent="0.35">
      <c r="A1698" s="257"/>
      <c r="B1698" s="257"/>
      <c r="C1698" s="260"/>
      <c r="D1698" s="263"/>
      <c r="E1698" s="263"/>
      <c r="F1698" s="266"/>
      <c r="G1698" s="258"/>
      <c r="H1698" s="159" t="s">
        <v>76</v>
      </c>
      <c r="I1698" s="158">
        <f>D1695*K1698</f>
        <v>46299</v>
      </c>
      <c r="J1698" s="158">
        <f>I1698/D1695</f>
        <v>22</v>
      </c>
      <c r="K1698" s="158">
        <v>22</v>
      </c>
      <c r="L1698" s="7"/>
      <c r="M1698" s="7"/>
      <c r="N1698" s="7"/>
      <c r="O1698" s="7"/>
      <c r="P1698" s="7"/>
      <c r="Q1698" s="7"/>
      <c r="R1698" s="7"/>
      <c r="S1698" s="7"/>
      <c r="T1698" s="7"/>
      <c r="U1698" s="7"/>
      <c r="V1698" s="7"/>
      <c r="W1698" s="7"/>
    </row>
    <row r="1699" spans="1:23" ht="46.5" x14ac:dyDescent="0.35">
      <c r="A1699" s="257"/>
      <c r="B1699" s="257"/>
      <c r="C1699" s="260"/>
      <c r="D1699" s="263"/>
      <c r="E1699" s="263"/>
      <c r="F1699" s="266"/>
      <c r="G1699" s="256" t="s">
        <v>72</v>
      </c>
      <c r="H1699" s="159" t="s">
        <v>705</v>
      </c>
      <c r="I1699" s="158">
        <f>D1695*K1699</f>
        <v>345138</v>
      </c>
      <c r="J1699" s="158">
        <f>I1699/D1695</f>
        <v>164</v>
      </c>
      <c r="K1699" s="158">
        <f>151+13</f>
        <v>164</v>
      </c>
      <c r="L1699" s="7"/>
      <c r="M1699" s="7"/>
      <c r="N1699" s="7"/>
      <c r="O1699" s="7"/>
      <c r="P1699" s="7"/>
      <c r="Q1699" s="7"/>
      <c r="R1699" s="7"/>
      <c r="S1699" s="7"/>
      <c r="T1699" s="7"/>
      <c r="U1699" s="7"/>
      <c r="V1699" s="7"/>
      <c r="W1699" s="7"/>
    </row>
    <row r="1700" spans="1:23" x14ac:dyDescent="0.35">
      <c r="A1700" s="257"/>
      <c r="B1700" s="257"/>
      <c r="C1700" s="260"/>
      <c r="D1700" s="263"/>
      <c r="E1700" s="263"/>
      <c r="F1700" s="266"/>
      <c r="G1700" s="257"/>
      <c r="H1700" s="159" t="s">
        <v>74</v>
      </c>
      <c r="I1700" s="158">
        <f>D1695*K1700</f>
        <v>9741730.5</v>
      </c>
      <c r="J1700" s="158">
        <f>I1700/D1695</f>
        <v>4629</v>
      </c>
      <c r="K1700" s="158">
        <v>4629</v>
      </c>
      <c r="L1700" s="7"/>
      <c r="M1700" s="7"/>
      <c r="N1700" s="7"/>
      <c r="O1700" s="7"/>
      <c r="P1700" s="7"/>
      <c r="Q1700" s="7"/>
      <c r="R1700" s="7"/>
      <c r="S1700" s="7"/>
      <c r="T1700" s="7"/>
      <c r="U1700" s="7"/>
      <c r="V1700" s="7"/>
      <c r="W1700" s="7"/>
    </row>
    <row r="1701" spans="1:23" x14ac:dyDescent="0.35">
      <c r="A1701" s="258"/>
      <c r="B1701" s="258"/>
      <c r="C1701" s="261"/>
      <c r="D1701" s="264"/>
      <c r="E1701" s="264"/>
      <c r="F1701" s="267"/>
      <c r="G1701" s="258"/>
      <c r="H1701" s="159" t="s">
        <v>76</v>
      </c>
      <c r="I1701" s="158">
        <f>D1695*K1701</f>
        <v>208345.5</v>
      </c>
      <c r="J1701" s="158">
        <f>I1701/D1695</f>
        <v>99</v>
      </c>
      <c r="K1701" s="158">
        <v>99</v>
      </c>
      <c r="L1701" s="7"/>
      <c r="M1701" s="7"/>
      <c r="N1701" s="7"/>
      <c r="O1701" s="7"/>
      <c r="P1701" s="7"/>
      <c r="Q1701" s="7"/>
      <c r="R1701" s="7"/>
      <c r="S1701" s="7"/>
      <c r="T1701" s="7"/>
      <c r="U1701" s="7"/>
      <c r="V1701" s="7"/>
      <c r="W1701" s="7"/>
    </row>
    <row r="1702" spans="1:23" x14ac:dyDescent="0.35">
      <c r="A1702" s="251">
        <f>A1695+1</f>
        <v>27</v>
      </c>
      <c r="B1702" s="251">
        <v>527</v>
      </c>
      <c r="C1702" s="252" t="s">
        <v>284</v>
      </c>
      <c r="D1702" s="253">
        <v>3506</v>
      </c>
      <c r="E1702" s="254" t="s">
        <v>71</v>
      </c>
      <c r="F1702" s="254">
        <v>5</v>
      </c>
      <c r="G1702" s="251" t="s">
        <v>72</v>
      </c>
      <c r="H1702" s="159" t="s">
        <v>73</v>
      </c>
      <c r="I1702" s="158">
        <f>I1703+I1704</f>
        <v>7009896.4000000004</v>
      </c>
      <c r="J1702" s="158">
        <f>J1703+J1704</f>
        <v>1999.4</v>
      </c>
      <c r="K1702" s="158">
        <f>K1703+K1704</f>
        <v>2831</v>
      </c>
      <c r="L1702" s="7"/>
      <c r="M1702" s="7"/>
      <c r="N1702" s="7"/>
      <c r="O1702" s="7"/>
      <c r="P1702" s="7"/>
      <c r="Q1702" s="7"/>
      <c r="R1702" s="7"/>
      <c r="S1702" s="7"/>
      <c r="T1702" s="7"/>
      <c r="U1702" s="7"/>
      <c r="V1702" s="7"/>
      <c r="W1702" s="7"/>
    </row>
    <row r="1703" spans="1:23" x14ac:dyDescent="0.35">
      <c r="A1703" s="251">
        <v>75</v>
      </c>
      <c r="B1703" s="251"/>
      <c r="C1703" s="252"/>
      <c r="D1703" s="253"/>
      <c r="E1703" s="254"/>
      <c r="F1703" s="254"/>
      <c r="G1703" s="251"/>
      <c r="H1703" s="159" t="s">
        <v>74</v>
      </c>
      <c r="I1703" s="158">
        <f>K1703*D1702*0.7</f>
        <v>6803042.4000000004</v>
      </c>
      <c r="J1703" s="158">
        <f>I1703/D1702</f>
        <v>1940.4</v>
      </c>
      <c r="K1703" s="158">
        <v>2772</v>
      </c>
      <c r="L1703" s="7"/>
      <c r="M1703" s="7"/>
      <c r="N1703" s="7"/>
      <c r="O1703" s="7"/>
      <c r="P1703" s="7"/>
      <c r="Q1703" s="7"/>
      <c r="R1703" s="7"/>
      <c r="S1703" s="7"/>
      <c r="T1703" s="7"/>
      <c r="U1703" s="7"/>
      <c r="V1703" s="7"/>
      <c r="W1703" s="7"/>
    </row>
    <row r="1704" spans="1:23" x14ac:dyDescent="0.35">
      <c r="A1704" s="251">
        <v>76</v>
      </c>
      <c r="B1704" s="251"/>
      <c r="C1704" s="252"/>
      <c r="D1704" s="253"/>
      <c r="E1704" s="254"/>
      <c r="F1704" s="254"/>
      <c r="G1704" s="251"/>
      <c r="H1704" s="159" t="s">
        <v>76</v>
      </c>
      <c r="I1704" s="158">
        <f>K1704*D1702</f>
        <v>206854</v>
      </c>
      <c r="J1704" s="158">
        <f>I1704/D1702</f>
        <v>59</v>
      </c>
      <c r="K1704" s="158">
        <v>59</v>
      </c>
      <c r="L1704" s="7"/>
      <c r="M1704" s="7"/>
      <c r="N1704" s="7"/>
      <c r="O1704" s="7"/>
      <c r="P1704" s="7"/>
      <c r="Q1704" s="7"/>
      <c r="R1704" s="7"/>
      <c r="S1704" s="7"/>
      <c r="T1704" s="7"/>
      <c r="U1704" s="7"/>
      <c r="V1704" s="7"/>
      <c r="W1704" s="7"/>
    </row>
    <row r="1705" spans="1:23" ht="15.75" customHeight="1" x14ac:dyDescent="0.35">
      <c r="A1705" s="251">
        <f>A1702+1</f>
        <v>28</v>
      </c>
      <c r="B1705" s="251">
        <v>606</v>
      </c>
      <c r="C1705" s="252" t="s">
        <v>552</v>
      </c>
      <c r="D1705" s="253">
        <v>3358.8</v>
      </c>
      <c r="E1705" s="254" t="s">
        <v>75</v>
      </c>
      <c r="F1705" s="254">
        <v>5</v>
      </c>
      <c r="G1705" s="251" t="s">
        <v>72</v>
      </c>
      <c r="H1705" s="159" t="s">
        <v>73</v>
      </c>
      <c r="I1705" s="158">
        <f>I1706</f>
        <v>550843.19999999995</v>
      </c>
      <c r="J1705" s="158">
        <f>J1706</f>
        <v>164</v>
      </c>
      <c r="K1705" s="158">
        <f>K1706</f>
        <v>164</v>
      </c>
      <c r="L1705" s="7"/>
      <c r="M1705" s="7"/>
      <c r="N1705" s="7"/>
      <c r="O1705" s="7"/>
      <c r="P1705" s="7"/>
      <c r="Q1705" s="7"/>
      <c r="R1705" s="7"/>
      <c r="S1705" s="7"/>
      <c r="T1705" s="7"/>
      <c r="U1705" s="7"/>
      <c r="V1705" s="7"/>
      <c r="W1705" s="7"/>
    </row>
    <row r="1706" spans="1:23" ht="46.5" x14ac:dyDescent="0.35">
      <c r="A1706" s="251"/>
      <c r="B1706" s="251"/>
      <c r="C1706" s="252"/>
      <c r="D1706" s="253"/>
      <c r="E1706" s="254"/>
      <c r="F1706" s="254"/>
      <c r="G1706" s="251"/>
      <c r="H1706" s="159" t="s">
        <v>705</v>
      </c>
      <c r="I1706" s="158">
        <f>D1705*K1706</f>
        <v>550843.19999999995</v>
      </c>
      <c r="J1706" s="158">
        <f>I1706/D1705</f>
        <v>164</v>
      </c>
      <c r="K1706" s="158">
        <f>151+13</f>
        <v>164</v>
      </c>
      <c r="L1706" s="7"/>
      <c r="M1706" s="7"/>
      <c r="N1706" s="7"/>
      <c r="O1706" s="7"/>
      <c r="P1706" s="7"/>
      <c r="Q1706" s="7"/>
      <c r="R1706" s="7"/>
      <c r="S1706" s="7"/>
      <c r="T1706" s="7"/>
      <c r="U1706" s="7"/>
      <c r="V1706" s="7"/>
      <c r="W1706" s="7"/>
    </row>
    <row r="1707" spans="1:23" x14ac:dyDescent="0.35">
      <c r="A1707" s="251">
        <f>A1705+1</f>
        <v>29</v>
      </c>
      <c r="B1707" s="251">
        <v>546</v>
      </c>
      <c r="C1707" s="252" t="s">
        <v>287</v>
      </c>
      <c r="D1707" s="253">
        <v>3568.8</v>
      </c>
      <c r="E1707" s="254" t="s">
        <v>71</v>
      </c>
      <c r="F1707" s="254">
        <v>5</v>
      </c>
      <c r="G1707" s="251" t="s">
        <v>72</v>
      </c>
      <c r="H1707" s="159" t="s">
        <v>73</v>
      </c>
      <c r="I1707" s="158">
        <f>I1708+I1709</f>
        <v>7135458.7199999997</v>
      </c>
      <c r="J1707" s="158">
        <f>J1708+J1709</f>
        <v>1999.4</v>
      </c>
      <c r="K1707" s="158">
        <f>K1708+K1709</f>
        <v>2831</v>
      </c>
      <c r="L1707" s="7"/>
      <c r="M1707" s="7"/>
      <c r="N1707" s="7"/>
      <c r="O1707" s="7"/>
      <c r="P1707" s="7"/>
      <c r="Q1707" s="7"/>
      <c r="R1707" s="7"/>
      <c r="S1707" s="7"/>
      <c r="T1707" s="7"/>
      <c r="U1707" s="7"/>
      <c r="V1707" s="7"/>
      <c r="W1707" s="7"/>
    </row>
    <row r="1708" spans="1:23" x14ac:dyDescent="0.35">
      <c r="A1708" s="251">
        <v>75</v>
      </c>
      <c r="B1708" s="251"/>
      <c r="C1708" s="252"/>
      <c r="D1708" s="253"/>
      <c r="E1708" s="254"/>
      <c r="F1708" s="254"/>
      <c r="G1708" s="251"/>
      <c r="H1708" s="159" t="s">
        <v>74</v>
      </c>
      <c r="I1708" s="158">
        <f>K1708*D1707*0.7</f>
        <v>6924899.5199999996</v>
      </c>
      <c r="J1708" s="158">
        <f>I1708/D1707</f>
        <v>1940.4</v>
      </c>
      <c r="K1708" s="158">
        <v>2772</v>
      </c>
      <c r="L1708" s="7"/>
      <c r="M1708" s="7"/>
      <c r="N1708" s="7"/>
      <c r="O1708" s="7"/>
      <c r="P1708" s="7"/>
      <c r="Q1708" s="7"/>
      <c r="R1708" s="7"/>
      <c r="S1708" s="7"/>
      <c r="T1708" s="7"/>
      <c r="U1708" s="7"/>
      <c r="V1708" s="7"/>
      <c r="W1708" s="7"/>
    </row>
    <row r="1709" spans="1:23" x14ac:dyDescent="0.35">
      <c r="A1709" s="251">
        <v>76</v>
      </c>
      <c r="B1709" s="251"/>
      <c r="C1709" s="252"/>
      <c r="D1709" s="253"/>
      <c r="E1709" s="254"/>
      <c r="F1709" s="254"/>
      <c r="G1709" s="251"/>
      <c r="H1709" s="159" t="s">
        <v>76</v>
      </c>
      <c r="I1709" s="158">
        <f>K1709*D1707</f>
        <v>210559.2</v>
      </c>
      <c r="J1709" s="158">
        <f>I1709/D1707</f>
        <v>59</v>
      </c>
      <c r="K1709" s="158">
        <v>59</v>
      </c>
      <c r="L1709" s="7"/>
      <c r="M1709" s="7"/>
      <c r="N1709" s="7"/>
      <c r="O1709" s="7"/>
      <c r="P1709" s="7"/>
      <c r="Q1709" s="7"/>
      <c r="R1709" s="7"/>
      <c r="S1709" s="7"/>
      <c r="T1709" s="7"/>
      <c r="U1709" s="7"/>
      <c r="V1709" s="7"/>
      <c r="W1709" s="7"/>
    </row>
    <row r="1710" spans="1:23" x14ac:dyDescent="0.35">
      <c r="A1710" s="251">
        <f>A1707+1</f>
        <v>30</v>
      </c>
      <c r="B1710" s="251">
        <v>559</v>
      </c>
      <c r="C1710" s="252" t="s">
        <v>288</v>
      </c>
      <c r="D1710" s="253">
        <v>3585.2</v>
      </c>
      <c r="E1710" s="254" t="s">
        <v>71</v>
      </c>
      <c r="F1710" s="254">
        <v>5</v>
      </c>
      <c r="G1710" s="251" t="s">
        <v>72</v>
      </c>
      <c r="H1710" s="159" t="s">
        <v>73</v>
      </c>
      <c r="I1710" s="158">
        <f>I1711+I1712</f>
        <v>7168248.8799999999</v>
      </c>
      <c r="J1710" s="158">
        <f>J1711+J1712</f>
        <v>1999.4</v>
      </c>
      <c r="K1710" s="158">
        <f>K1711+K1712</f>
        <v>2831</v>
      </c>
      <c r="L1710" s="7"/>
      <c r="M1710" s="7"/>
      <c r="N1710" s="7"/>
      <c r="O1710" s="7"/>
      <c r="P1710" s="7"/>
      <c r="Q1710" s="7"/>
      <c r="R1710" s="7"/>
      <c r="S1710" s="7"/>
      <c r="T1710" s="7"/>
      <c r="U1710" s="7"/>
      <c r="V1710" s="7"/>
      <c r="W1710" s="7"/>
    </row>
    <row r="1711" spans="1:23" x14ac:dyDescent="0.35">
      <c r="A1711" s="251">
        <v>75</v>
      </c>
      <c r="B1711" s="251"/>
      <c r="C1711" s="252"/>
      <c r="D1711" s="253"/>
      <c r="E1711" s="254"/>
      <c r="F1711" s="254"/>
      <c r="G1711" s="251"/>
      <c r="H1711" s="159" t="s">
        <v>74</v>
      </c>
      <c r="I1711" s="158">
        <f>K1711*D1710*0.7</f>
        <v>6956722.0800000001</v>
      </c>
      <c r="J1711" s="158">
        <f>I1711/D1710</f>
        <v>1940.4</v>
      </c>
      <c r="K1711" s="158">
        <v>2772</v>
      </c>
      <c r="L1711" s="7"/>
      <c r="M1711" s="7"/>
      <c r="N1711" s="7"/>
      <c r="O1711" s="7"/>
      <c r="P1711" s="7"/>
      <c r="Q1711" s="7"/>
      <c r="R1711" s="7"/>
      <c r="S1711" s="7"/>
      <c r="T1711" s="7"/>
      <c r="U1711" s="7"/>
      <c r="V1711" s="7"/>
      <c r="W1711" s="7"/>
    </row>
    <row r="1712" spans="1:23" x14ac:dyDescent="0.35">
      <c r="A1712" s="251">
        <v>76</v>
      </c>
      <c r="B1712" s="251"/>
      <c r="C1712" s="252"/>
      <c r="D1712" s="253"/>
      <c r="E1712" s="254"/>
      <c r="F1712" s="254"/>
      <c r="G1712" s="251"/>
      <c r="H1712" s="159" t="s">
        <v>76</v>
      </c>
      <c r="I1712" s="158">
        <f>K1712*D1710</f>
        <v>211526.8</v>
      </c>
      <c r="J1712" s="158">
        <f>I1712/D1710</f>
        <v>59</v>
      </c>
      <c r="K1712" s="158">
        <v>59</v>
      </c>
      <c r="L1712" s="7"/>
      <c r="M1712" s="7"/>
      <c r="N1712" s="7"/>
      <c r="O1712" s="7"/>
      <c r="P1712" s="7"/>
      <c r="Q1712" s="7"/>
      <c r="R1712" s="7"/>
      <c r="S1712" s="7"/>
      <c r="T1712" s="7"/>
      <c r="U1712" s="7"/>
      <c r="V1712" s="7"/>
      <c r="W1712" s="7"/>
    </row>
    <row r="1713" spans="1:23" ht="15.75" customHeight="1" x14ac:dyDescent="0.35">
      <c r="A1713" s="251">
        <f>A1710+1</f>
        <v>31</v>
      </c>
      <c r="B1713" s="251">
        <v>521</v>
      </c>
      <c r="C1713" s="252" t="s">
        <v>97</v>
      </c>
      <c r="D1713" s="253">
        <v>2828.7</v>
      </c>
      <c r="E1713" s="254" t="s">
        <v>75</v>
      </c>
      <c r="F1713" s="254">
        <v>5</v>
      </c>
      <c r="G1713" s="251" t="s">
        <v>72</v>
      </c>
      <c r="H1713" s="159" t="s">
        <v>73</v>
      </c>
      <c r="I1713" s="158">
        <f>I1714</f>
        <v>463906.8</v>
      </c>
      <c r="J1713" s="158">
        <f>J1714</f>
        <v>164</v>
      </c>
      <c r="K1713" s="158">
        <f>K1714</f>
        <v>164</v>
      </c>
      <c r="L1713" s="7"/>
      <c r="M1713" s="7"/>
      <c r="N1713" s="7"/>
      <c r="O1713" s="7"/>
      <c r="P1713" s="7"/>
      <c r="Q1713" s="7"/>
      <c r="R1713" s="7"/>
      <c r="S1713" s="7"/>
      <c r="T1713" s="7"/>
      <c r="U1713" s="7"/>
      <c r="V1713" s="7"/>
      <c r="W1713" s="7"/>
    </row>
    <row r="1714" spans="1:23" ht="46.5" x14ac:dyDescent="0.35">
      <c r="A1714" s="251"/>
      <c r="B1714" s="251"/>
      <c r="C1714" s="252"/>
      <c r="D1714" s="253"/>
      <c r="E1714" s="254"/>
      <c r="F1714" s="254"/>
      <c r="G1714" s="251"/>
      <c r="H1714" s="159" t="s">
        <v>705</v>
      </c>
      <c r="I1714" s="158">
        <f>D1713*K1714</f>
        <v>463906.8</v>
      </c>
      <c r="J1714" s="158">
        <f>I1714/D1713</f>
        <v>164</v>
      </c>
      <c r="K1714" s="158">
        <f>151+13</f>
        <v>164</v>
      </c>
      <c r="L1714" s="7"/>
      <c r="M1714" s="7"/>
      <c r="N1714" s="7"/>
      <c r="O1714" s="7"/>
      <c r="P1714" s="7"/>
      <c r="Q1714" s="7"/>
      <c r="R1714" s="7"/>
      <c r="S1714" s="7"/>
      <c r="T1714" s="7"/>
      <c r="U1714" s="7"/>
      <c r="V1714" s="7"/>
      <c r="W1714" s="7"/>
    </row>
    <row r="1715" spans="1:23" ht="15.75" customHeight="1" x14ac:dyDescent="0.35">
      <c r="A1715" s="251">
        <f>A1713+1</f>
        <v>32</v>
      </c>
      <c r="B1715" s="251">
        <v>524</v>
      </c>
      <c r="C1715" s="252" t="s">
        <v>289</v>
      </c>
      <c r="D1715" s="274">
        <v>3856.05</v>
      </c>
      <c r="E1715" s="275" t="s">
        <v>75</v>
      </c>
      <c r="F1715" s="275">
        <v>5</v>
      </c>
      <c r="G1715" s="251" t="s">
        <v>72</v>
      </c>
      <c r="H1715" s="159" t="s">
        <v>73</v>
      </c>
      <c r="I1715" s="158">
        <f>I1716+I1717</f>
        <v>5822108.54</v>
      </c>
      <c r="J1715" s="158">
        <f>J1716+J1717</f>
        <v>1509.86</v>
      </c>
      <c r="K1715" s="158">
        <f>K1716+K1717</f>
        <v>2831</v>
      </c>
      <c r="L1715" s="7"/>
      <c r="M1715" s="7"/>
      <c r="N1715" s="7"/>
      <c r="O1715" s="7"/>
      <c r="P1715" s="7"/>
      <c r="Q1715" s="7"/>
      <c r="R1715" s="7"/>
      <c r="S1715" s="7"/>
      <c r="T1715" s="7"/>
      <c r="U1715" s="7"/>
      <c r="V1715" s="7"/>
      <c r="W1715" s="7"/>
    </row>
    <row r="1716" spans="1:23" x14ac:dyDescent="0.35">
      <c r="A1716" s="251">
        <v>75</v>
      </c>
      <c r="B1716" s="251"/>
      <c r="C1716" s="252"/>
      <c r="D1716" s="274"/>
      <c r="E1716" s="275"/>
      <c r="F1716" s="275"/>
      <c r="G1716" s="251"/>
      <c r="H1716" s="159" t="s">
        <v>74</v>
      </c>
      <c r="I1716" s="158">
        <f>8070569.08*0.7</f>
        <v>5649398.3600000003</v>
      </c>
      <c r="J1716" s="158">
        <f>I1716/D1715</f>
        <v>1465.07</v>
      </c>
      <c r="K1716" s="158">
        <v>2772</v>
      </c>
      <c r="L1716" s="7"/>
      <c r="M1716" s="7"/>
      <c r="N1716" s="7"/>
      <c r="O1716" s="7"/>
      <c r="P1716" s="7"/>
      <c r="Q1716" s="7"/>
      <c r="R1716" s="7"/>
      <c r="S1716" s="7"/>
      <c r="T1716" s="7"/>
      <c r="U1716" s="7"/>
      <c r="V1716" s="7"/>
      <c r="W1716" s="7"/>
    </row>
    <row r="1717" spans="1:23" x14ac:dyDescent="0.35">
      <c r="A1717" s="251">
        <v>76</v>
      </c>
      <c r="B1717" s="251"/>
      <c r="C1717" s="252"/>
      <c r="D1717" s="274"/>
      <c r="E1717" s="275"/>
      <c r="F1717" s="275"/>
      <c r="G1717" s="251"/>
      <c r="H1717" s="159" t="s">
        <v>76</v>
      </c>
      <c r="I1717" s="158">
        <f>8070569.08*0.0214</f>
        <v>172710.18</v>
      </c>
      <c r="J1717" s="158">
        <f>I1717/D1715</f>
        <v>44.79</v>
      </c>
      <c r="K1717" s="158">
        <v>59</v>
      </c>
      <c r="L1717" s="7"/>
      <c r="M1717" s="7"/>
      <c r="N1717" s="7"/>
      <c r="O1717" s="7"/>
      <c r="P1717" s="7"/>
      <c r="Q1717" s="7"/>
      <c r="R1717" s="7"/>
      <c r="S1717" s="7"/>
      <c r="T1717" s="7"/>
      <c r="U1717" s="7"/>
      <c r="V1717" s="7"/>
      <c r="W1717" s="7"/>
    </row>
    <row r="1718" spans="1:23" x14ac:dyDescent="0.35">
      <c r="A1718" s="251">
        <f>A1715+1</f>
        <v>33</v>
      </c>
      <c r="B1718" s="251">
        <v>509</v>
      </c>
      <c r="C1718" s="252" t="s">
        <v>290</v>
      </c>
      <c r="D1718" s="274">
        <v>3004.2</v>
      </c>
      <c r="E1718" s="275" t="s">
        <v>75</v>
      </c>
      <c r="F1718" s="275">
        <v>5</v>
      </c>
      <c r="G1718" s="251" t="s">
        <v>72</v>
      </c>
      <c r="H1718" s="159" t="s">
        <v>73</v>
      </c>
      <c r="I1718" s="158">
        <f>I1719+I1720</f>
        <v>5358804.2699999996</v>
      </c>
      <c r="J1718" s="158">
        <f>J1719+J1720</f>
        <v>1783.77</v>
      </c>
      <c r="K1718" s="158">
        <f>K1719+K1720</f>
        <v>2831</v>
      </c>
      <c r="L1718" s="7"/>
      <c r="M1718" s="7"/>
      <c r="N1718" s="7"/>
      <c r="O1718" s="7"/>
      <c r="P1718" s="7"/>
      <c r="Q1718" s="7"/>
      <c r="R1718" s="7"/>
      <c r="S1718" s="7"/>
      <c r="T1718" s="7"/>
      <c r="U1718" s="7"/>
      <c r="V1718" s="7"/>
      <c r="W1718" s="7"/>
    </row>
    <row r="1719" spans="1:23" x14ac:dyDescent="0.35">
      <c r="A1719" s="251">
        <v>75</v>
      </c>
      <c r="B1719" s="251"/>
      <c r="C1719" s="252"/>
      <c r="D1719" s="274"/>
      <c r="E1719" s="275"/>
      <c r="F1719" s="275"/>
      <c r="G1719" s="251"/>
      <c r="H1719" s="159" t="s">
        <v>74</v>
      </c>
      <c r="I1719" s="158">
        <f>7428339.72*0.7</f>
        <v>5199837.8</v>
      </c>
      <c r="J1719" s="158">
        <f>I1719/D1718</f>
        <v>1730.86</v>
      </c>
      <c r="K1719" s="158">
        <v>2772</v>
      </c>
      <c r="L1719" s="7"/>
      <c r="M1719" s="7"/>
      <c r="N1719" s="7"/>
      <c r="O1719" s="7"/>
      <c r="P1719" s="7"/>
      <c r="Q1719" s="7"/>
      <c r="R1719" s="7"/>
      <c r="S1719" s="7"/>
      <c r="T1719" s="7"/>
      <c r="U1719" s="7"/>
      <c r="V1719" s="7"/>
      <c r="W1719" s="7"/>
    </row>
    <row r="1720" spans="1:23" x14ac:dyDescent="0.35">
      <c r="A1720" s="251">
        <v>76</v>
      </c>
      <c r="B1720" s="251"/>
      <c r="C1720" s="252"/>
      <c r="D1720" s="274"/>
      <c r="E1720" s="275"/>
      <c r="F1720" s="275"/>
      <c r="G1720" s="251"/>
      <c r="H1720" s="159" t="s">
        <v>76</v>
      </c>
      <c r="I1720" s="158">
        <f>7428339.72*0.0214</f>
        <v>158966.47</v>
      </c>
      <c r="J1720" s="158">
        <f>I1720/D1718</f>
        <v>52.91</v>
      </c>
      <c r="K1720" s="158">
        <v>59</v>
      </c>
      <c r="L1720" s="7"/>
      <c r="M1720" s="7"/>
      <c r="N1720" s="7"/>
      <c r="O1720" s="7"/>
      <c r="P1720" s="7"/>
      <c r="Q1720" s="7"/>
      <c r="R1720" s="7"/>
      <c r="S1720" s="7"/>
      <c r="T1720" s="7"/>
      <c r="U1720" s="7"/>
      <c r="V1720" s="7"/>
      <c r="W1720" s="7"/>
    </row>
    <row r="1721" spans="1:23" x14ac:dyDescent="0.35">
      <c r="A1721" s="251">
        <f>A1718+1</f>
        <v>34</v>
      </c>
      <c r="B1721" s="251">
        <v>617</v>
      </c>
      <c r="C1721" s="252" t="s">
        <v>291</v>
      </c>
      <c r="D1721" s="274">
        <v>4525.22</v>
      </c>
      <c r="E1721" s="275" t="s">
        <v>75</v>
      </c>
      <c r="F1721" s="275">
        <v>5</v>
      </c>
      <c r="G1721" s="251" t="s">
        <v>72</v>
      </c>
      <c r="H1721" s="159" t="s">
        <v>73</v>
      </c>
      <c r="I1721" s="158">
        <f>I1722+I1723</f>
        <v>6879593.4199999999</v>
      </c>
      <c r="J1721" s="158">
        <f>J1722+J1723</f>
        <v>1520.28</v>
      </c>
      <c r="K1721" s="158">
        <f>K1722+K1723</f>
        <v>2831</v>
      </c>
      <c r="L1721" s="7"/>
      <c r="M1721" s="7"/>
      <c r="N1721" s="7"/>
      <c r="O1721" s="7"/>
      <c r="P1721" s="7"/>
      <c r="Q1721" s="7"/>
      <c r="R1721" s="7"/>
      <c r="S1721" s="7"/>
      <c r="T1721" s="7"/>
      <c r="U1721" s="7"/>
      <c r="V1721" s="7"/>
      <c r="W1721" s="7"/>
    </row>
    <row r="1722" spans="1:23" x14ac:dyDescent="0.35">
      <c r="A1722" s="251">
        <v>75</v>
      </c>
      <c r="B1722" s="251"/>
      <c r="C1722" s="252"/>
      <c r="D1722" s="274"/>
      <c r="E1722" s="275"/>
      <c r="F1722" s="275"/>
      <c r="G1722" s="251"/>
      <c r="H1722" s="159" t="s">
        <v>74</v>
      </c>
      <c r="I1722" s="158">
        <f>9536447.77*0.7</f>
        <v>6675513.4400000004</v>
      </c>
      <c r="J1722" s="158">
        <f>I1722/D1721</f>
        <v>1475.18</v>
      </c>
      <c r="K1722" s="158">
        <v>2772</v>
      </c>
      <c r="L1722" s="7"/>
      <c r="M1722" s="7"/>
      <c r="N1722" s="7"/>
      <c r="O1722" s="7"/>
      <c r="P1722" s="7"/>
      <c r="Q1722" s="7"/>
      <c r="R1722" s="7"/>
      <c r="S1722" s="7"/>
      <c r="T1722" s="7"/>
      <c r="U1722" s="7"/>
      <c r="V1722" s="7"/>
      <c r="W1722" s="7"/>
    </row>
    <row r="1723" spans="1:23" x14ac:dyDescent="0.35">
      <c r="A1723" s="251">
        <v>76</v>
      </c>
      <c r="B1723" s="251"/>
      <c r="C1723" s="252"/>
      <c r="D1723" s="274"/>
      <c r="E1723" s="275"/>
      <c r="F1723" s="275"/>
      <c r="G1723" s="251"/>
      <c r="H1723" s="159" t="s">
        <v>76</v>
      </c>
      <c r="I1723" s="158">
        <f>9536447.77*0.0214</f>
        <v>204079.98</v>
      </c>
      <c r="J1723" s="158">
        <f>I1723/D1721</f>
        <v>45.1</v>
      </c>
      <c r="K1723" s="158">
        <v>59</v>
      </c>
      <c r="L1723" s="7"/>
      <c r="M1723" s="7"/>
      <c r="N1723" s="7"/>
      <c r="O1723" s="7"/>
      <c r="P1723" s="7"/>
      <c r="Q1723" s="7"/>
      <c r="R1723" s="7"/>
      <c r="S1723" s="7"/>
      <c r="T1723" s="7"/>
      <c r="U1723" s="7"/>
      <c r="V1723" s="7"/>
      <c r="W1723" s="7"/>
    </row>
    <row r="1724" spans="1:23" ht="15.75" customHeight="1" x14ac:dyDescent="0.35">
      <c r="A1724" s="251">
        <f>A1721+1</f>
        <v>35</v>
      </c>
      <c r="B1724" s="251">
        <v>479</v>
      </c>
      <c r="C1724" s="252" t="s">
        <v>98</v>
      </c>
      <c r="D1724" s="253">
        <v>1986.2</v>
      </c>
      <c r="E1724" s="254" t="s">
        <v>75</v>
      </c>
      <c r="F1724" s="254">
        <v>5</v>
      </c>
      <c r="G1724" s="251" t="s">
        <v>72</v>
      </c>
      <c r="H1724" s="159" t="s">
        <v>73</v>
      </c>
      <c r="I1724" s="158">
        <f>I1725</f>
        <v>325736.8</v>
      </c>
      <c r="J1724" s="158">
        <f>J1725</f>
        <v>164</v>
      </c>
      <c r="K1724" s="158">
        <f>K1725</f>
        <v>164</v>
      </c>
      <c r="L1724" s="7"/>
      <c r="M1724" s="7"/>
      <c r="N1724" s="7"/>
      <c r="O1724" s="7"/>
      <c r="P1724" s="7"/>
      <c r="Q1724" s="7"/>
      <c r="R1724" s="7"/>
      <c r="S1724" s="7"/>
      <c r="T1724" s="7"/>
      <c r="U1724" s="7"/>
      <c r="V1724" s="7"/>
      <c r="W1724" s="7"/>
    </row>
    <row r="1725" spans="1:23" ht="46.5" x14ac:dyDescent="0.35">
      <c r="A1725" s="251"/>
      <c r="B1725" s="251"/>
      <c r="C1725" s="252"/>
      <c r="D1725" s="253"/>
      <c r="E1725" s="254"/>
      <c r="F1725" s="254"/>
      <c r="G1725" s="251"/>
      <c r="H1725" s="159" t="s">
        <v>705</v>
      </c>
      <c r="I1725" s="158">
        <f>D1724*K1725</f>
        <v>325736.8</v>
      </c>
      <c r="J1725" s="158">
        <f>I1725/D1724</f>
        <v>164</v>
      </c>
      <c r="K1725" s="158">
        <f>151+13</f>
        <v>164</v>
      </c>
      <c r="L1725" s="7"/>
      <c r="M1725" s="7"/>
      <c r="N1725" s="7"/>
      <c r="O1725" s="7"/>
      <c r="P1725" s="7"/>
      <c r="Q1725" s="7"/>
      <c r="R1725" s="7"/>
      <c r="S1725" s="7"/>
      <c r="T1725" s="7"/>
      <c r="U1725" s="7"/>
      <c r="V1725" s="7"/>
      <c r="W1725" s="7"/>
    </row>
    <row r="1726" spans="1:23" ht="15.75" customHeight="1" x14ac:dyDescent="0.35">
      <c r="A1726" s="256">
        <f>A1724+1</f>
        <v>36</v>
      </c>
      <c r="B1726" s="256">
        <v>512</v>
      </c>
      <c r="C1726" s="259" t="s">
        <v>292</v>
      </c>
      <c r="D1726" s="262">
        <v>1615.9</v>
      </c>
      <c r="E1726" s="268" t="s">
        <v>75</v>
      </c>
      <c r="F1726" s="268">
        <v>5</v>
      </c>
      <c r="G1726" s="149"/>
      <c r="H1726" s="159" t="s">
        <v>73</v>
      </c>
      <c r="I1726" s="158">
        <f>I1728+I1727</f>
        <v>150763.46</v>
      </c>
      <c r="J1726" s="158">
        <f>J1728+J1727</f>
        <v>93.3</v>
      </c>
      <c r="K1726" s="158">
        <f>K1728+K1727</f>
        <v>283</v>
      </c>
      <c r="L1726" s="7"/>
      <c r="M1726" s="7"/>
      <c r="N1726" s="7"/>
      <c r="O1726" s="7"/>
      <c r="P1726" s="7"/>
      <c r="Q1726" s="7"/>
      <c r="R1726" s="7"/>
      <c r="S1726" s="7"/>
      <c r="T1726" s="7"/>
      <c r="U1726" s="7"/>
      <c r="V1726" s="7"/>
      <c r="W1726" s="7"/>
    </row>
    <row r="1727" spans="1:23" ht="31" x14ac:dyDescent="0.35">
      <c r="A1727" s="257"/>
      <c r="B1727" s="257"/>
      <c r="C1727" s="260"/>
      <c r="D1727" s="263"/>
      <c r="E1727" s="269"/>
      <c r="F1727" s="269"/>
      <c r="G1727" s="256" t="s">
        <v>84</v>
      </c>
      <c r="H1727" s="159" t="s">
        <v>666</v>
      </c>
      <c r="I1727" s="158">
        <f>17774.89+1*D1726</f>
        <v>19390.79</v>
      </c>
      <c r="J1727" s="158">
        <f>I1727/D1726</f>
        <v>12</v>
      </c>
      <c r="K1727" s="158">
        <f>11+1</f>
        <v>12</v>
      </c>
      <c r="L1727" s="7"/>
      <c r="M1727" s="7"/>
      <c r="N1727" s="7"/>
      <c r="O1727" s="7"/>
      <c r="P1727" s="7"/>
      <c r="Q1727" s="7"/>
      <c r="R1727" s="7"/>
      <c r="S1727" s="7"/>
      <c r="T1727" s="7"/>
      <c r="U1727" s="7"/>
      <c r="V1727" s="7"/>
      <c r="W1727" s="7"/>
    </row>
    <row r="1728" spans="1:23" x14ac:dyDescent="0.35">
      <c r="A1728" s="257"/>
      <c r="B1728" s="257"/>
      <c r="C1728" s="260"/>
      <c r="D1728" s="263"/>
      <c r="E1728" s="269"/>
      <c r="F1728" s="269"/>
      <c r="G1728" s="257"/>
      <c r="H1728" s="159" t="s">
        <v>74</v>
      </c>
      <c r="I1728" s="158">
        <f>K1728*D1726*0.3</f>
        <v>131372.67000000001</v>
      </c>
      <c r="J1728" s="158">
        <f>I1728/D1726</f>
        <v>81.3</v>
      </c>
      <c r="K1728" s="158">
        <v>271</v>
      </c>
      <c r="L1728" s="7"/>
      <c r="M1728" s="7"/>
      <c r="N1728" s="7"/>
      <c r="O1728" s="7"/>
      <c r="P1728" s="7"/>
      <c r="Q1728" s="7"/>
      <c r="R1728" s="7"/>
      <c r="S1728" s="7"/>
      <c r="T1728" s="7"/>
      <c r="U1728" s="7"/>
      <c r="V1728" s="7"/>
      <c r="W1728" s="7"/>
    </row>
    <row r="1729" spans="1:23" ht="15.75" customHeight="1" x14ac:dyDescent="0.35">
      <c r="A1729" s="251">
        <f>A1726+1</f>
        <v>37</v>
      </c>
      <c r="B1729" s="251">
        <v>717</v>
      </c>
      <c r="C1729" s="252" t="s">
        <v>553</v>
      </c>
      <c r="D1729" s="253">
        <v>2621.92</v>
      </c>
      <c r="E1729" s="254" t="s">
        <v>71</v>
      </c>
      <c r="F1729" s="254">
        <v>5</v>
      </c>
      <c r="G1729" s="251" t="s">
        <v>72</v>
      </c>
      <c r="H1729" s="159" t="s">
        <v>73</v>
      </c>
      <c r="I1729" s="158">
        <f>I1730</f>
        <v>429994.88</v>
      </c>
      <c r="J1729" s="158">
        <f>J1730</f>
        <v>164</v>
      </c>
      <c r="K1729" s="158">
        <f>K1730</f>
        <v>164</v>
      </c>
      <c r="L1729" s="7"/>
      <c r="M1729" s="7"/>
      <c r="N1729" s="7"/>
      <c r="O1729" s="7"/>
      <c r="P1729" s="7"/>
      <c r="Q1729" s="7"/>
      <c r="R1729" s="7"/>
      <c r="S1729" s="7"/>
      <c r="T1729" s="7"/>
      <c r="U1729" s="7"/>
      <c r="V1729" s="7"/>
      <c r="W1729" s="7"/>
    </row>
    <row r="1730" spans="1:23" ht="46.5" x14ac:dyDescent="0.35">
      <c r="A1730" s="251"/>
      <c r="B1730" s="251"/>
      <c r="C1730" s="252"/>
      <c r="D1730" s="253"/>
      <c r="E1730" s="254"/>
      <c r="F1730" s="254"/>
      <c r="G1730" s="251"/>
      <c r="H1730" s="159" t="s">
        <v>705</v>
      </c>
      <c r="I1730" s="158">
        <f>D1729*K1730</f>
        <v>429994.88</v>
      </c>
      <c r="J1730" s="158">
        <f>I1730/D1729</f>
        <v>164</v>
      </c>
      <c r="K1730" s="158">
        <f>151+13</f>
        <v>164</v>
      </c>
      <c r="L1730" s="7"/>
      <c r="M1730" s="7"/>
      <c r="N1730" s="7"/>
      <c r="O1730" s="7"/>
      <c r="P1730" s="7"/>
      <c r="Q1730" s="7"/>
      <c r="R1730" s="7"/>
      <c r="S1730" s="7"/>
      <c r="T1730" s="7"/>
      <c r="U1730" s="7"/>
      <c r="V1730" s="7"/>
      <c r="W1730" s="7"/>
    </row>
    <row r="1731" spans="1:23" x14ac:dyDescent="0.35">
      <c r="A1731" s="251">
        <f>A1729+1</f>
        <v>38</v>
      </c>
      <c r="B1731" s="251">
        <v>574</v>
      </c>
      <c r="C1731" s="252" t="s">
        <v>294</v>
      </c>
      <c r="D1731" s="253">
        <v>3042.6</v>
      </c>
      <c r="E1731" s="254" t="s">
        <v>75</v>
      </c>
      <c r="F1731" s="254">
        <v>5</v>
      </c>
      <c r="G1731" s="251" t="s">
        <v>72</v>
      </c>
      <c r="H1731" s="159" t="s">
        <v>73</v>
      </c>
      <c r="I1731" s="158">
        <f>I1732+I1733</f>
        <v>4934058.09</v>
      </c>
      <c r="J1731" s="158">
        <f>J1732+J1733</f>
        <v>1621.66</v>
      </c>
      <c r="K1731" s="158">
        <f>K1732+K1733</f>
        <v>2831</v>
      </c>
      <c r="L1731" s="7"/>
      <c r="M1731" s="7"/>
      <c r="N1731" s="7"/>
      <c r="O1731" s="7"/>
      <c r="P1731" s="7"/>
      <c r="Q1731" s="7"/>
      <c r="R1731" s="7"/>
      <c r="S1731" s="7"/>
      <c r="T1731" s="7"/>
      <c r="U1731" s="7"/>
      <c r="V1731" s="7"/>
      <c r="W1731" s="7"/>
    </row>
    <row r="1732" spans="1:23" x14ac:dyDescent="0.35">
      <c r="A1732" s="251">
        <v>75</v>
      </c>
      <c r="B1732" s="251"/>
      <c r="C1732" s="252"/>
      <c r="D1732" s="253"/>
      <c r="E1732" s="254"/>
      <c r="F1732" s="254"/>
      <c r="G1732" s="251"/>
      <c r="H1732" s="159" t="s">
        <v>74</v>
      </c>
      <c r="I1732" s="158">
        <f>6839559.31*0.7</f>
        <v>4787691.5199999996</v>
      </c>
      <c r="J1732" s="158">
        <f>I1732/D1731</f>
        <v>1573.55</v>
      </c>
      <c r="K1732" s="158">
        <v>2772</v>
      </c>
      <c r="L1732" s="7"/>
      <c r="M1732" s="7"/>
      <c r="N1732" s="7"/>
      <c r="O1732" s="7"/>
      <c r="P1732" s="7"/>
      <c r="Q1732" s="7"/>
      <c r="R1732" s="7"/>
      <c r="S1732" s="7"/>
      <c r="T1732" s="7"/>
      <c r="U1732" s="7"/>
      <c r="V1732" s="7"/>
      <c r="W1732" s="7"/>
    </row>
    <row r="1733" spans="1:23" x14ac:dyDescent="0.35">
      <c r="A1733" s="251">
        <v>76</v>
      </c>
      <c r="B1733" s="251"/>
      <c r="C1733" s="252"/>
      <c r="D1733" s="253"/>
      <c r="E1733" s="254"/>
      <c r="F1733" s="254"/>
      <c r="G1733" s="251"/>
      <c r="H1733" s="159" t="s">
        <v>76</v>
      </c>
      <c r="I1733" s="158">
        <f>6839559.31*0.0214</f>
        <v>146366.57</v>
      </c>
      <c r="J1733" s="158">
        <f>I1733/D1731</f>
        <v>48.11</v>
      </c>
      <c r="K1733" s="158">
        <v>59</v>
      </c>
      <c r="L1733" s="7"/>
      <c r="M1733" s="7"/>
      <c r="N1733" s="7"/>
      <c r="O1733" s="7"/>
      <c r="P1733" s="7"/>
      <c r="Q1733" s="7"/>
      <c r="R1733" s="7"/>
      <c r="S1733" s="7"/>
      <c r="T1733" s="7"/>
      <c r="U1733" s="7"/>
      <c r="V1733" s="7"/>
      <c r="W1733" s="7"/>
    </row>
    <row r="1734" spans="1:23" ht="15.75" customHeight="1" x14ac:dyDescent="0.35">
      <c r="A1734" s="256">
        <f>A1731+1</f>
        <v>39</v>
      </c>
      <c r="B1734" s="256">
        <v>138</v>
      </c>
      <c r="C1734" s="259" t="s">
        <v>554</v>
      </c>
      <c r="D1734" s="262">
        <v>854.35</v>
      </c>
      <c r="E1734" s="256" t="s">
        <v>80</v>
      </c>
      <c r="F1734" s="256">
        <v>2</v>
      </c>
      <c r="G1734" s="144"/>
      <c r="H1734" s="159" t="s">
        <v>73</v>
      </c>
      <c r="I1734" s="158">
        <f>I1735+I1736+I1737+I1738+I1739+I1740</f>
        <v>10637511.85</v>
      </c>
      <c r="J1734" s="158">
        <f>J1735+J1736+J1737+J1738+J1739+J1740</f>
        <v>12451</v>
      </c>
      <c r="K1734" s="158">
        <f>K1735+K1736+K1737+K1738+K1739+K1740</f>
        <v>12451</v>
      </c>
      <c r="L1734" s="7"/>
      <c r="M1734" s="7"/>
      <c r="N1734" s="7"/>
      <c r="O1734" s="7"/>
      <c r="P1734" s="7"/>
      <c r="Q1734" s="7"/>
      <c r="R1734" s="7"/>
      <c r="S1734" s="7"/>
      <c r="T1734" s="7"/>
      <c r="U1734" s="7"/>
      <c r="V1734" s="7"/>
      <c r="W1734" s="7"/>
    </row>
    <row r="1735" spans="1:23" ht="46.5" x14ac:dyDescent="0.35">
      <c r="A1735" s="257"/>
      <c r="B1735" s="257"/>
      <c r="C1735" s="260"/>
      <c r="D1735" s="263"/>
      <c r="E1735" s="257"/>
      <c r="F1735" s="257"/>
      <c r="G1735" s="256" t="s">
        <v>85</v>
      </c>
      <c r="H1735" s="159" t="s">
        <v>705</v>
      </c>
      <c r="I1735" s="158">
        <f>D1734*K1735</f>
        <v>181122.2</v>
      </c>
      <c r="J1735" s="158">
        <f>I1735/D1734</f>
        <v>212</v>
      </c>
      <c r="K1735" s="158">
        <f>196+16</f>
        <v>212</v>
      </c>
      <c r="L1735" s="7"/>
      <c r="M1735" s="7"/>
      <c r="N1735" s="7"/>
      <c r="O1735" s="7"/>
      <c r="P1735" s="7"/>
      <c r="Q1735" s="7"/>
      <c r="R1735" s="7"/>
      <c r="S1735" s="7"/>
      <c r="T1735" s="7"/>
      <c r="U1735" s="7"/>
      <c r="V1735" s="7"/>
      <c r="W1735" s="7"/>
    </row>
    <row r="1736" spans="1:23" x14ac:dyDescent="0.35">
      <c r="A1736" s="257"/>
      <c r="B1736" s="257"/>
      <c r="C1736" s="260"/>
      <c r="D1736" s="263"/>
      <c r="E1736" s="257"/>
      <c r="F1736" s="257"/>
      <c r="G1736" s="257"/>
      <c r="H1736" s="159" t="s">
        <v>74</v>
      </c>
      <c r="I1736" s="158">
        <f>D1734*K1736</f>
        <v>4177771.5</v>
      </c>
      <c r="J1736" s="158">
        <f>I1736/D1734</f>
        <v>4890</v>
      </c>
      <c r="K1736" s="158">
        <v>4890</v>
      </c>
      <c r="L1736" s="7"/>
      <c r="M1736" s="7"/>
      <c r="N1736" s="7"/>
      <c r="O1736" s="7"/>
      <c r="P1736" s="7"/>
      <c r="Q1736" s="7"/>
      <c r="R1736" s="7"/>
      <c r="S1736" s="7"/>
      <c r="T1736" s="7"/>
      <c r="U1736" s="7"/>
      <c r="V1736" s="7"/>
      <c r="W1736" s="7"/>
    </row>
    <row r="1737" spans="1:23" x14ac:dyDescent="0.35">
      <c r="A1737" s="257"/>
      <c r="B1737" s="257"/>
      <c r="C1737" s="260"/>
      <c r="D1737" s="263"/>
      <c r="E1737" s="257"/>
      <c r="F1737" s="257"/>
      <c r="G1737" s="258"/>
      <c r="H1737" s="159" t="s">
        <v>76</v>
      </c>
      <c r="I1737" s="158">
        <f>D1734*K1737</f>
        <v>89706.75</v>
      </c>
      <c r="J1737" s="158">
        <f>I1737/D1734</f>
        <v>105</v>
      </c>
      <c r="K1737" s="158">
        <v>105</v>
      </c>
      <c r="L1737" s="7"/>
      <c r="M1737" s="7"/>
      <c r="N1737" s="7"/>
      <c r="O1737" s="7"/>
      <c r="P1737" s="7"/>
      <c r="Q1737" s="7"/>
      <c r="R1737" s="7"/>
      <c r="S1737" s="7"/>
      <c r="T1737" s="7"/>
      <c r="U1737" s="7"/>
      <c r="V1737" s="7"/>
      <c r="W1737" s="7"/>
    </row>
    <row r="1738" spans="1:23" ht="46.5" x14ac:dyDescent="0.35">
      <c r="A1738" s="257"/>
      <c r="B1738" s="257"/>
      <c r="C1738" s="260"/>
      <c r="D1738" s="263"/>
      <c r="E1738" s="257"/>
      <c r="F1738" s="257"/>
      <c r="G1738" s="256" t="s">
        <v>72</v>
      </c>
      <c r="H1738" s="159" t="s">
        <v>705</v>
      </c>
      <c r="I1738" s="158">
        <f>D1734*K1738</f>
        <v>152074.29999999999</v>
      </c>
      <c r="J1738" s="158">
        <f>I1738/D1734</f>
        <v>178</v>
      </c>
      <c r="K1738" s="158">
        <f>164+14</f>
        <v>178</v>
      </c>
      <c r="L1738" s="7"/>
      <c r="M1738" s="7"/>
      <c r="N1738" s="7"/>
      <c r="O1738" s="7"/>
      <c r="P1738" s="7"/>
      <c r="Q1738" s="7"/>
      <c r="R1738" s="7"/>
      <c r="S1738" s="7"/>
      <c r="T1738" s="7"/>
      <c r="U1738" s="7"/>
      <c r="V1738" s="7"/>
      <c r="W1738" s="7"/>
    </row>
    <row r="1739" spans="1:23" x14ac:dyDescent="0.35">
      <c r="A1739" s="257"/>
      <c r="B1739" s="257"/>
      <c r="C1739" s="260"/>
      <c r="D1739" s="263"/>
      <c r="E1739" s="257"/>
      <c r="F1739" s="257"/>
      <c r="G1739" s="257"/>
      <c r="H1739" s="159" t="s">
        <v>74</v>
      </c>
      <c r="I1739" s="158">
        <f>D1734*K1739</f>
        <v>5910393.2999999998</v>
      </c>
      <c r="J1739" s="158">
        <f>I1739/D1734</f>
        <v>6918</v>
      </c>
      <c r="K1739" s="158">
        <v>6918</v>
      </c>
      <c r="L1739" s="7"/>
      <c r="M1739" s="7"/>
      <c r="N1739" s="7"/>
      <c r="O1739" s="7"/>
      <c r="P1739" s="7"/>
      <c r="Q1739" s="7"/>
      <c r="R1739" s="7"/>
      <c r="S1739" s="7"/>
      <c r="T1739" s="7"/>
      <c r="U1739" s="7"/>
      <c r="V1739" s="7"/>
      <c r="W1739" s="7"/>
    </row>
    <row r="1740" spans="1:23" x14ac:dyDescent="0.35">
      <c r="A1740" s="258"/>
      <c r="B1740" s="258"/>
      <c r="C1740" s="261"/>
      <c r="D1740" s="264"/>
      <c r="E1740" s="258"/>
      <c r="F1740" s="258"/>
      <c r="G1740" s="258"/>
      <c r="H1740" s="159" t="s">
        <v>76</v>
      </c>
      <c r="I1740" s="158">
        <f>D1734*K1740</f>
        <v>126443.8</v>
      </c>
      <c r="J1740" s="158">
        <f>I1740/D1734</f>
        <v>148</v>
      </c>
      <c r="K1740" s="158">
        <v>148</v>
      </c>
      <c r="L1740" s="7"/>
      <c r="M1740" s="7"/>
      <c r="N1740" s="7"/>
      <c r="O1740" s="7"/>
      <c r="P1740" s="7"/>
      <c r="Q1740" s="7"/>
      <c r="R1740" s="7"/>
      <c r="S1740" s="7"/>
      <c r="T1740" s="7"/>
      <c r="U1740" s="7"/>
      <c r="V1740" s="7"/>
      <c r="W1740" s="7"/>
    </row>
    <row r="1741" spans="1:23" ht="15.75" customHeight="1" x14ac:dyDescent="0.35">
      <c r="A1741" s="256">
        <f>A1734+1</f>
        <v>40</v>
      </c>
      <c r="B1741" s="256">
        <v>139</v>
      </c>
      <c r="C1741" s="259" t="s">
        <v>555</v>
      </c>
      <c r="D1741" s="262">
        <v>1167.3</v>
      </c>
      <c r="E1741" s="256" t="s">
        <v>80</v>
      </c>
      <c r="F1741" s="256">
        <v>2</v>
      </c>
      <c r="G1741" s="144"/>
      <c r="H1741" s="159" t="s">
        <v>73</v>
      </c>
      <c r="I1741" s="158">
        <f>I1742+I1743+I1744+I1745+I1746+I1747</f>
        <v>11106859.5</v>
      </c>
      <c r="J1741" s="158">
        <f>J1742+J1743+J1744+J1745+J1746+J1747</f>
        <v>9515</v>
      </c>
      <c r="K1741" s="158">
        <f>K1742+K1743+K1744+K1745+K1746+K1747</f>
        <v>9515</v>
      </c>
      <c r="L1741" s="7"/>
      <c r="M1741" s="7"/>
      <c r="N1741" s="7"/>
      <c r="O1741" s="7"/>
      <c r="P1741" s="7"/>
      <c r="Q1741" s="7"/>
      <c r="R1741" s="7"/>
      <c r="S1741" s="7"/>
      <c r="T1741" s="7"/>
      <c r="U1741" s="7"/>
      <c r="V1741" s="7"/>
      <c r="W1741" s="7"/>
    </row>
    <row r="1742" spans="1:23" ht="46.5" x14ac:dyDescent="0.35">
      <c r="A1742" s="257"/>
      <c r="B1742" s="257"/>
      <c r="C1742" s="260"/>
      <c r="D1742" s="263"/>
      <c r="E1742" s="257"/>
      <c r="F1742" s="257"/>
      <c r="G1742" s="256" t="s">
        <v>85</v>
      </c>
      <c r="H1742" s="159" t="s">
        <v>705</v>
      </c>
      <c r="I1742" s="158">
        <f>D1741*K1742</f>
        <v>107391.6</v>
      </c>
      <c r="J1742" s="158">
        <f>I1742/D1741</f>
        <v>92</v>
      </c>
      <c r="K1742" s="158">
        <f>85+7</f>
        <v>92</v>
      </c>
      <c r="L1742" s="7"/>
      <c r="M1742" s="7"/>
      <c r="N1742" s="7"/>
      <c r="O1742" s="7"/>
      <c r="P1742" s="7"/>
      <c r="Q1742" s="7"/>
      <c r="R1742" s="7"/>
      <c r="S1742" s="7"/>
      <c r="T1742" s="7"/>
      <c r="U1742" s="7"/>
      <c r="V1742" s="7"/>
      <c r="W1742" s="7"/>
    </row>
    <row r="1743" spans="1:23" x14ac:dyDescent="0.35">
      <c r="A1743" s="257"/>
      <c r="B1743" s="257"/>
      <c r="C1743" s="260"/>
      <c r="D1743" s="263"/>
      <c r="E1743" s="257"/>
      <c r="F1743" s="257"/>
      <c r="G1743" s="257" t="s">
        <v>85</v>
      </c>
      <c r="H1743" s="159" t="s">
        <v>74</v>
      </c>
      <c r="I1743" s="158">
        <f>D1741*K1743</f>
        <v>2489850.9</v>
      </c>
      <c r="J1743" s="158">
        <f>I1743/D1741</f>
        <v>2133</v>
      </c>
      <c r="K1743" s="158">
        <v>2133</v>
      </c>
      <c r="L1743" s="7"/>
      <c r="M1743" s="7"/>
      <c r="N1743" s="7"/>
      <c r="O1743" s="7"/>
      <c r="P1743" s="7"/>
      <c r="Q1743" s="7"/>
      <c r="R1743" s="7"/>
      <c r="S1743" s="7"/>
      <c r="T1743" s="7"/>
      <c r="U1743" s="7"/>
      <c r="V1743" s="7"/>
      <c r="W1743" s="7"/>
    </row>
    <row r="1744" spans="1:23" x14ac:dyDescent="0.35">
      <c r="A1744" s="257"/>
      <c r="B1744" s="257"/>
      <c r="C1744" s="260"/>
      <c r="D1744" s="263"/>
      <c r="E1744" s="257"/>
      <c r="F1744" s="257"/>
      <c r="G1744" s="258"/>
      <c r="H1744" s="159" t="s">
        <v>76</v>
      </c>
      <c r="I1744" s="158">
        <f>D1741*K1744</f>
        <v>53695.8</v>
      </c>
      <c r="J1744" s="158">
        <f>I1744/D1741</f>
        <v>46</v>
      </c>
      <c r="K1744" s="158">
        <v>46</v>
      </c>
      <c r="L1744" s="7"/>
      <c r="M1744" s="7"/>
      <c r="N1744" s="7"/>
      <c r="O1744" s="7"/>
      <c r="P1744" s="7"/>
      <c r="Q1744" s="7"/>
      <c r="R1744" s="7"/>
      <c r="S1744" s="7"/>
      <c r="T1744" s="7"/>
      <c r="U1744" s="7"/>
      <c r="V1744" s="7"/>
      <c r="W1744" s="7"/>
    </row>
    <row r="1745" spans="1:23" ht="46.5" x14ac:dyDescent="0.35">
      <c r="A1745" s="257"/>
      <c r="B1745" s="257"/>
      <c r="C1745" s="260"/>
      <c r="D1745" s="263"/>
      <c r="E1745" s="257"/>
      <c r="F1745" s="257"/>
      <c r="G1745" s="256" t="s">
        <v>72</v>
      </c>
      <c r="H1745" s="159" t="s">
        <v>705</v>
      </c>
      <c r="I1745" s="158">
        <f>D1741*K1745</f>
        <v>207779.4</v>
      </c>
      <c r="J1745" s="158">
        <f>I1745/D1741</f>
        <v>178</v>
      </c>
      <c r="K1745" s="158">
        <f>164+14</f>
        <v>178</v>
      </c>
      <c r="L1745" s="7"/>
      <c r="M1745" s="7"/>
      <c r="N1745" s="7"/>
      <c r="O1745" s="7"/>
      <c r="P1745" s="7"/>
      <c r="Q1745" s="7"/>
      <c r="R1745" s="7"/>
      <c r="S1745" s="7"/>
      <c r="T1745" s="7"/>
      <c r="U1745" s="7"/>
      <c r="V1745" s="7"/>
      <c r="W1745" s="7"/>
    </row>
    <row r="1746" spans="1:23" x14ac:dyDescent="0.35">
      <c r="A1746" s="257"/>
      <c r="B1746" s="257"/>
      <c r="C1746" s="260"/>
      <c r="D1746" s="263"/>
      <c r="E1746" s="257"/>
      <c r="F1746" s="257"/>
      <c r="G1746" s="257" t="s">
        <v>72</v>
      </c>
      <c r="H1746" s="159" t="s">
        <v>74</v>
      </c>
      <c r="I1746" s="158">
        <f>D1741*K1746</f>
        <v>8075381.4000000004</v>
      </c>
      <c r="J1746" s="158">
        <f>I1746/D1741</f>
        <v>6918</v>
      </c>
      <c r="K1746" s="158">
        <v>6918</v>
      </c>
      <c r="L1746" s="7"/>
      <c r="M1746" s="7"/>
      <c r="N1746" s="7"/>
      <c r="O1746" s="7"/>
      <c r="P1746" s="7"/>
      <c r="Q1746" s="7"/>
      <c r="R1746" s="7"/>
      <c r="S1746" s="7"/>
      <c r="T1746" s="7"/>
      <c r="U1746" s="7"/>
      <c r="V1746" s="7"/>
      <c r="W1746" s="7"/>
    </row>
    <row r="1747" spans="1:23" x14ac:dyDescent="0.35">
      <c r="A1747" s="258"/>
      <c r="B1747" s="258"/>
      <c r="C1747" s="261"/>
      <c r="D1747" s="264"/>
      <c r="E1747" s="258"/>
      <c r="F1747" s="258"/>
      <c r="G1747" s="258"/>
      <c r="H1747" s="159" t="s">
        <v>76</v>
      </c>
      <c r="I1747" s="158">
        <f>D1741*K1747</f>
        <v>172760.4</v>
      </c>
      <c r="J1747" s="158">
        <f>I1747/D1741</f>
        <v>148</v>
      </c>
      <c r="K1747" s="158">
        <v>148</v>
      </c>
      <c r="L1747" s="7"/>
      <c r="M1747" s="7"/>
      <c r="N1747" s="7"/>
      <c r="O1747" s="7"/>
      <c r="P1747" s="7"/>
      <c r="Q1747" s="7"/>
      <c r="R1747" s="7"/>
      <c r="S1747" s="7"/>
      <c r="T1747" s="7"/>
      <c r="U1747" s="7"/>
      <c r="V1747" s="7"/>
      <c r="W1747" s="7"/>
    </row>
    <row r="1748" spans="1:23" ht="15.75" customHeight="1" x14ac:dyDescent="0.35">
      <c r="A1748" s="251">
        <f>A1741+1</f>
        <v>41</v>
      </c>
      <c r="B1748" s="251">
        <v>565</v>
      </c>
      <c r="C1748" s="252" t="s">
        <v>99</v>
      </c>
      <c r="D1748" s="253">
        <v>2692.2</v>
      </c>
      <c r="E1748" s="254" t="s">
        <v>75</v>
      </c>
      <c r="F1748" s="254">
        <v>5</v>
      </c>
      <c r="G1748" s="251" t="s">
        <v>72</v>
      </c>
      <c r="H1748" s="159" t="s">
        <v>73</v>
      </c>
      <c r="I1748" s="158">
        <f>I1749</f>
        <v>441520.8</v>
      </c>
      <c r="J1748" s="158">
        <f>J1749</f>
        <v>164</v>
      </c>
      <c r="K1748" s="158">
        <f>K1749</f>
        <v>164</v>
      </c>
      <c r="L1748" s="7"/>
      <c r="M1748" s="7"/>
      <c r="N1748" s="7"/>
      <c r="O1748" s="7"/>
      <c r="P1748" s="7"/>
      <c r="Q1748" s="7"/>
      <c r="R1748" s="7"/>
      <c r="S1748" s="7"/>
      <c r="T1748" s="7"/>
      <c r="U1748" s="7"/>
      <c r="V1748" s="7"/>
      <c r="W1748" s="7"/>
    </row>
    <row r="1749" spans="1:23" ht="46.5" x14ac:dyDescent="0.35">
      <c r="A1749" s="251"/>
      <c r="B1749" s="251"/>
      <c r="C1749" s="252"/>
      <c r="D1749" s="253"/>
      <c r="E1749" s="254"/>
      <c r="F1749" s="254"/>
      <c r="G1749" s="251"/>
      <c r="H1749" s="159" t="s">
        <v>705</v>
      </c>
      <c r="I1749" s="158">
        <f>D1748*K1749</f>
        <v>441520.8</v>
      </c>
      <c r="J1749" s="158">
        <f>I1749/D1748</f>
        <v>164</v>
      </c>
      <c r="K1749" s="158">
        <f>151+13</f>
        <v>164</v>
      </c>
      <c r="L1749" s="7"/>
      <c r="M1749" s="7"/>
      <c r="N1749" s="7"/>
      <c r="O1749" s="7"/>
      <c r="P1749" s="7"/>
      <c r="Q1749" s="7"/>
      <c r="R1749" s="7"/>
      <c r="S1749" s="7"/>
      <c r="T1749" s="7"/>
      <c r="U1749" s="7"/>
      <c r="V1749" s="7"/>
      <c r="W1749" s="7"/>
    </row>
    <row r="1750" spans="1:23" x14ac:dyDescent="0.35">
      <c r="A1750" s="251">
        <f>A1748+1</f>
        <v>42</v>
      </c>
      <c r="B1750" s="251">
        <v>566</v>
      </c>
      <c r="C1750" s="252" t="s">
        <v>296</v>
      </c>
      <c r="D1750" s="253">
        <v>3195.7</v>
      </c>
      <c r="E1750" s="254" t="s">
        <v>75</v>
      </c>
      <c r="F1750" s="254">
        <v>5</v>
      </c>
      <c r="G1750" s="251" t="s">
        <v>72</v>
      </c>
      <c r="H1750" s="159" t="s">
        <v>73</v>
      </c>
      <c r="I1750" s="158">
        <f>I1751+I1752</f>
        <v>4458233.58</v>
      </c>
      <c r="J1750" s="158">
        <f>J1751+J1752</f>
        <v>1395.07</v>
      </c>
      <c r="K1750" s="158">
        <f>K1751+K1752</f>
        <v>2831</v>
      </c>
      <c r="L1750" s="7"/>
      <c r="M1750" s="7"/>
      <c r="N1750" s="7"/>
      <c r="O1750" s="7"/>
      <c r="P1750" s="7"/>
      <c r="Q1750" s="7"/>
      <c r="R1750" s="7"/>
      <c r="S1750" s="7"/>
      <c r="T1750" s="7"/>
      <c r="U1750" s="7"/>
      <c r="V1750" s="7"/>
      <c r="W1750" s="7"/>
    </row>
    <row r="1751" spans="1:23" x14ac:dyDescent="0.35">
      <c r="A1751" s="251">
        <v>75</v>
      </c>
      <c r="B1751" s="251"/>
      <c r="C1751" s="252"/>
      <c r="D1751" s="253"/>
      <c r="E1751" s="254"/>
      <c r="F1751" s="254"/>
      <c r="G1751" s="251"/>
      <c r="H1751" s="159" t="s">
        <v>74</v>
      </c>
      <c r="I1751" s="158">
        <f>6179974.47*0.7</f>
        <v>4325982.13</v>
      </c>
      <c r="J1751" s="158">
        <f>I1751/D1750</f>
        <v>1353.69</v>
      </c>
      <c r="K1751" s="158">
        <v>2772</v>
      </c>
      <c r="L1751" s="7"/>
      <c r="M1751" s="7"/>
      <c r="N1751" s="7"/>
      <c r="O1751" s="7"/>
      <c r="P1751" s="7"/>
      <c r="Q1751" s="7"/>
      <c r="R1751" s="7"/>
      <c r="S1751" s="7"/>
      <c r="T1751" s="7"/>
      <c r="U1751" s="7"/>
      <c r="V1751" s="7"/>
      <c r="W1751" s="7"/>
    </row>
    <row r="1752" spans="1:23" x14ac:dyDescent="0.35">
      <c r="A1752" s="251">
        <v>76</v>
      </c>
      <c r="B1752" s="251"/>
      <c r="C1752" s="252"/>
      <c r="D1752" s="253"/>
      <c r="E1752" s="254"/>
      <c r="F1752" s="254"/>
      <c r="G1752" s="251"/>
      <c r="H1752" s="159" t="s">
        <v>76</v>
      </c>
      <c r="I1752" s="158">
        <f>6179974.47*0.0214</f>
        <v>132251.45000000001</v>
      </c>
      <c r="J1752" s="158">
        <f>I1752/D1750</f>
        <v>41.38</v>
      </c>
      <c r="K1752" s="158">
        <v>59</v>
      </c>
      <c r="L1752" s="7"/>
      <c r="M1752" s="7"/>
      <c r="N1752" s="7"/>
      <c r="O1752" s="7"/>
      <c r="P1752" s="7"/>
      <c r="Q1752" s="7"/>
      <c r="R1752" s="7"/>
      <c r="S1752" s="7"/>
      <c r="T1752" s="7"/>
      <c r="U1752" s="7"/>
      <c r="V1752" s="7"/>
      <c r="W1752" s="7"/>
    </row>
    <row r="1753" spans="1:23" ht="15.75" customHeight="1" x14ac:dyDescent="0.35">
      <c r="A1753" s="251">
        <f>A1750+1</f>
        <v>43</v>
      </c>
      <c r="B1753" s="251">
        <v>519</v>
      </c>
      <c r="C1753" s="252" t="s">
        <v>100</v>
      </c>
      <c r="D1753" s="253">
        <v>2547.1999999999998</v>
      </c>
      <c r="E1753" s="254" t="s">
        <v>75</v>
      </c>
      <c r="F1753" s="254">
        <v>5</v>
      </c>
      <c r="G1753" s="251" t="s">
        <v>72</v>
      </c>
      <c r="H1753" s="159" t="s">
        <v>73</v>
      </c>
      <c r="I1753" s="158">
        <f>I1754</f>
        <v>417740.79999999999</v>
      </c>
      <c r="J1753" s="158">
        <f>J1754</f>
        <v>164</v>
      </c>
      <c r="K1753" s="158">
        <f>K1754</f>
        <v>164</v>
      </c>
      <c r="L1753" s="7"/>
      <c r="M1753" s="7"/>
      <c r="N1753" s="7"/>
      <c r="O1753" s="7"/>
      <c r="P1753" s="7"/>
      <c r="Q1753" s="7"/>
      <c r="R1753" s="7"/>
      <c r="S1753" s="7"/>
      <c r="T1753" s="7"/>
      <c r="U1753" s="7"/>
      <c r="V1753" s="7"/>
      <c r="W1753" s="7"/>
    </row>
    <row r="1754" spans="1:23" ht="46.5" x14ac:dyDescent="0.35">
      <c r="A1754" s="251"/>
      <c r="B1754" s="251"/>
      <c r="C1754" s="252"/>
      <c r="D1754" s="253"/>
      <c r="E1754" s="254"/>
      <c r="F1754" s="254"/>
      <c r="G1754" s="251"/>
      <c r="H1754" s="159" t="s">
        <v>705</v>
      </c>
      <c r="I1754" s="158">
        <f>D1753*K1754</f>
        <v>417740.79999999999</v>
      </c>
      <c r="J1754" s="158">
        <f>I1754/D1753</f>
        <v>164</v>
      </c>
      <c r="K1754" s="158">
        <f>151+13</f>
        <v>164</v>
      </c>
      <c r="L1754" s="7"/>
      <c r="M1754" s="7"/>
      <c r="N1754" s="7"/>
      <c r="O1754" s="7"/>
      <c r="P1754" s="7"/>
      <c r="Q1754" s="7"/>
      <c r="R1754" s="7"/>
      <c r="S1754" s="7"/>
      <c r="T1754" s="7"/>
      <c r="U1754" s="7"/>
      <c r="V1754" s="7"/>
      <c r="W1754" s="7"/>
    </row>
    <row r="1755" spans="1:23" x14ac:dyDescent="0.35">
      <c r="A1755" s="251">
        <f>A1753+1</f>
        <v>44</v>
      </c>
      <c r="B1755" s="251">
        <v>653</v>
      </c>
      <c r="C1755" s="252" t="s">
        <v>297</v>
      </c>
      <c r="D1755" s="253">
        <v>3054.95</v>
      </c>
      <c r="E1755" s="254" t="s">
        <v>75</v>
      </c>
      <c r="F1755" s="254">
        <v>5</v>
      </c>
      <c r="G1755" s="251" t="s">
        <v>72</v>
      </c>
      <c r="H1755" s="159" t="s">
        <v>73</v>
      </c>
      <c r="I1755" s="158">
        <f>I1756+I1757</f>
        <v>4819128.2</v>
      </c>
      <c r="J1755" s="158">
        <f>J1756+J1757</f>
        <v>1577.48</v>
      </c>
      <c r="K1755" s="158">
        <f>K1756+K1757</f>
        <v>2831</v>
      </c>
      <c r="L1755" s="7"/>
      <c r="M1755" s="7"/>
      <c r="N1755" s="7"/>
      <c r="O1755" s="7"/>
      <c r="P1755" s="7"/>
      <c r="Q1755" s="7"/>
      <c r="R1755" s="7"/>
      <c r="S1755" s="7"/>
      <c r="T1755" s="7"/>
      <c r="U1755" s="7"/>
      <c r="V1755" s="7"/>
      <c r="W1755" s="7"/>
    </row>
    <row r="1756" spans="1:23" x14ac:dyDescent="0.35">
      <c r="A1756" s="251">
        <v>75</v>
      </c>
      <c r="B1756" s="251"/>
      <c r="C1756" s="252"/>
      <c r="D1756" s="253"/>
      <c r="E1756" s="254"/>
      <c r="F1756" s="254"/>
      <c r="G1756" s="251"/>
      <c r="H1756" s="159" t="s">
        <v>74</v>
      </c>
      <c r="I1756" s="158">
        <f>6680244.24*0.7</f>
        <v>4676170.97</v>
      </c>
      <c r="J1756" s="158">
        <f>I1756/D1755-0.01</f>
        <v>1530.68</v>
      </c>
      <c r="K1756" s="158">
        <v>2772</v>
      </c>
      <c r="L1756" s="7"/>
      <c r="M1756" s="7"/>
      <c r="N1756" s="7"/>
      <c r="O1756" s="7"/>
      <c r="P1756" s="7"/>
      <c r="Q1756" s="7"/>
      <c r="R1756" s="7"/>
      <c r="S1756" s="7"/>
      <c r="T1756" s="7"/>
      <c r="U1756" s="7"/>
      <c r="V1756" s="7"/>
      <c r="W1756" s="7"/>
    </row>
    <row r="1757" spans="1:23" x14ac:dyDescent="0.35">
      <c r="A1757" s="251">
        <v>76</v>
      </c>
      <c r="B1757" s="251"/>
      <c r="C1757" s="252"/>
      <c r="D1757" s="253"/>
      <c r="E1757" s="254"/>
      <c r="F1757" s="254"/>
      <c r="G1757" s="251"/>
      <c r="H1757" s="159" t="s">
        <v>76</v>
      </c>
      <c r="I1757" s="158">
        <f>6680244.24*0.0214</f>
        <v>142957.23000000001</v>
      </c>
      <c r="J1757" s="158">
        <f>I1757/D1755</f>
        <v>46.8</v>
      </c>
      <c r="K1757" s="158">
        <v>59</v>
      </c>
      <c r="L1757" s="7"/>
      <c r="M1757" s="7"/>
      <c r="N1757" s="7"/>
      <c r="O1757" s="7"/>
      <c r="P1757" s="7"/>
      <c r="Q1757" s="7"/>
      <c r="R1757" s="7"/>
      <c r="S1757" s="7"/>
      <c r="T1757" s="7"/>
      <c r="U1757" s="7"/>
      <c r="V1757" s="7"/>
      <c r="W1757" s="7"/>
    </row>
    <row r="1758" spans="1:23" ht="15.75" customHeight="1" x14ac:dyDescent="0.35">
      <c r="A1758" s="256">
        <f>A1755+1</f>
        <v>45</v>
      </c>
      <c r="B1758" s="256">
        <v>562</v>
      </c>
      <c r="C1758" s="259" t="s">
        <v>556</v>
      </c>
      <c r="D1758" s="262">
        <v>3330.3</v>
      </c>
      <c r="E1758" s="268" t="s">
        <v>75</v>
      </c>
      <c r="F1758" s="268">
        <v>5</v>
      </c>
      <c r="G1758" s="123"/>
      <c r="H1758" s="159" t="s">
        <v>73</v>
      </c>
      <c r="I1758" s="158">
        <f>I1759+I1760+I1761+I1762+I1763+I1764+I1765+I1766+I1767</f>
        <v>20148315</v>
      </c>
      <c r="J1758" s="158">
        <f>J1759+J1760+J1761+J1762+J1763+J1764+J1765+J1766+J1767</f>
        <v>6050</v>
      </c>
      <c r="K1758" s="158">
        <f>K1759+K1760+K1761+K1762+K1763+K1764+K1765+K1766+K1767</f>
        <v>6050</v>
      </c>
      <c r="L1758" s="7"/>
      <c r="M1758" s="7"/>
      <c r="N1758" s="7"/>
      <c r="O1758" s="7"/>
      <c r="P1758" s="7"/>
      <c r="Q1758" s="7"/>
      <c r="R1758" s="7"/>
      <c r="S1758" s="7"/>
      <c r="T1758" s="7"/>
      <c r="U1758" s="7"/>
      <c r="V1758" s="7"/>
      <c r="W1758" s="7"/>
    </row>
    <row r="1759" spans="1:23" x14ac:dyDescent="0.35">
      <c r="A1759" s="257"/>
      <c r="B1759" s="257"/>
      <c r="C1759" s="260"/>
      <c r="D1759" s="263"/>
      <c r="E1759" s="269"/>
      <c r="F1759" s="269"/>
      <c r="G1759" s="256" t="s">
        <v>77</v>
      </c>
      <c r="H1759" s="159" t="s">
        <v>74</v>
      </c>
      <c r="I1759" s="158">
        <f>D1758*K1759</f>
        <v>7056905.7000000002</v>
      </c>
      <c r="J1759" s="158">
        <f>I1759/D1758</f>
        <v>2119</v>
      </c>
      <c r="K1759" s="158">
        <v>2119</v>
      </c>
      <c r="L1759" s="7"/>
      <c r="M1759" s="7"/>
      <c r="N1759" s="7"/>
      <c r="O1759" s="7"/>
      <c r="P1759" s="7"/>
      <c r="Q1759" s="7"/>
      <c r="R1759" s="7"/>
      <c r="S1759" s="7"/>
      <c r="T1759" s="7"/>
      <c r="U1759" s="7"/>
      <c r="V1759" s="7"/>
      <c r="W1759" s="7"/>
    </row>
    <row r="1760" spans="1:23" x14ac:dyDescent="0.35">
      <c r="A1760" s="257"/>
      <c r="B1760" s="257"/>
      <c r="C1760" s="260"/>
      <c r="D1760" s="263"/>
      <c r="E1760" s="269"/>
      <c r="F1760" s="269"/>
      <c r="G1760" s="258"/>
      <c r="H1760" s="159" t="s">
        <v>76</v>
      </c>
      <c r="I1760" s="158">
        <f>D1758*K1760</f>
        <v>149863.5</v>
      </c>
      <c r="J1760" s="158">
        <f>I1760/D1758</f>
        <v>45</v>
      </c>
      <c r="K1760" s="158">
        <v>45</v>
      </c>
      <c r="L1760" s="7"/>
      <c r="M1760" s="7"/>
      <c r="N1760" s="7"/>
      <c r="O1760" s="7"/>
      <c r="P1760" s="7"/>
      <c r="Q1760" s="7"/>
      <c r="R1760" s="7"/>
      <c r="S1760" s="7"/>
      <c r="T1760" s="7"/>
      <c r="U1760" s="7"/>
      <c r="V1760" s="7"/>
      <c r="W1760" s="7"/>
    </row>
    <row r="1761" spans="1:23" x14ac:dyDescent="0.35">
      <c r="A1761" s="257"/>
      <c r="B1761" s="257"/>
      <c r="C1761" s="260"/>
      <c r="D1761" s="263"/>
      <c r="E1761" s="269"/>
      <c r="F1761" s="269"/>
      <c r="G1761" s="256" t="s">
        <v>78</v>
      </c>
      <c r="H1761" s="159" t="s">
        <v>74</v>
      </c>
      <c r="I1761" s="158">
        <f>D1758*K1761</f>
        <v>1541928.9</v>
      </c>
      <c r="J1761" s="158">
        <f>I1761/D1758</f>
        <v>463</v>
      </c>
      <c r="K1761" s="158">
        <v>463</v>
      </c>
      <c r="L1761" s="7"/>
      <c r="M1761" s="7"/>
      <c r="N1761" s="7"/>
      <c r="O1761" s="7"/>
      <c r="P1761" s="7"/>
      <c r="Q1761" s="7"/>
      <c r="R1761" s="7"/>
      <c r="S1761" s="7"/>
      <c r="T1761" s="7"/>
      <c r="U1761" s="7"/>
      <c r="V1761" s="7"/>
      <c r="W1761" s="7"/>
    </row>
    <row r="1762" spans="1:23" x14ac:dyDescent="0.35">
      <c r="A1762" s="257"/>
      <c r="B1762" s="257"/>
      <c r="C1762" s="260"/>
      <c r="D1762" s="263"/>
      <c r="E1762" s="269"/>
      <c r="F1762" s="269"/>
      <c r="G1762" s="258"/>
      <c r="H1762" s="159" t="s">
        <v>76</v>
      </c>
      <c r="I1762" s="158">
        <f>D1758*K1762</f>
        <v>33303</v>
      </c>
      <c r="J1762" s="158">
        <f>I1762/D1758</f>
        <v>10</v>
      </c>
      <c r="K1762" s="158">
        <v>10</v>
      </c>
      <c r="L1762" s="7"/>
      <c r="M1762" s="7"/>
      <c r="N1762" s="7"/>
      <c r="O1762" s="7"/>
      <c r="P1762" s="7"/>
      <c r="Q1762" s="7"/>
      <c r="R1762" s="7"/>
      <c r="S1762" s="7"/>
      <c r="T1762" s="7"/>
      <c r="U1762" s="7"/>
      <c r="V1762" s="7"/>
      <c r="W1762" s="7"/>
    </row>
    <row r="1763" spans="1:23" x14ac:dyDescent="0.35">
      <c r="A1763" s="257"/>
      <c r="B1763" s="257"/>
      <c r="C1763" s="260"/>
      <c r="D1763" s="263"/>
      <c r="E1763" s="269"/>
      <c r="F1763" s="269"/>
      <c r="G1763" s="256" t="s">
        <v>79</v>
      </c>
      <c r="H1763" s="159" t="s">
        <v>74</v>
      </c>
      <c r="I1763" s="158">
        <f>D1758*K1763</f>
        <v>1362092.7</v>
      </c>
      <c r="J1763" s="158">
        <f>I1763/D1758</f>
        <v>409</v>
      </c>
      <c r="K1763" s="158">
        <v>409</v>
      </c>
      <c r="L1763" s="7"/>
      <c r="M1763" s="7"/>
      <c r="N1763" s="7"/>
      <c r="O1763" s="7"/>
      <c r="P1763" s="7"/>
      <c r="Q1763" s="7"/>
      <c r="R1763" s="7"/>
      <c r="S1763" s="7"/>
      <c r="T1763" s="7"/>
      <c r="U1763" s="7"/>
      <c r="V1763" s="7"/>
      <c r="W1763" s="7"/>
    </row>
    <row r="1764" spans="1:23" x14ac:dyDescent="0.35">
      <c r="A1764" s="257"/>
      <c r="B1764" s="257"/>
      <c r="C1764" s="260"/>
      <c r="D1764" s="263"/>
      <c r="E1764" s="269"/>
      <c r="F1764" s="269"/>
      <c r="G1764" s="258"/>
      <c r="H1764" s="159" t="s">
        <v>76</v>
      </c>
      <c r="I1764" s="158">
        <f>K1764*D1758</f>
        <v>29972.7</v>
      </c>
      <c r="J1764" s="158">
        <f>I1764/D1758</f>
        <v>9</v>
      </c>
      <c r="K1764" s="158">
        <v>9</v>
      </c>
      <c r="L1764" s="7"/>
      <c r="M1764" s="7"/>
      <c r="N1764" s="7"/>
      <c r="O1764" s="7"/>
      <c r="P1764" s="7"/>
      <c r="Q1764" s="7"/>
      <c r="R1764" s="7"/>
      <c r="S1764" s="7"/>
      <c r="T1764" s="7"/>
      <c r="U1764" s="7"/>
      <c r="V1764" s="7"/>
      <c r="W1764" s="7"/>
    </row>
    <row r="1765" spans="1:23" ht="46.5" x14ac:dyDescent="0.35">
      <c r="A1765" s="257"/>
      <c r="B1765" s="257"/>
      <c r="C1765" s="260"/>
      <c r="D1765" s="263"/>
      <c r="E1765" s="269"/>
      <c r="F1765" s="269"/>
      <c r="G1765" s="256" t="s">
        <v>72</v>
      </c>
      <c r="H1765" s="159" t="s">
        <v>705</v>
      </c>
      <c r="I1765" s="158">
        <f>D1758*K1765</f>
        <v>546169.19999999995</v>
      </c>
      <c r="J1765" s="158">
        <f>I1765/D1758</f>
        <v>164</v>
      </c>
      <c r="K1765" s="158">
        <f>151+13</f>
        <v>164</v>
      </c>
      <c r="L1765" s="7"/>
      <c r="M1765" s="7"/>
      <c r="N1765" s="7"/>
      <c r="O1765" s="7"/>
      <c r="P1765" s="7"/>
      <c r="Q1765" s="7"/>
      <c r="R1765" s="7"/>
      <c r="S1765" s="7"/>
      <c r="T1765" s="7"/>
      <c r="U1765" s="7"/>
      <c r="V1765" s="7"/>
      <c r="W1765" s="7"/>
    </row>
    <row r="1766" spans="1:23" x14ac:dyDescent="0.35">
      <c r="A1766" s="257"/>
      <c r="B1766" s="257"/>
      <c r="C1766" s="260"/>
      <c r="D1766" s="263"/>
      <c r="E1766" s="269"/>
      <c r="F1766" s="269"/>
      <c r="G1766" s="257"/>
      <c r="H1766" s="159" t="s">
        <v>74</v>
      </c>
      <c r="I1766" s="158">
        <f>D1758*K1766</f>
        <v>9231591.5999999996</v>
      </c>
      <c r="J1766" s="158">
        <f>I1766/D1758</f>
        <v>2772</v>
      </c>
      <c r="K1766" s="158">
        <v>2772</v>
      </c>
      <c r="L1766" s="7"/>
      <c r="M1766" s="7"/>
      <c r="N1766" s="7"/>
      <c r="O1766" s="7"/>
      <c r="P1766" s="7"/>
      <c r="Q1766" s="7"/>
      <c r="R1766" s="7"/>
      <c r="S1766" s="7"/>
      <c r="T1766" s="7"/>
      <c r="U1766" s="7"/>
      <c r="V1766" s="7"/>
      <c r="W1766" s="7"/>
    </row>
    <row r="1767" spans="1:23" x14ac:dyDescent="0.35">
      <c r="A1767" s="258"/>
      <c r="B1767" s="258"/>
      <c r="C1767" s="261"/>
      <c r="D1767" s="264"/>
      <c r="E1767" s="273"/>
      <c r="F1767" s="273"/>
      <c r="G1767" s="258"/>
      <c r="H1767" s="159" t="s">
        <v>76</v>
      </c>
      <c r="I1767" s="158">
        <f>D1758*K1767</f>
        <v>196487.7</v>
      </c>
      <c r="J1767" s="158">
        <f>I1767/D1758</f>
        <v>59</v>
      </c>
      <c r="K1767" s="158">
        <v>59</v>
      </c>
      <c r="L1767" s="7"/>
      <c r="M1767" s="7"/>
      <c r="N1767" s="7"/>
      <c r="O1767" s="7"/>
      <c r="P1767" s="7"/>
      <c r="Q1767" s="7"/>
      <c r="R1767" s="7"/>
      <c r="S1767" s="7"/>
      <c r="T1767" s="7"/>
      <c r="U1767" s="7"/>
      <c r="V1767" s="7"/>
      <c r="W1767" s="7"/>
    </row>
    <row r="1768" spans="1:23" ht="15.75" customHeight="1" x14ac:dyDescent="0.35">
      <c r="A1768" s="251">
        <f>A1758+1</f>
        <v>46</v>
      </c>
      <c r="B1768" s="251">
        <v>720</v>
      </c>
      <c r="C1768" s="252" t="s">
        <v>558</v>
      </c>
      <c r="D1768" s="253">
        <v>5022</v>
      </c>
      <c r="E1768" s="254" t="s">
        <v>75</v>
      </c>
      <c r="F1768" s="254">
        <v>5</v>
      </c>
      <c r="G1768" s="251" t="s">
        <v>72</v>
      </c>
      <c r="H1768" s="159" t="s">
        <v>73</v>
      </c>
      <c r="I1768" s="158">
        <f>I1769</f>
        <v>823608</v>
      </c>
      <c r="J1768" s="158">
        <f>J1769</f>
        <v>164</v>
      </c>
      <c r="K1768" s="158">
        <f>K1769</f>
        <v>164</v>
      </c>
      <c r="L1768" s="7"/>
      <c r="M1768" s="7"/>
      <c r="N1768" s="7"/>
      <c r="O1768" s="7"/>
      <c r="P1768" s="7"/>
      <c r="Q1768" s="7"/>
      <c r="R1768" s="7"/>
      <c r="S1768" s="7"/>
      <c r="T1768" s="7"/>
      <c r="U1768" s="7"/>
      <c r="V1768" s="7"/>
      <c r="W1768" s="7"/>
    </row>
    <row r="1769" spans="1:23" ht="46.5" x14ac:dyDescent="0.35">
      <c r="A1769" s="251"/>
      <c r="B1769" s="251"/>
      <c r="C1769" s="252"/>
      <c r="D1769" s="253"/>
      <c r="E1769" s="254"/>
      <c r="F1769" s="254"/>
      <c r="G1769" s="251"/>
      <c r="H1769" s="159" t="s">
        <v>705</v>
      </c>
      <c r="I1769" s="158">
        <f>D1768*K1769</f>
        <v>823608</v>
      </c>
      <c r="J1769" s="158">
        <f>I1769/D1768</f>
        <v>164</v>
      </c>
      <c r="K1769" s="158">
        <f>151+13</f>
        <v>164</v>
      </c>
      <c r="L1769" s="7"/>
      <c r="M1769" s="7"/>
      <c r="N1769" s="7"/>
      <c r="O1769" s="7"/>
      <c r="P1769" s="7"/>
      <c r="Q1769" s="7"/>
      <c r="R1769" s="7"/>
      <c r="S1769" s="7"/>
      <c r="T1769" s="7"/>
      <c r="U1769" s="7"/>
      <c r="V1769" s="7"/>
      <c r="W1769" s="7"/>
    </row>
    <row r="1770" spans="1:23" ht="15.75" customHeight="1" x14ac:dyDescent="0.35">
      <c r="A1770" s="256">
        <f>A1768+1</f>
        <v>47</v>
      </c>
      <c r="B1770" s="256">
        <v>647</v>
      </c>
      <c r="C1770" s="259" t="s">
        <v>298</v>
      </c>
      <c r="D1770" s="279">
        <v>2026</v>
      </c>
      <c r="E1770" s="276" t="s">
        <v>75</v>
      </c>
      <c r="F1770" s="276">
        <v>9</v>
      </c>
      <c r="G1770" s="123"/>
      <c r="H1770" s="159" t="s">
        <v>73</v>
      </c>
      <c r="I1770" s="158">
        <f>SUM(I1771:I1776)</f>
        <v>7374640</v>
      </c>
      <c r="J1770" s="158">
        <f>SUM(J1771:J1776)</f>
        <v>3640</v>
      </c>
      <c r="K1770" s="158">
        <f>SUM(K1771:K1776)</f>
        <v>3640</v>
      </c>
      <c r="L1770" s="7"/>
      <c r="M1770" s="7"/>
      <c r="N1770" s="7"/>
      <c r="O1770" s="7"/>
      <c r="P1770" s="7"/>
      <c r="Q1770" s="7"/>
      <c r="R1770" s="7"/>
      <c r="S1770" s="7"/>
      <c r="T1770" s="7"/>
      <c r="U1770" s="7"/>
      <c r="V1770" s="7"/>
      <c r="W1770" s="7"/>
    </row>
    <row r="1771" spans="1:23" x14ac:dyDescent="0.35">
      <c r="A1771" s="257"/>
      <c r="B1771" s="257"/>
      <c r="C1771" s="260"/>
      <c r="D1771" s="280"/>
      <c r="E1771" s="277"/>
      <c r="F1771" s="277"/>
      <c r="G1771" s="251" t="s">
        <v>77</v>
      </c>
      <c r="H1771" s="159" t="s">
        <v>74</v>
      </c>
      <c r="I1771" s="158">
        <f>K1771*D1770</f>
        <v>5451966</v>
      </c>
      <c r="J1771" s="158">
        <f>I1771/D1770</f>
        <v>2691</v>
      </c>
      <c r="K1771" s="158">
        <v>2691</v>
      </c>
      <c r="L1771" s="7"/>
      <c r="M1771" s="7"/>
      <c r="N1771" s="7"/>
      <c r="O1771" s="7"/>
      <c r="P1771" s="7"/>
      <c r="Q1771" s="7"/>
      <c r="R1771" s="7"/>
      <c r="S1771" s="7"/>
      <c r="T1771" s="7"/>
      <c r="U1771" s="7"/>
      <c r="V1771" s="7"/>
      <c r="W1771" s="7"/>
    </row>
    <row r="1772" spans="1:23" x14ac:dyDescent="0.35">
      <c r="A1772" s="257"/>
      <c r="B1772" s="257"/>
      <c r="C1772" s="260"/>
      <c r="D1772" s="280"/>
      <c r="E1772" s="277"/>
      <c r="F1772" s="277"/>
      <c r="G1772" s="251"/>
      <c r="H1772" s="159" t="s">
        <v>76</v>
      </c>
      <c r="I1772" s="158">
        <f>K1772*D1770</f>
        <v>117508</v>
      </c>
      <c r="J1772" s="158">
        <f>I1772/D1770</f>
        <v>58</v>
      </c>
      <c r="K1772" s="158">
        <v>58</v>
      </c>
      <c r="L1772" s="7"/>
      <c r="M1772" s="7"/>
      <c r="N1772" s="7"/>
      <c r="O1772" s="7"/>
      <c r="P1772" s="7"/>
      <c r="Q1772" s="7"/>
      <c r="R1772" s="7"/>
      <c r="S1772" s="7"/>
      <c r="T1772" s="7"/>
      <c r="U1772" s="7"/>
      <c r="V1772" s="7"/>
      <c r="W1772" s="7"/>
    </row>
    <row r="1773" spans="1:23" x14ac:dyDescent="0.35">
      <c r="A1773" s="257"/>
      <c r="B1773" s="257"/>
      <c r="C1773" s="260"/>
      <c r="D1773" s="280"/>
      <c r="E1773" s="277"/>
      <c r="F1773" s="277"/>
      <c r="G1773" s="251" t="s">
        <v>78</v>
      </c>
      <c r="H1773" s="159" t="s">
        <v>74</v>
      </c>
      <c r="I1773" s="158">
        <f>K1773*D1770</f>
        <v>938038</v>
      </c>
      <c r="J1773" s="158">
        <f>I1773/D1770</f>
        <v>463</v>
      </c>
      <c r="K1773" s="158">
        <v>463</v>
      </c>
      <c r="L1773" s="7"/>
      <c r="M1773" s="7"/>
      <c r="N1773" s="7"/>
      <c r="O1773" s="7"/>
      <c r="P1773" s="7"/>
      <c r="Q1773" s="7"/>
      <c r="R1773" s="7"/>
      <c r="S1773" s="7"/>
      <c r="T1773" s="7"/>
      <c r="U1773" s="7"/>
      <c r="V1773" s="7"/>
      <c r="W1773" s="7"/>
    </row>
    <row r="1774" spans="1:23" x14ac:dyDescent="0.35">
      <c r="A1774" s="257"/>
      <c r="B1774" s="257"/>
      <c r="C1774" s="260"/>
      <c r="D1774" s="280"/>
      <c r="E1774" s="277"/>
      <c r="F1774" s="277"/>
      <c r="G1774" s="251"/>
      <c r="H1774" s="159" t="s">
        <v>76</v>
      </c>
      <c r="I1774" s="158">
        <f>K1774*D1770</f>
        <v>20260</v>
      </c>
      <c r="J1774" s="158">
        <f>I1774/D1770</f>
        <v>10</v>
      </c>
      <c r="K1774" s="158">
        <v>10</v>
      </c>
      <c r="L1774" s="7"/>
      <c r="M1774" s="7"/>
      <c r="N1774" s="7"/>
      <c r="O1774" s="7"/>
      <c r="P1774" s="7"/>
      <c r="Q1774" s="7"/>
      <c r="R1774" s="7"/>
      <c r="S1774" s="7"/>
      <c r="T1774" s="7"/>
      <c r="U1774" s="7"/>
      <c r="V1774" s="7"/>
      <c r="W1774" s="7"/>
    </row>
    <row r="1775" spans="1:23" x14ac:dyDescent="0.35">
      <c r="A1775" s="257"/>
      <c r="B1775" s="257"/>
      <c r="C1775" s="260"/>
      <c r="D1775" s="280"/>
      <c r="E1775" s="277"/>
      <c r="F1775" s="277"/>
      <c r="G1775" s="251" t="s">
        <v>79</v>
      </c>
      <c r="H1775" s="159" t="s">
        <v>74</v>
      </c>
      <c r="I1775" s="158">
        <f>K1775*D1770</f>
        <v>828634</v>
      </c>
      <c r="J1775" s="158">
        <f>I1775/D1770</f>
        <v>409</v>
      </c>
      <c r="K1775" s="158">
        <v>409</v>
      </c>
      <c r="L1775" s="7"/>
      <c r="M1775" s="7"/>
      <c r="N1775" s="7"/>
      <c r="O1775" s="7"/>
      <c r="P1775" s="7"/>
      <c r="Q1775" s="7"/>
      <c r="R1775" s="7"/>
      <c r="S1775" s="7"/>
      <c r="T1775" s="7"/>
      <c r="U1775" s="7"/>
      <c r="V1775" s="7"/>
      <c r="W1775" s="7"/>
    </row>
    <row r="1776" spans="1:23" x14ac:dyDescent="0.35">
      <c r="A1776" s="258"/>
      <c r="B1776" s="258"/>
      <c r="C1776" s="261"/>
      <c r="D1776" s="281"/>
      <c r="E1776" s="278"/>
      <c r="F1776" s="278"/>
      <c r="G1776" s="251"/>
      <c r="H1776" s="159" t="s">
        <v>76</v>
      </c>
      <c r="I1776" s="158">
        <f>K1776*D1770</f>
        <v>18234</v>
      </c>
      <c r="J1776" s="158">
        <f>I1776/D1770</f>
        <v>9</v>
      </c>
      <c r="K1776" s="158">
        <v>9</v>
      </c>
      <c r="L1776" s="7"/>
      <c r="M1776" s="7"/>
      <c r="N1776" s="7"/>
      <c r="O1776" s="7"/>
      <c r="P1776" s="7"/>
      <c r="Q1776" s="7"/>
      <c r="R1776" s="7"/>
      <c r="S1776" s="7"/>
      <c r="T1776" s="7"/>
      <c r="U1776" s="7"/>
      <c r="V1776" s="7"/>
      <c r="W1776" s="7"/>
    </row>
    <row r="1777" spans="1:23" ht="15.75" customHeight="1" x14ac:dyDescent="0.35">
      <c r="A1777" s="251">
        <f>A1770+1</f>
        <v>48</v>
      </c>
      <c r="B1777" s="251">
        <v>811</v>
      </c>
      <c r="C1777" s="252" t="s">
        <v>747</v>
      </c>
      <c r="D1777" s="253">
        <v>4347.7</v>
      </c>
      <c r="E1777" s="254" t="s">
        <v>71</v>
      </c>
      <c r="F1777" s="254">
        <v>9</v>
      </c>
      <c r="G1777" s="251" t="s">
        <v>77</v>
      </c>
      <c r="H1777" s="159" t="s">
        <v>73</v>
      </c>
      <c r="I1777" s="158">
        <f>I1778</f>
        <v>399988.4</v>
      </c>
      <c r="J1777" s="158">
        <f>J1778</f>
        <v>92</v>
      </c>
      <c r="K1777" s="158">
        <f>K1778</f>
        <v>92</v>
      </c>
      <c r="L1777" s="7"/>
      <c r="M1777" s="7"/>
      <c r="N1777" s="7"/>
      <c r="O1777" s="7"/>
      <c r="P1777" s="7"/>
      <c r="Q1777" s="7"/>
      <c r="R1777" s="7"/>
      <c r="S1777" s="7"/>
      <c r="T1777" s="7"/>
      <c r="U1777" s="7"/>
      <c r="V1777" s="7"/>
      <c r="W1777" s="7"/>
    </row>
    <row r="1778" spans="1:23" ht="31" x14ac:dyDescent="0.35">
      <c r="A1778" s="251"/>
      <c r="B1778" s="251"/>
      <c r="C1778" s="252"/>
      <c r="D1778" s="253"/>
      <c r="E1778" s="254"/>
      <c r="F1778" s="254"/>
      <c r="G1778" s="251"/>
      <c r="H1778" s="159" t="s">
        <v>666</v>
      </c>
      <c r="I1778" s="158">
        <f>D1777*K1778</f>
        <v>399988.4</v>
      </c>
      <c r="J1778" s="158">
        <f>I1778/D1777</f>
        <v>92</v>
      </c>
      <c r="K1778" s="158">
        <f>85+7</f>
        <v>92</v>
      </c>
      <c r="L1778" s="7"/>
      <c r="M1778" s="7"/>
      <c r="N1778" s="7"/>
      <c r="O1778" s="7"/>
      <c r="P1778" s="7"/>
      <c r="Q1778" s="7"/>
      <c r="R1778" s="7"/>
      <c r="S1778" s="7"/>
      <c r="T1778" s="7"/>
      <c r="U1778" s="7"/>
      <c r="V1778" s="7"/>
      <c r="W1778" s="7"/>
    </row>
    <row r="1779" spans="1:23" ht="15.75" customHeight="1" x14ac:dyDescent="0.35">
      <c r="A1779" s="256">
        <f>A1777+1</f>
        <v>49</v>
      </c>
      <c r="B1779" s="256">
        <v>575</v>
      </c>
      <c r="C1779" s="259" t="s">
        <v>559</v>
      </c>
      <c r="D1779" s="262">
        <v>5843.3</v>
      </c>
      <c r="E1779" s="268" t="s">
        <v>75</v>
      </c>
      <c r="F1779" s="268">
        <v>5</v>
      </c>
      <c r="G1779" s="256" t="s">
        <v>84</v>
      </c>
      <c r="H1779" s="159" t="s">
        <v>73</v>
      </c>
      <c r="I1779" s="158">
        <f>I1780</f>
        <v>46746.400000000001</v>
      </c>
      <c r="J1779" s="158">
        <f>J1780</f>
        <v>8</v>
      </c>
      <c r="K1779" s="158">
        <f>K1780</f>
        <v>8</v>
      </c>
      <c r="L1779" s="7"/>
      <c r="M1779" s="7"/>
      <c r="N1779" s="7"/>
      <c r="O1779" s="7"/>
      <c r="P1779" s="7"/>
      <c r="Q1779" s="7"/>
      <c r="R1779" s="7"/>
      <c r="S1779" s="7"/>
      <c r="T1779" s="7"/>
      <c r="U1779" s="7"/>
      <c r="V1779" s="7"/>
      <c r="W1779" s="7"/>
    </row>
    <row r="1780" spans="1:23" ht="31" x14ac:dyDescent="0.35">
      <c r="A1780" s="257"/>
      <c r="B1780" s="257"/>
      <c r="C1780" s="260"/>
      <c r="D1780" s="263"/>
      <c r="E1780" s="269"/>
      <c r="F1780" s="269"/>
      <c r="G1780" s="257"/>
      <c r="H1780" s="159" t="s">
        <v>666</v>
      </c>
      <c r="I1780" s="158">
        <f>D1779*K1780</f>
        <v>46746.400000000001</v>
      </c>
      <c r="J1780" s="158">
        <f>I1780/D1779</f>
        <v>8</v>
      </c>
      <c r="K1780" s="158">
        <f>7+1</f>
        <v>8</v>
      </c>
      <c r="L1780" s="7"/>
      <c r="M1780" s="7"/>
      <c r="N1780" s="7"/>
      <c r="O1780" s="7"/>
      <c r="P1780" s="7"/>
      <c r="Q1780" s="7"/>
      <c r="R1780" s="7"/>
      <c r="S1780" s="7"/>
      <c r="T1780" s="7"/>
      <c r="U1780" s="7"/>
      <c r="V1780" s="7"/>
      <c r="W1780" s="7"/>
    </row>
    <row r="1781" spans="1:23" ht="15.75" customHeight="1" x14ac:dyDescent="0.35">
      <c r="A1781" s="256">
        <f>A1779+1</f>
        <v>50</v>
      </c>
      <c r="B1781" s="256">
        <v>618</v>
      </c>
      <c r="C1781" s="259" t="s">
        <v>560</v>
      </c>
      <c r="D1781" s="262">
        <v>4979.6000000000004</v>
      </c>
      <c r="E1781" s="268" t="s">
        <v>75</v>
      </c>
      <c r="F1781" s="268">
        <v>5</v>
      </c>
      <c r="G1781" s="256" t="s">
        <v>84</v>
      </c>
      <c r="H1781" s="159" t="s">
        <v>73</v>
      </c>
      <c r="I1781" s="158">
        <f>I1782</f>
        <v>39836.800000000003</v>
      </c>
      <c r="J1781" s="158">
        <f>J1782</f>
        <v>8</v>
      </c>
      <c r="K1781" s="158">
        <f>K1782</f>
        <v>8</v>
      </c>
      <c r="L1781" s="7"/>
      <c r="M1781" s="7"/>
      <c r="N1781" s="7"/>
      <c r="O1781" s="7"/>
      <c r="P1781" s="7"/>
      <c r="Q1781" s="7"/>
      <c r="R1781" s="7"/>
      <c r="S1781" s="7"/>
      <c r="T1781" s="7"/>
      <c r="U1781" s="7"/>
      <c r="V1781" s="7"/>
      <c r="W1781" s="7"/>
    </row>
    <row r="1782" spans="1:23" ht="31" x14ac:dyDescent="0.35">
      <c r="A1782" s="257"/>
      <c r="B1782" s="257"/>
      <c r="C1782" s="260"/>
      <c r="D1782" s="263"/>
      <c r="E1782" s="269"/>
      <c r="F1782" s="269"/>
      <c r="G1782" s="257"/>
      <c r="H1782" s="159" t="s">
        <v>666</v>
      </c>
      <c r="I1782" s="158">
        <f>D1781*K1782</f>
        <v>39836.800000000003</v>
      </c>
      <c r="J1782" s="158">
        <f>I1782/D1781</f>
        <v>8</v>
      </c>
      <c r="K1782" s="158">
        <f>7+1</f>
        <v>8</v>
      </c>
      <c r="L1782" s="7"/>
      <c r="M1782" s="7"/>
      <c r="N1782" s="7"/>
      <c r="O1782" s="7"/>
      <c r="P1782" s="7"/>
      <c r="Q1782" s="7"/>
      <c r="R1782" s="7"/>
      <c r="S1782" s="7"/>
      <c r="T1782" s="7"/>
      <c r="U1782" s="7"/>
      <c r="V1782" s="7"/>
      <c r="W1782" s="7"/>
    </row>
    <row r="1783" spans="1:23" x14ac:dyDescent="0.35">
      <c r="A1783" s="251">
        <f>A1781+1</f>
        <v>51</v>
      </c>
      <c r="B1783" s="251">
        <v>532</v>
      </c>
      <c r="C1783" s="252" t="s">
        <v>303</v>
      </c>
      <c r="D1783" s="253">
        <v>3750.3</v>
      </c>
      <c r="E1783" s="254" t="s">
        <v>75</v>
      </c>
      <c r="F1783" s="254">
        <v>5</v>
      </c>
      <c r="G1783" s="251" t="s">
        <v>72</v>
      </c>
      <c r="H1783" s="159" t="s">
        <v>73</v>
      </c>
      <c r="I1783" s="158">
        <f>I1784+I1785</f>
        <v>6519561.1399999997</v>
      </c>
      <c r="J1783" s="158">
        <f>J1784+J1785</f>
        <v>1738.41</v>
      </c>
      <c r="K1783" s="158">
        <f>K1784+K1785</f>
        <v>2831</v>
      </c>
      <c r="L1783" s="7"/>
      <c r="M1783" s="7"/>
      <c r="N1783" s="7"/>
      <c r="O1783" s="7"/>
      <c r="P1783" s="7"/>
      <c r="Q1783" s="7"/>
      <c r="R1783" s="7"/>
      <c r="S1783" s="7"/>
      <c r="T1783" s="7"/>
      <c r="U1783" s="7"/>
      <c r="V1783" s="7"/>
      <c r="W1783" s="7"/>
    </row>
    <row r="1784" spans="1:23" x14ac:dyDescent="0.35">
      <c r="A1784" s="251">
        <v>75</v>
      </c>
      <c r="B1784" s="251"/>
      <c r="C1784" s="252"/>
      <c r="D1784" s="253"/>
      <c r="E1784" s="254"/>
      <c r="F1784" s="254"/>
      <c r="G1784" s="251"/>
      <c r="H1784" s="159" t="s">
        <v>74</v>
      </c>
      <c r="I1784" s="158">
        <f>9037373.35*0.7</f>
        <v>6326161.3499999996</v>
      </c>
      <c r="J1784" s="158">
        <f>I1784/D1783</f>
        <v>1686.84</v>
      </c>
      <c r="K1784" s="158">
        <v>2772</v>
      </c>
      <c r="L1784" s="7"/>
      <c r="M1784" s="7"/>
      <c r="N1784" s="7"/>
      <c r="O1784" s="7"/>
      <c r="P1784" s="7"/>
      <c r="Q1784" s="7"/>
      <c r="R1784" s="7"/>
      <c r="S1784" s="7"/>
      <c r="T1784" s="7"/>
      <c r="U1784" s="7"/>
      <c r="V1784" s="7"/>
      <c r="W1784" s="7"/>
    </row>
    <row r="1785" spans="1:23" x14ac:dyDescent="0.35">
      <c r="A1785" s="251">
        <v>76</v>
      </c>
      <c r="B1785" s="251"/>
      <c r="C1785" s="252"/>
      <c r="D1785" s="253"/>
      <c r="E1785" s="254"/>
      <c r="F1785" s="254"/>
      <c r="G1785" s="251"/>
      <c r="H1785" s="159" t="s">
        <v>76</v>
      </c>
      <c r="I1785" s="158">
        <f>9037373.35*0.0214</f>
        <v>193399.79</v>
      </c>
      <c r="J1785" s="158">
        <f>I1785/D1783</f>
        <v>51.57</v>
      </c>
      <c r="K1785" s="158">
        <v>59</v>
      </c>
      <c r="L1785" s="7"/>
      <c r="M1785" s="7"/>
      <c r="N1785" s="7"/>
      <c r="O1785" s="7"/>
      <c r="P1785" s="7"/>
      <c r="Q1785" s="7"/>
      <c r="R1785" s="7"/>
      <c r="S1785" s="7"/>
      <c r="T1785" s="7"/>
      <c r="U1785" s="7"/>
      <c r="V1785" s="7"/>
      <c r="W1785" s="7"/>
    </row>
    <row r="1786" spans="1:23" x14ac:dyDescent="0.35">
      <c r="A1786" s="251">
        <f>A1783+1</f>
        <v>52</v>
      </c>
      <c r="B1786" s="251">
        <v>588</v>
      </c>
      <c r="C1786" s="252" t="s">
        <v>304</v>
      </c>
      <c r="D1786" s="253">
        <v>1171.8</v>
      </c>
      <c r="E1786" s="254" t="s">
        <v>75</v>
      </c>
      <c r="F1786" s="254">
        <v>5</v>
      </c>
      <c r="G1786" s="251" t="s">
        <v>72</v>
      </c>
      <c r="H1786" s="159" t="s">
        <v>73</v>
      </c>
      <c r="I1786" s="158">
        <f>I1787+I1788</f>
        <v>2342896.92</v>
      </c>
      <c r="J1786" s="158">
        <f>J1787+J1788</f>
        <v>1999.4</v>
      </c>
      <c r="K1786" s="158">
        <f>K1787+K1788</f>
        <v>2831</v>
      </c>
      <c r="L1786" s="7"/>
      <c r="M1786" s="7"/>
      <c r="N1786" s="7"/>
      <c r="O1786" s="7"/>
      <c r="P1786" s="7"/>
      <c r="Q1786" s="7"/>
      <c r="R1786" s="7"/>
      <c r="S1786" s="7"/>
      <c r="T1786" s="7"/>
      <c r="U1786" s="7"/>
      <c r="V1786" s="7"/>
      <c r="W1786" s="7"/>
    </row>
    <row r="1787" spans="1:23" x14ac:dyDescent="0.35">
      <c r="A1787" s="251">
        <v>75</v>
      </c>
      <c r="B1787" s="251"/>
      <c r="C1787" s="252"/>
      <c r="D1787" s="253"/>
      <c r="E1787" s="254"/>
      <c r="F1787" s="254"/>
      <c r="G1787" s="251"/>
      <c r="H1787" s="159" t="s">
        <v>74</v>
      </c>
      <c r="I1787" s="158">
        <f>K1787*D1786*0.7</f>
        <v>2273760.7200000002</v>
      </c>
      <c r="J1787" s="158">
        <f>I1787/D1786</f>
        <v>1940.4</v>
      </c>
      <c r="K1787" s="158">
        <v>2772</v>
      </c>
      <c r="L1787" s="7"/>
      <c r="M1787" s="7"/>
      <c r="N1787" s="7"/>
      <c r="O1787" s="7"/>
      <c r="P1787" s="7"/>
      <c r="Q1787" s="7"/>
      <c r="R1787" s="7"/>
      <c r="S1787" s="7"/>
      <c r="T1787" s="7"/>
      <c r="U1787" s="7"/>
      <c r="V1787" s="7"/>
      <c r="W1787" s="7"/>
    </row>
    <row r="1788" spans="1:23" x14ac:dyDescent="0.35">
      <c r="A1788" s="251">
        <v>76</v>
      </c>
      <c r="B1788" s="251"/>
      <c r="C1788" s="252"/>
      <c r="D1788" s="253"/>
      <c r="E1788" s="254"/>
      <c r="F1788" s="254"/>
      <c r="G1788" s="251"/>
      <c r="H1788" s="159" t="s">
        <v>76</v>
      </c>
      <c r="I1788" s="158">
        <f>K1788*D1786</f>
        <v>69136.2</v>
      </c>
      <c r="J1788" s="158">
        <f>I1788/D1786</f>
        <v>59</v>
      </c>
      <c r="K1788" s="158">
        <v>59</v>
      </c>
      <c r="L1788" s="7"/>
      <c r="M1788" s="7"/>
      <c r="N1788" s="7"/>
      <c r="O1788" s="7"/>
      <c r="P1788" s="7"/>
      <c r="Q1788" s="7"/>
      <c r="R1788" s="7"/>
      <c r="S1788" s="7"/>
      <c r="T1788" s="7"/>
      <c r="U1788" s="7"/>
      <c r="V1788" s="7"/>
      <c r="W1788" s="7"/>
    </row>
    <row r="1789" spans="1:23" ht="15.75" customHeight="1" x14ac:dyDescent="0.35">
      <c r="A1789" s="251">
        <f>A1786+1</f>
        <v>53</v>
      </c>
      <c r="B1789" s="251">
        <v>581</v>
      </c>
      <c r="C1789" s="252" t="s">
        <v>561</v>
      </c>
      <c r="D1789" s="253">
        <v>3817</v>
      </c>
      <c r="E1789" s="254" t="s">
        <v>75</v>
      </c>
      <c r="F1789" s="254">
        <v>5</v>
      </c>
      <c r="G1789" s="251" t="s">
        <v>87</v>
      </c>
      <c r="H1789" s="159" t="s">
        <v>73</v>
      </c>
      <c r="I1789" s="158">
        <f>I1790</f>
        <v>95425</v>
      </c>
      <c r="J1789" s="158">
        <f>J1790</f>
        <v>25</v>
      </c>
      <c r="K1789" s="158">
        <f>K1790</f>
        <v>25</v>
      </c>
      <c r="L1789" s="7"/>
      <c r="M1789" s="7"/>
      <c r="N1789" s="7"/>
      <c r="O1789" s="7"/>
      <c r="P1789" s="7"/>
      <c r="Q1789" s="7"/>
      <c r="R1789" s="7"/>
      <c r="S1789" s="7"/>
      <c r="T1789" s="7"/>
      <c r="U1789" s="7"/>
      <c r="V1789" s="7"/>
      <c r="W1789" s="7"/>
    </row>
    <row r="1790" spans="1:23" ht="31" x14ac:dyDescent="0.35">
      <c r="A1790" s="251"/>
      <c r="B1790" s="251"/>
      <c r="C1790" s="252"/>
      <c r="D1790" s="253"/>
      <c r="E1790" s="254"/>
      <c r="F1790" s="254"/>
      <c r="G1790" s="251"/>
      <c r="H1790" s="159" t="s">
        <v>666</v>
      </c>
      <c r="I1790" s="158">
        <f>D1789*K1790</f>
        <v>95425</v>
      </c>
      <c r="J1790" s="158">
        <f>I1790/D1789</f>
        <v>25</v>
      </c>
      <c r="K1790" s="158">
        <f>23+2</f>
        <v>25</v>
      </c>
      <c r="L1790" s="7"/>
      <c r="M1790" s="7"/>
      <c r="N1790" s="7"/>
      <c r="O1790" s="7"/>
      <c r="P1790" s="7"/>
      <c r="Q1790" s="7"/>
      <c r="R1790" s="7"/>
      <c r="S1790" s="7"/>
      <c r="T1790" s="7"/>
      <c r="U1790" s="7"/>
      <c r="V1790" s="7"/>
      <c r="W1790" s="7"/>
    </row>
    <row r="1791" spans="1:23" ht="15.75" customHeight="1" x14ac:dyDescent="0.35">
      <c r="A1791" s="256">
        <f>A1789+1</f>
        <v>54</v>
      </c>
      <c r="B1791" s="256">
        <v>554</v>
      </c>
      <c r="C1791" s="259" t="s">
        <v>306</v>
      </c>
      <c r="D1791" s="262">
        <v>3545.5</v>
      </c>
      <c r="E1791" s="268" t="s">
        <v>75</v>
      </c>
      <c r="F1791" s="268">
        <v>5</v>
      </c>
      <c r="G1791" s="251" t="s">
        <v>77</v>
      </c>
      <c r="H1791" s="159" t="s">
        <v>73</v>
      </c>
      <c r="I1791" s="158">
        <f>I1792+I1793+I1794+I1795+I1796+I1797</f>
        <v>6755578</v>
      </c>
      <c r="J1791" s="158">
        <f>J1792+J1793+J1794+J1795+J1796+J1797</f>
        <v>1905.4</v>
      </c>
      <c r="K1791" s="158">
        <f>K1792+K1793+K1794+K1795+K1796+K1797</f>
        <v>3055</v>
      </c>
      <c r="L1791" s="7"/>
      <c r="M1791" s="7"/>
      <c r="N1791" s="7"/>
      <c r="O1791" s="7"/>
      <c r="P1791" s="7"/>
      <c r="Q1791" s="7"/>
      <c r="R1791" s="7"/>
      <c r="S1791" s="7"/>
      <c r="T1791" s="7"/>
      <c r="U1791" s="7"/>
      <c r="V1791" s="7"/>
      <c r="W1791" s="7"/>
    </row>
    <row r="1792" spans="1:23" x14ac:dyDescent="0.35">
      <c r="A1792" s="257"/>
      <c r="B1792" s="257"/>
      <c r="C1792" s="260"/>
      <c r="D1792" s="263"/>
      <c r="E1792" s="269"/>
      <c r="F1792" s="269"/>
      <c r="G1792" s="251"/>
      <c r="H1792" s="159" t="s">
        <v>74</v>
      </c>
      <c r="I1792" s="158">
        <f>7512914.5*0.7</f>
        <v>5259040.1500000004</v>
      </c>
      <c r="J1792" s="158">
        <f>I1792/D1791</f>
        <v>1483.3</v>
      </c>
      <c r="K1792" s="158">
        <v>2119</v>
      </c>
      <c r="L1792" s="7"/>
      <c r="M1792" s="7"/>
      <c r="N1792" s="7"/>
      <c r="O1792" s="7"/>
      <c r="P1792" s="7"/>
      <c r="Q1792" s="7"/>
      <c r="R1792" s="7"/>
      <c r="S1792" s="7"/>
      <c r="T1792" s="7"/>
      <c r="U1792" s="7"/>
      <c r="V1792" s="7"/>
      <c r="W1792" s="7"/>
    </row>
    <row r="1793" spans="1:23" x14ac:dyDescent="0.35">
      <c r="A1793" s="257"/>
      <c r="B1793" s="257"/>
      <c r="C1793" s="260"/>
      <c r="D1793" s="263"/>
      <c r="E1793" s="269"/>
      <c r="F1793" s="269"/>
      <c r="G1793" s="251"/>
      <c r="H1793" s="159" t="s">
        <v>76</v>
      </c>
      <c r="I1793" s="158">
        <f>D1791*K1793</f>
        <v>159547.5</v>
      </c>
      <c r="J1793" s="158">
        <f>I1793/D1791</f>
        <v>45</v>
      </c>
      <c r="K1793" s="158">
        <v>45</v>
      </c>
      <c r="L1793" s="7"/>
      <c r="M1793" s="7"/>
      <c r="N1793" s="7"/>
      <c r="O1793" s="7"/>
      <c r="P1793" s="7"/>
      <c r="Q1793" s="7"/>
      <c r="R1793" s="7"/>
      <c r="S1793" s="7"/>
      <c r="T1793" s="7"/>
      <c r="U1793" s="7"/>
      <c r="V1793" s="7"/>
      <c r="W1793" s="7"/>
    </row>
    <row r="1794" spans="1:23" x14ac:dyDescent="0.35">
      <c r="A1794" s="257"/>
      <c r="B1794" s="257"/>
      <c r="C1794" s="260"/>
      <c r="D1794" s="263"/>
      <c r="E1794" s="269"/>
      <c r="F1794" s="269"/>
      <c r="G1794" s="251" t="s">
        <v>78</v>
      </c>
      <c r="H1794" s="159" t="s">
        <v>74</v>
      </c>
      <c r="I1794" s="158">
        <f>588330.51*0.7</f>
        <v>411831.36</v>
      </c>
      <c r="J1794" s="158">
        <f>I1794/D1791</f>
        <v>116.16</v>
      </c>
      <c r="K1794" s="158">
        <v>463</v>
      </c>
      <c r="L1794" s="7"/>
      <c r="M1794" s="7"/>
      <c r="N1794" s="7"/>
      <c r="O1794" s="7"/>
      <c r="P1794" s="7"/>
      <c r="Q1794" s="7"/>
      <c r="R1794" s="7"/>
      <c r="S1794" s="7"/>
      <c r="T1794" s="7"/>
      <c r="U1794" s="7"/>
      <c r="V1794" s="7"/>
      <c r="W1794" s="7"/>
    </row>
    <row r="1795" spans="1:23" x14ac:dyDescent="0.35">
      <c r="A1795" s="257"/>
      <c r="B1795" s="257"/>
      <c r="C1795" s="260"/>
      <c r="D1795" s="263"/>
      <c r="E1795" s="269"/>
      <c r="F1795" s="269"/>
      <c r="G1795" s="251"/>
      <c r="H1795" s="159" t="s">
        <v>76</v>
      </c>
      <c r="I1795" s="158">
        <f>588330.51*0.0214</f>
        <v>12590.27</v>
      </c>
      <c r="J1795" s="158">
        <f>I1795/D1791</f>
        <v>3.55</v>
      </c>
      <c r="K1795" s="158">
        <v>10</v>
      </c>
      <c r="L1795" s="7"/>
      <c r="M1795" s="7"/>
      <c r="N1795" s="7"/>
      <c r="O1795" s="7"/>
      <c r="P1795" s="7"/>
      <c r="Q1795" s="7"/>
      <c r="R1795" s="7"/>
      <c r="S1795" s="7"/>
      <c r="T1795" s="7"/>
      <c r="U1795" s="7"/>
      <c r="V1795" s="7"/>
      <c r="W1795" s="7"/>
    </row>
    <row r="1796" spans="1:23" x14ac:dyDescent="0.35">
      <c r="A1796" s="257"/>
      <c r="B1796" s="257"/>
      <c r="C1796" s="260"/>
      <c r="D1796" s="263"/>
      <c r="E1796" s="269"/>
      <c r="F1796" s="269"/>
      <c r="G1796" s="251" t="s">
        <v>79</v>
      </c>
      <c r="H1796" s="159" t="s">
        <v>74</v>
      </c>
      <c r="I1796" s="158">
        <f>1264996.84*0.7</f>
        <v>885497.79</v>
      </c>
      <c r="J1796" s="158">
        <f>I1796/D1791</f>
        <v>249.75</v>
      </c>
      <c r="K1796" s="158">
        <v>409</v>
      </c>
      <c r="L1796" s="7"/>
      <c r="M1796" s="7"/>
      <c r="N1796" s="7"/>
      <c r="O1796" s="7"/>
      <c r="P1796" s="7"/>
      <c r="Q1796" s="7"/>
      <c r="R1796" s="7"/>
      <c r="S1796" s="7"/>
      <c r="T1796" s="7"/>
      <c r="U1796" s="7"/>
      <c r="V1796" s="7"/>
      <c r="W1796" s="7"/>
    </row>
    <row r="1797" spans="1:23" x14ac:dyDescent="0.35">
      <c r="A1797" s="258"/>
      <c r="B1797" s="258"/>
      <c r="C1797" s="261"/>
      <c r="D1797" s="264"/>
      <c r="E1797" s="273"/>
      <c r="F1797" s="273"/>
      <c r="G1797" s="251"/>
      <c r="H1797" s="159" t="s">
        <v>76</v>
      </c>
      <c r="I1797" s="158">
        <f>1264996.84*0.0214</f>
        <v>27070.93</v>
      </c>
      <c r="J1797" s="158">
        <f>I1797/D1791</f>
        <v>7.64</v>
      </c>
      <c r="K1797" s="158">
        <v>9</v>
      </c>
      <c r="L1797" s="7"/>
      <c r="M1797" s="7"/>
      <c r="N1797" s="7"/>
      <c r="O1797" s="7"/>
      <c r="P1797" s="7"/>
      <c r="Q1797" s="7"/>
      <c r="R1797" s="7"/>
      <c r="S1797" s="7"/>
      <c r="T1797" s="7"/>
      <c r="U1797" s="7"/>
      <c r="V1797" s="7"/>
      <c r="W1797" s="7"/>
    </row>
    <row r="1798" spans="1:23" ht="15.75" customHeight="1" x14ac:dyDescent="0.35">
      <c r="A1798" s="256">
        <f>A1791+1</f>
        <v>55</v>
      </c>
      <c r="B1798" s="256">
        <v>357</v>
      </c>
      <c r="C1798" s="259" t="s">
        <v>562</v>
      </c>
      <c r="D1798" s="262">
        <v>2588.5700000000002</v>
      </c>
      <c r="E1798" s="262" t="s">
        <v>75</v>
      </c>
      <c r="F1798" s="265">
        <v>4</v>
      </c>
      <c r="G1798" s="149"/>
      <c r="H1798" s="159" t="s">
        <v>73</v>
      </c>
      <c r="I1798" s="158">
        <f>I1799+I1800</f>
        <v>538422.56000000006</v>
      </c>
      <c r="J1798" s="158">
        <f>J1799+J1800</f>
        <v>208</v>
      </c>
      <c r="K1798" s="158">
        <f>K1799+K1800</f>
        <v>208</v>
      </c>
      <c r="L1798" s="7"/>
      <c r="M1798" s="7"/>
      <c r="N1798" s="7"/>
      <c r="O1798" s="7"/>
      <c r="P1798" s="7"/>
      <c r="Q1798" s="7"/>
      <c r="R1798" s="7"/>
      <c r="S1798" s="7"/>
      <c r="T1798" s="7"/>
      <c r="U1798" s="7"/>
      <c r="V1798" s="7"/>
      <c r="W1798" s="7"/>
    </row>
    <row r="1799" spans="1:23" ht="46.5" x14ac:dyDescent="0.35">
      <c r="A1799" s="257"/>
      <c r="B1799" s="257"/>
      <c r="C1799" s="260"/>
      <c r="D1799" s="263"/>
      <c r="E1799" s="263"/>
      <c r="F1799" s="266"/>
      <c r="G1799" s="120" t="s">
        <v>72</v>
      </c>
      <c r="H1799" s="159" t="s">
        <v>705</v>
      </c>
      <c r="I1799" s="158">
        <f>D1798*K1799</f>
        <v>424525.48</v>
      </c>
      <c r="J1799" s="158">
        <f>I1799/D1798</f>
        <v>164</v>
      </c>
      <c r="K1799" s="158">
        <f>151+13</f>
        <v>164</v>
      </c>
      <c r="L1799" s="7"/>
      <c r="M1799" s="7"/>
      <c r="N1799" s="7"/>
      <c r="O1799" s="7"/>
      <c r="P1799" s="7"/>
      <c r="Q1799" s="7"/>
      <c r="R1799" s="7"/>
      <c r="S1799" s="7"/>
      <c r="T1799" s="7"/>
      <c r="U1799" s="7"/>
      <c r="V1799" s="7"/>
      <c r="W1799" s="7"/>
    </row>
    <row r="1800" spans="1:23" ht="46.5" x14ac:dyDescent="0.35">
      <c r="A1800" s="257"/>
      <c r="B1800" s="257"/>
      <c r="C1800" s="260"/>
      <c r="D1800" s="263"/>
      <c r="E1800" s="263"/>
      <c r="F1800" s="266"/>
      <c r="G1800" s="120" t="s">
        <v>85</v>
      </c>
      <c r="H1800" s="159" t="s">
        <v>705</v>
      </c>
      <c r="I1800" s="158">
        <f>D1798*K1800</f>
        <v>113897.08</v>
      </c>
      <c r="J1800" s="158">
        <f>I1800/D1798</f>
        <v>44</v>
      </c>
      <c r="K1800" s="158">
        <f>41+3</f>
        <v>44</v>
      </c>
      <c r="L1800" s="7"/>
      <c r="M1800" s="7"/>
      <c r="N1800" s="7"/>
      <c r="O1800" s="7"/>
      <c r="P1800" s="7"/>
      <c r="Q1800" s="7"/>
      <c r="R1800" s="7"/>
      <c r="S1800" s="7"/>
      <c r="T1800" s="7"/>
      <c r="U1800" s="7"/>
      <c r="V1800" s="7"/>
      <c r="W1800" s="7"/>
    </row>
    <row r="1801" spans="1:23" ht="15.75" customHeight="1" x14ac:dyDescent="0.35">
      <c r="A1801" s="256">
        <f>A1798+1</f>
        <v>56</v>
      </c>
      <c r="B1801" s="256">
        <v>812</v>
      </c>
      <c r="C1801" s="259" t="s">
        <v>748</v>
      </c>
      <c r="D1801" s="262">
        <v>3238.46</v>
      </c>
      <c r="E1801" s="268" t="s">
        <v>75</v>
      </c>
      <c r="F1801" s="268">
        <v>5</v>
      </c>
      <c r="G1801" s="144"/>
      <c r="H1801" s="159" t="s">
        <v>73</v>
      </c>
      <c r="I1801" s="158">
        <f>I1802+I1803+I1804</f>
        <v>420999.8</v>
      </c>
      <c r="J1801" s="158">
        <f>J1802+J1803+J1804</f>
        <v>130</v>
      </c>
      <c r="K1801" s="158">
        <f>K1802+K1803+K1804</f>
        <v>130</v>
      </c>
      <c r="L1801" s="7"/>
      <c r="M1801" s="7"/>
      <c r="N1801" s="7"/>
      <c r="O1801" s="7"/>
      <c r="P1801" s="7"/>
      <c r="Q1801" s="7"/>
      <c r="R1801" s="7"/>
      <c r="S1801" s="7"/>
      <c r="T1801" s="7"/>
      <c r="U1801" s="7"/>
      <c r="V1801" s="7"/>
      <c r="W1801" s="7"/>
    </row>
    <row r="1802" spans="1:23" ht="31" x14ac:dyDescent="0.35">
      <c r="A1802" s="257"/>
      <c r="B1802" s="257"/>
      <c r="C1802" s="260"/>
      <c r="D1802" s="263"/>
      <c r="E1802" s="269"/>
      <c r="F1802" s="269"/>
      <c r="G1802" s="120" t="s">
        <v>77</v>
      </c>
      <c r="H1802" s="159" t="s">
        <v>666</v>
      </c>
      <c r="I1802" s="158">
        <f>D1801*K1802</f>
        <v>297938.32</v>
      </c>
      <c r="J1802" s="158">
        <f>I1802/D1801</f>
        <v>92</v>
      </c>
      <c r="K1802" s="158">
        <f>85+7</f>
        <v>92</v>
      </c>
      <c r="L1802" s="7"/>
      <c r="M1802" s="7"/>
      <c r="N1802" s="7"/>
      <c r="O1802" s="7"/>
      <c r="P1802" s="7"/>
      <c r="Q1802" s="7"/>
      <c r="R1802" s="7"/>
      <c r="S1802" s="7"/>
      <c r="T1802" s="7"/>
      <c r="U1802" s="7"/>
      <c r="V1802" s="7"/>
      <c r="W1802" s="7"/>
    </row>
    <row r="1803" spans="1:23" ht="46.5" x14ac:dyDescent="0.35">
      <c r="A1803" s="257"/>
      <c r="B1803" s="257"/>
      <c r="C1803" s="260"/>
      <c r="D1803" s="263"/>
      <c r="E1803" s="269"/>
      <c r="F1803" s="269"/>
      <c r="G1803" s="120" t="s">
        <v>78</v>
      </c>
      <c r="H1803" s="159" t="s">
        <v>666</v>
      </c>
      <c r="I1803" s="158">
        <f>D1801*K1803</f>
        <v>68007.66</v>
      </c>
      <c r="J1803" s="158">
        <f>I1803/D1801</f>
        <v>21</v>
      </c>
      <c r="K1803" s="158">
        <f>19+2</f>
        <v>21</v>
      </c>
      <c r="L1803" s="7"/>
      <c r="M1803" s="7"/>
      <c r="N1803" s="7"/>
      <c r="O1803" s="7"/>
      <c r="P1803" s="7"/>
      <c r="Q1803" s="7"/>
      <c r="R1803" s="7"/>
      <c r="S1803" s="7"/>
      <c r="T1803" s="7"/>
      <c r="U1803" s="7"/>
      <c r="V1803" s="7"/>
      <c r="W1803" s="7"/>
    </row>
    <row r="1804" spans="1:23" s="169" customFormat="1" ht="36" customHeight="1" x14ac:dyDescent="0.35">
      <c r="A1804" s="257"/>
      <c r="B1804" s="257"/>
      <c r="C1804" s="260"/>
      <c r="D1804" s="263"/>
      <c r="E1804" s="269"/>
      <c r="F1804" s="269"/>
      <c r="G1804" s="180" t="s">
        <v>79</v>
      </c>
      <c r="H1804" s="159" t="s">
        <v>666</v>
      </c>
      <c r="I1804" s="158">
        <f>D1801*K1804</f>
        <v>55053.82</v>
      </c>
      <c r="J1804" s="158">
        <f>I1804/D1801</f>
        <v>17</v>
      </c>
      <c r="K1804" s="158">
        <f>16+1</f>
        <v>17</v>
      </c>
    </row>
    <row r="1805" spans="1:23" x14ac:dyDescent="0.35">
      <c r="A1805" s="251">
        <f>A1801+1</f>
        <v>57</v>
      </c>
      <c r="B1805" s="251">
        <v>576</v>
      </c>
      <c r="C1805" s="252" t="s">
        <v>308</v>
      </c>
      <c r="D1805" s="253">
        <v>2984.6</v>
      </c>
      <c r="E1805" s="254" t="s">
        <v>75</v>
      </c>
      <c r="F1805" s="254">
        <v>5</v>
      </c>
      <c r="G1805" s="251" t="s">
        <v>72</v>
      </c>
      <c r="H1805" s="159" t="s">
        <v>73</v>
      </c>
      <c r="I1805" s="158">
        <f>I1806+I1807</f>
        <v>5477861.7800000003</v>
      </c>
      <c r="J1805" s="158">
        <f>J1806+J1807</f>
        <v>1835.38</v>
      </c>
      <c r="K1805" s="158">
        <f>K1806+K1807</f>
        <v>2831</v>
      </c>
      <c r="L1805" s="7"/>
      <c r="M1805" s="7"/>
      <c r="N1805" s="7"/>
      <c r="O1805" s="7"/>
      <c r="P1805" s="7"/>
      <c r="Q1805" s="7"/>
      <c r="R1805" s="7"/>
      <c r="S1805" s="7"/>
      <c r="T1805" s="7"/>
      <c r="U1805" s="7"/>
      <c r="V1805" s="7"/>
      <c r="W1805" s="7"/>
    </row>
    <row r="1806" spans="1:23" x14ac:dyDescent="0.35">
      <c r="A1806" s="251">
        <v>75</v>
      </c>
      <c r="B1806" s="251"/>
      <c r="C1806" s="252"/>
      <c r="D1806" s="253"/>
      <c r="E1806" s="254"/>
      <c r="F1806" s="254"/>
      <c r="G1806" s="251"/>
      <c r="H1806" s="159" t="s">
        <v>74</v>
      </c>
      <c r="I1806" s="158">
        <f>7593376.45*0.7</f>
        <v>5315363.5199999996</v>
      </c>
      <c r="J1806" s="158">
        <f>I1806/D1805</f>
        <v>1780.93</v>
      </c>
      <c r="K1806" s="158">
        <v>2772</v>
      </c>
      <c r="L1806" s="7"/>
      <c r="M1806" s="7"/>
      <c r="N1806" s="7"/>
      <c r="O1806" s="7"/>
      <c r="P1806" s="7"/>
      <c r="Q1806" s="7"/>
      <c r="R1806" s="7"/>
      <c r="S1806" s="7"/>
      <c r="T1806" s="7"/>
      <c r="U1806" s="7"/>
      <c r="V1806" s="7"/>
      <c r="W1806" s="7"/>
    </row>
    <row r="1807" spans="1:23" x14ac:dyDescent="0.35">
      <c r="A1807" s="251">
        <v>76</v>
      </c>
      <c r="B1807" s="251"/>
      <c r="C1807" s="252"/>
      <c r="D1807" s="253"/>
      <c r="E1807" s="254"/>
      <c r="F1807" s="254"/>
      <c r="G1807" s="251"/>
      <c r="H1807" s="159" t="s">
        <v>76</v>
      </c>
      <c r="I1807" s="158">
        <f>7593376.45*0.0214</f>
        <v>162498.26</v>
      </c>
      <c r="J1807" s="158">
        <f>I1807/D1805</f>
        <v>54.45</v>
      </c>
      <c r="K1807" s="158">
        <v>59</v>
      </c>
      <c r="L1807" s="7"/>
      <c r="M1807" s="7"/>
      <c r="N1807" s="7"/>
      <c r="O1807" s="7"/>
      <c r="P1807" s="7"/>
      <c r="Q1807" s="7"/>
      <c r="R1807" s="7"/>
      <c r="S1807" s="7"/>
      <c r="T1807" s="7"/>
      <c r="U1807" s="7"/>
      <c r="V1807" s="7"/>
      <c r="W1807" s="7"/>
    </row>
    <row r="1808" spans="1:23" ht="15.75" customHeight="1" x14ac:dyDescent="0.35">
      <c r="A1808" s="256">
        <f>A1805+1</f>
        <v>58</v>
      </c>
      <c r="B1808" s="256">
        <v>572</v>
      </c>
      <c r="C1808" s="259" t="s">
        <v>563</v>
      </c>
      <c r="D1808" s="262">
        <v>4481.4799999999996</v>
      </c>
      <c r="E1808" s="268" t="s">
        <v>75</v>
      </c>
      <c r="F1808" s="268">
        <v>5</v>
      </c>
      <c r="G1808" s="144"/>
      <c r="H1808" s="159" t="s">
        <v>73</v>
      </c>
      <c r="I1808" s="158">
        <f>I1809+I1810+I1811+I1812</f>
        <v>694629.4</v>
      </c>
      <c r="J1808" s="158">
        <f>J1809+J1810+J1811+J1812</f>
        <v>155</v>
      </c>
      <c r="K1808" s="158">
        <f>K1809+K1810+K1811+K1812</f>
        <v>155</v>
      </c>
      <c r="L1808" s="7"/>
      <c r="M1808" s="7"/>
      <c r="N1808" s="7"/>
      <c r="O1808" s="7"/>
      <c r="P1808" s="7"/>
      <c r="Q1808" s="7"/>
      <c r="R1808" s="7"/>
      <c r="S1808" s="7"/>
      <c r="T1808" s="7"/>
      <c r="U1808" s="7"/>
      <c r="V1808" s="7"/>
      <c r="W1808" s="7"/>
    </row>
    <row r="1809" spans="1:23" ht="31" x14ac:dyDescent="0.35">
      <c r="A1809" s="257"/>
      <c r="B1809" s="257"/>
      <c r="C1809" s="260"/>
      <c r="D1809" s="263"/>
      <c r="E1809" s="269"/>
      <c r="F1809" s="269"/>
      <c r="G1809" s="120" t="s">
        <v>87</v>
      </c>
      <c r="H1809" s="159" t="s">
        <v>666</v>
      </c>
      <c r="I1809" s="158">
        <f>D1808*K1809</f>
        <v>112037</v>
      </c>
      <c r="J1809" s="158">
        <f>I1809/D1808</f>
        <v>25</v>
      </c>
      <c r="K1809" s="158">
        <f>23+2</f>
        <v>25</v>
      </c>
      <c r="L1809" s="7"/>
      <c r="M1809" s="7"/>
      <c r="N1809" s="7"/>
      <c r="O1809" s="7"/>
      <c r="P1809" s="7"/>
      <c r="Q1809" s="7"/>
      <c r="R1809" s="7"/>
      <c r="S1809" s="7"/>
      <c r="T1809" s="7"/>
      <c r="U1809" s="7"/>
      <c r="V1809" s="7"/>
      <c r="W1809" s="7"/>
    </row>
    <row r="1810" spans="1:23" ht="31" x14ac:dyDescent="0.35">
      <c r="A1810" s="257"/>
      <c r="B1810" s="257"/>
      <c r="C1810" s="260"/>
      <c r="D1810" s="263"/>
      <c r="E1810" s="269"/>
      <c r="F1810" s="269"/>
      <c r="G1810" s="120" t="s">
        <v>77</v>
      </c>
      <c r="H1810" s="159" t="s">
        <v>666</v>
      </c>
      <c r="I1810" s="158">
        <f>D1808*K1810</f>
        <v>412296.16</v>
      </c>
      <c r="J1810" s="158">
        <f>I1810/D1808</f>
        <v>92</v>
      </c>
      <c r="K1810" s="158">
        <f>85+7</f>
        <v>92</v>
      </c>
      <c r="L1810" s="7"/>
      <c r="M1810" s="7"/>
      <c r="N1810" s="7"/>
      <c r="O1810" s="7"/>
      <c r="P1810" s="7"/>
      <c r="Q1810" s="7"/>
      <c r="R1810" s="7"/>
      <c r="S1810" s="7"/>
      <c r="T1810" s="7"/>
      <c r="U1810" s="7"/>
      <c r="V1810" s="7"/>
      <c r="W1810" s="7"/>
    </row>
    <row r="1811" spans="1:23" ht="46.5" x14ac:dyDescent="0.35">
      <c r="A1811" s="257"/>
      <c r="B1811" s="257"/>
      <c r="C1811" s="260"/>
      <c r="D1811" s="263"/>
      <c r="E1811" s="269"/>
      <c r="F1811" s="269"/>
      <c r="G1811" s="120" t="s">
        <v>78</v>
      </c>
      <c r="H1811" s="159" t="s">
        <v>666</v>
      </c>
      <c r="I1811" s="158">
        <f>D1808*K1811</f>
        <v>94111.08</v>
      </c>
      <c r="J1811" s="158">
        <f>I1811/D1808</f>
        <v>21</v>
      </c>
      <c r="K1811" s="158">
        <f>19+2</f>
        <v>21</v>
      </c>
      <c r="L1811" s="7"/>
      <c r="M1811" s="7"/>
      <c r="N1811" s="7"/>
      <c r="O1811" s="7"/>
      <c r="P1811" s="7"/>
      <c r="Q1811" s="7"/>
      <c r="R1811" s="7"/>
      <c r="S1811" s="7"/>
      <c r="T1811" s="7"/>
      <c r="U1811" s="7"/>
      <c r="V1811" s="7"/>
      <c r="W1811" s="7"/>
    </row>
    <row r="1812" spans="1:23" ht="35.25" customHeight="1" x14ac:dyDescent="0.35">
      <c r="A1812" s="257"/>
      <c r="B1812" s="257"/>
      <c r="C1812" s="260"/>
      <c r="D1812" s="263"/>
      <c r="E1812" s="269"/>
      <c r="F1812" s="269"/>
      <c r="G1812" s="120" t="s">
        <v>79</v>
      </c>
      <c r="H1812" s="159" t="s">
        <v>666</v>
      </c>
      <c r="I1812" s="158">
        <f>D1808*K1812</f>
        <v>76185.16</v>
      </c>
      <c r="J1812" s="158">
        <f>I1812/D1808</f>
        <v>17</v>
      </c>
      <c r="K1812" s="158">
        <f>16+1</f>
        <v>17</v>
      </c>
      <c r="L1812" s="7"/>
      <c r="M1812" s="7"/>
      <c r="N1812" s="7"/>
      <c r="O1812" s="7"/>
      <c r="P1812" s="7"/>
      <c r="Q1812" s="7"/>
      <c r="R1812" s="7"/>
      <c r="S1812" s="7"/>
      <c r="T1812" s="7"/>
      <c r="U1812" s="7"/>
      <c r="V1812" s="7"/>
      <c r="W1812" s="7"/>
    </row>
    <row r="1813" spans="1:23" x14ac:dyDescent="0.35">
      <c r="A1813" s="251">
        <f>A1808+1</f>
        <v>59</v>
      </c>
      <c r="B1813" s="251">
        <v>587</v>
      </c>
      <c r="C1813" s="252" t="s">
        <v>309</v>
      </c>
      <c r="D1813" s="253">
        <v>1802</v>
      </c>
      <c r="E1813" s="254" t="s">
        <v>75</v>
      </c>
      <c r="F1813" s="254">
        <v>5</v>
      </c>
      <c r="G1813" s="251" t="s">
        <v>72</v>
      </c>
      <c r="H1813" s="159" t="s">
        <v>73</v>
      </c>
      <c r="I1813" s="158">
        <f>I1814+I1815</f>
        <v>3602918.8</v>
      </c>
      <c r="J1813" s="158">
        <f>J1814+J1815</f>
        <v>1999.4</v>
      </c>
      <c r="K1813" s="158">
        <f>K1814+K1815</f>
        <v>2831</v>
      </c>
      <c r="L1813" s="7"/>
      <c r="M1813" s="7"/>
      <c r="N1813" s="7"/>
      <c r="O1813" s="7"/>
      <c r="P1813" s="7"/>
      <c r="Q1813" s="7"/>
      <c r="R1813" s="7"/>
      <c r="S1813" s="7"/>
      <c r="T1813" s="7"/>
      <c r="U1813" s="7"/>
      <c r="V1813" s="7"/>
      <c r="W1813" s="7"/>
    </row>
    <row r="1814" spans="1:23" x14ac:dyDescent="0.35">
      <c r="A1814" s="251">
        <v>75</v>
      </c>
      <c r="B1814" s="251"/>
      <c r="C1814" s="252"/>
      <c r="D1814" s="253"/>
      <c r="E1814" s="254"/>
      <c r="F1814" s="254"/>
      <c r="G1814" s="251"/>
      <c r="H1814" s="159" t="s">
        <v>74</v>
      </c>
      <c r="I1814" s="158">
        <f>K1814*D1813*0.7</f>
        <v>3496600.8</v>
      </c>
      <c r="J1814" s="158">
        <f>I1814/D1813</f>
        <v>1940.4</v>
      </c>
      <c r="K1814" s="158">
        <v>2772</v>
      </c>
      <c r="L1814" s="7"/>
      <c r="M1814" s="7"/>
      <c r="N1814" s="7"/>
      <c r="O1814" s="7"/>
      <c r="P1814" s="7"/>
      <c r="Q1814" s="7"/>
      <c r="R1814" s="7"/>
      <c r="S1814" s="7"/>
      <c r="T1814" s="7"/>
      <c r="U1814" s="7"/>
      <c r="V1814" s="7"/>
      <c r="W1814" s="7"/>
    </row>
    <row r="1815" spans="1:23" x14ac:dyDescent="0.35">
      <c r="A1815" s="251">
        <v>76</v>
      </c>
      <c r="B1815" s="251"/>
      <c r="C1815" s="252"/>
      <c r="D1815" s="253"/>
      <c r="E1815" s="254"/>
      <c r="F1815" s="254"/>
      <c r="G1815" s="251"/>
      <c r="H1815" s="159" t="s">
        <v>76</v>
      </c>
      <c r="I1815" s="158">
        <f>K1815*D1813</f>
        <v>106318</v>
      </c>
      <c r="J1815" s="158">
        <f>I1815/D1813</f>
        <v>59</v>
      </c>
      <c r="K1815" s="158">
        <v>59</v>
      </c>
      <c r="L1815" s="7"/>
      <c r="M1815" s="7"/>
      <c r="N1815" s="7"/>
      <c r="O1815" s="7"/>
      <c r="P1815" s="7"/>
      <c r="Q1815" s="7"/>
      <c r="R1815" s="7"/>
      <c r="S1815" s="7"/>
      <c r="T1815" s="7"/>
      <c r="U1815" s="7"/>
      <c r="V1815" s="7"/>
      <c r="W1815" s="7"/>
    </row>
    <row r="1816" spans="1:23" ht="15.75" customHeight="1" x14ac:dyDescent="0.35">
      <c r="A1816" s="251">
        <f>A1813+1</f>
        <v>60</v>
      </c>
      <c r="B1816" s="251">
        <v>892</v>
      </c>
      <c r="C1816" s="252" t="s">
        <v>749</v>
      </c>
      <c r="D1816" s="253">
        <v>5909.15</v>
      </c>
      <c r="E1816" s="254" t="s">
        <v>75</v>
      </c>
      <c r="F1816" s="254">
        <v>6</v>
      </c>
      <c r="G1816" s="251" t="s">
        <v>72</v>
      </c>
      <c r="H1816" s="159" t="s">
        <v>73</v>
      </c>
      <c r="I1816" s="158">
        <f>I1817</f>
        <v>862735.9</v>
      </c>
      <c r="J1816" s="158">
        <f>J1817</f>
        <v>146</v>
      </c>
      <c r="K1816" s="158">
        <f>K1817</f>
        <v>146</v>
      </c>
      <c r="L1816" s="7"/>
      <c r="M1816" s="7"/>
      <c r="N1816" s="7"/>
      <c r="O1816" s="7"/>
      <c r="P1816" s="7"/>
      <c r="Q1816" s="7"/>
      <c r="R1816" s="7"/>
      <c r="S1816" s="7"/>
      <c r="T1816" s="7"/>
      <c r="U1816" s="7"/>
      <c r="V1816" s="7"/>
      <c r="W1816" s="7"/>
    </row>
    <row r="1817" spans="1:23" ht="46.5" x14ac:dyDescent="0.35">
      <c r="A1817" s="251"/>
      <c r="B1817" s="251"/>
      <c r="C1817" s="252"/>
      <c r="D1817" s="253"/>
      <c r="E1817" s="254"/>
      <c r="F1817" s="254"/>
      <c r="G1817" s="251"/>
      <c r="H1817" s="159" t="s">
        <v>796</v>
      </c>
      <c r="I1817" s="158">
        <f>D1816*K1817</f>
        <v>862735.9</v>
      </c>
      <c r="J1817" s="158">
        <f>I1817/D1816</f>
        <v>146</v>
      </c>
      <c r="K1817" s="158">
        <f>135+11</f>
        <v>146</v>
      </c>
      <c r="L1817" s="7"/>
      <c r="M1817" s="7"/>
      <c r="N1817" s="7"/>
      <c r="O1817" s="7"/>
      <c r="P1817" s="7"/>
      <c r="Q1817" s="7"/>
      <c r="R1817" s="7"/>
      <c r="S1817" s="7"/>
      <c r="T1817" s="7"/>
      <c r="U1817" s="7"/>
      <c r="V1817" s="7"/>
      <c r="W1817" s="7"/>
    </row>
    <row r="1818" spans="1:23" ht="15.75" customHeight="1" x14ac:dyDescent="0.35">
      <c r="A1818" s="251">
        <f>A1816+1</f>
        <v>61</v>
      </c>
      <c r="B1818" s="251">
        <v>828</v>
      </c>
      <c r="C1818" s="252" t="s">
        <v>750</v>
      </c>
      <c r="D1818" s="253">
        <v>11340.2</v>
      </c>
      <c r="E1818" s="254" t="s">
        <v>71</v>
      </c>
      <c r="F1818" s="254">
        <v>10</v>
      </c>
      <c r="G1818" s="251" t="s">
        <v>72</v>
      </c>
      <c r="H1818" s="159" t="s">
        <v>73</v>
      </c>
      <c r="I1818" s="158">
        <f>I1819</f>
        <v>1859792.8</v>
      </c>
      <c r="J1818" s="158">
        <f>J1819</f>
        <v>164</v>
      </c>
      <c r="K1818" s="158">
        <f>K1819</f>
        <v>164</v>
      </c>
      <c r="L1818" s="7"/>
      <c r="M1818" s="7"/>
      <c r="N1818" s="7"/>
      <c r="O1818" s="7"/>
      <c r="P1818" s="7"/>
      <c r="Q1818" s="7"/>
      <c r="R1818" s="7"/>
      <c r="S1818" s="7"/>
      <c r="T1818" s="7"/>
      <c r="U1818" s="7"/>
      <c r="V1818" s="7"/>
      <c r="W1818" s="7"/>
    </row>
    <row r="1819" spans="1:23" ht="46.5" x14ac:dyDescent="0.35">
      <c r="A1819" s="251"/>
      <c r="B1819" s="251"/>
      <c r="C1819" s="252"/>
      <c r="D1819" s="253"/>
      <c r="E1819" s="254"/>
      <c r="F1819" s="254"/>
      <c r="G1819" s="251"/>
      <c r="H1819" s="159" t="s">
        <v>705</v>
      </c>
      <c r="I1819" s="158">
        <f>D1818*K1819</f>
        <v>1859792.8</v>
      </c>
      <c r="J1819" s="158">
        <f>I1819/D1818</f>
        <v>164</v>
      </c>
      <c r="K1819" s="158">
        <f>151+13</f>
        <v>164</v>
      </c>
      <c r="L1819" s="7"/>
      <c r="M1819" s="7"/>
      <c r="N1819" s="7"/>
      <c r="O1819" s="7"/>
      <c r="P1819" s="7"/>
      <c r="Q1819" s="7"/>
      <c r="R1819" s="7"/>
      <c r="S1819" s="7"/>
      <c r="T1819" s="7"/>
      <c r="U1819" s="7"/>
      <c r="V1819" s="7"/>
      <c r="W1819" s="7"/>
    </row>
    <row r="1820" spans="1:23" ht="15.75" customHeight="1" x14ac:dyDescent="0.35">
      <c r="A1820" s="256">
        <f>A1818+1</f>
        <v>62</v>
      </c>
      <c r="B1820" s="256">
        <v>283</v>
      </c>
      <c r="C1820" s="259" t="s">
        <v>101</v>
      </c>
      <c r="D1820" s="262">
        <v>2005.9</v>
      </c>
      <c r="E1820" s="268" t="s">
        <v>75</v>
      </c>
      <c r="F1820" s="268">
        <v>3</v>
      </c>
      <c r="G1820" s="144"/>
      <c r="H1820" s="159" t="s">
        <v>73</v>
      </c>
      <c r="I1820" s="158">
        <f>I1821+I1822+I1823</f>
        <v>651917.5</v>
      </c>
      <c r="J1820" s="158">
        <f>J1821+J1822+J1823</f>
        <v>325</v>
      </c>
      <c r="K1820" s="158">
        <f>K1821+K1822+K1823</f>
        <v>325</v>
      </c>
      <c r="L1820" s="7"/>
      <c r="M1820" s="7"/>
      <c r="N1820" s="7"/>
      <c r="O1820" s="7"/>
      <c r="P1820" s="7"/>
      <c r="Q1820" s="7"/>
      <c r="R1820" s="7"/>
      <c r="S1820" s="7"/>
      <c r="T1820" s="7"/>
      <c r="U1820" s="7"/>
      <c r="V1820" s="7"/>
      <c r="W1820" s="7"/>
    </row>
    <row r="1821" spans="1:23" ht="46.5" x14ac:dyDescent="0.35">
      <c r="A1821" s="257"/>
      <c r="B1821" s="257"/>
      <c r="C1821" s="260"/>
      <c r="D1821" s="263"/>
      <c r="E1821" s="269"/>
      <c r="F1821" s="269"/>
      <c r="G1821" s="120" t="s">
        <v>85</v>
      </c>
      <c r="H1821" s="159" t="s">
        <v>705</v>
      </c>
      <c r="I1821" s="158">
        <f>D1820*K1821</f>
        <v>88259.6</v>
      </c>
      <c r="J1821" s="158">
        <f>I1821/D1820</f>
        <v>44</v>
      </c>
      <c r="K1821" s="158">
        <f>41+3</f>
        <v>44</v>
      </c>
      <c r="L1821" s="7"/>
      <c r="M1821" s="7"/>
      <c r="N1821" s="7"/>
      <c r="O1821" s="7"/>
      <c r="P1821" s="7"/>
      <c r="Q1821" s="7"/>
      <c r="R1821" s="7"/>
      <c r="S1821" s="7"/>
      <c r="T1821" s="7"/>
      <c r="U1821" s="7"/>
      <c r="V1821" s="7"/>
      <c r="W1821" s="7"/>
    </row>
    <row r="1822" spans="1:23" ht="46.5" x14ac:dyDescent="0.35">
      <c r="A1822" s="257"/>
      <c r="B1822" s="257"/>
      <c r="C1822" s="260"/>
      <c r="D1822" s="263"/>
      <c r="E1822" s="269"/>
      <c r="F1822" s="269"/>
      <c r="G1822" s="120" t="s">
        <v>72</v>
      </c>
      <c r="H1822" s="159" t="s">
        <v>705</v>
      </c>
      <c r="I1822" s="158">
        <f>D1820*K1822</f>
        <v>328967.59999999998</v>
      </c>
      <c r="J1822" s="158">
        <f>I1822/D1820</f>
        <v>164</v>
      </c>
      <c r="K1822" s="158">
        <f>151+13</f>
        <v>164</v>
      </c>
      <c r="L1822" s="7"/>
      <c r="M1822" s="7"/>
      <c r="N1822" s="7"/>
      <c r="O1822" s="7"/>
      <c r="P1822" s="7"/>
      <c r="Q1822" s="7"/>
      <c r="R1822" s="7"/>
      <c r="S1822" s="7"/>
      <c r="T1822" s="7"/>
      <c r="U1822" s="7"/>
      <c r="V1822" s="7"/>
      <c r="W1822" s="7"/>
    </row>
    <row r="1823" spans="1:23" ht="31" x14ac:dyDescent="0.35">
      <c r="A1823" s="257"/>
      <c r="B1823" s="257"/>
      <c r="C1823" s="260"/>
      <c r="D1823" s="263"/>
      <c r="E1823" s="269"/>
      <c r="F1823" s="269"/>
      <c r="G1823" s="120" t="s">
        <v>77</v>
      </c>
      <c r="H1823" s="159" t="s">
        <v>666</v>
      </c>
      <c r="I1823" s="158">
        <f>D1820*K1823</f>
        <v>234690.3</v>
      </c>
      <c r="J1823" s="158">
        <f>I1823/D1820</f>
        <v>117</v>
      </c>
      <c r="K1823" s="158">
        <f>108+9</f>
        <v>117</v>
      </c>
      <c r="L1823" s="7"/>
      <c r="M1823" s="7"/>
      <c r="N1823" s="7"/>
      <c r="O1823" s="7"/>
      <c r="P1823" s="7"/>
      <c r="Q1823" s="7"/>
      <c r="R1823" s="7"/>
      <c r="S1823" s="7"/>
      <c r="T1823" s="7"/>
      <c r="U1823" s="7"/>
      <c r="V1823" s="7"/>
      <c r="W1823" s="7"/>
    </row>
    <row r="1824" spans="1:23" ht="15.75" customHeight="1" x14ac:dyDescent="0.35">
      <c r="A1824" s="256">
        <f>A1820+1</f>
        <v>63</v>
      </c>
      <c r="B1824" s="256">
        <v>599</v>
      </c>
      <c r="C1824" s="259" t="s">
        <v>316</v>
      </c>
      <c r="D1824" s="262">
        <v>3148.6</v>
      </c>
      <c r="E1824" s="262" t="s">
        <v>75</v>
      </c>
      <c r="F1824" s="265">
        <v>5</v>
      </c>
      <c r="G1824" s="149"/>
      <c r="H1824" s="159" t="s">
        <v>73</v>
      </c>
      <c r="I1824" s="158">
        <f>I1825+I1826</f>
        <v>180099.91</v>
      </c>
      <c r="J1824" s="158">
        <f>J1825+J1826</f>
        <v>57.2</v>
      </c>
      <c r="K1824" s="158">
        <f>K1825+K1826</f>
        <v>172</v>
      </c>
      <c r="L1824" s="7"/>
      <c r="M1824" s="7"/>
      <c r="N1824" s="7"/>
      <c r="O1824" s="7"/>
      <c r="P1824" s="7"/>
      <c r="Q1824" s="7"/>
      <c r="R1824" s="7"/>
      <c r="S1824" s="7"/>
      <c r="T1824" s="7"/>
      <c r="U1824" s="7"/>
      <c r="V1824" s="7"/>
      <c r="W1824" s="7"/>
    </row>
    <row r="1825" spans="1:23" ht="31" x14ac:dyDescent="0.35">
      <c r="A1825" s="257"/>
      <c r="B1825" s="257"/>
      <c r="C1825" s="260"/>
      <c r="D1825" s="263"/>
      <c r="E1825" s="263"/>
      <c r="F1825" s="266"/>
      <c r="G1825" s="256" t="s">
        <v>84</v>
      </c>
      <c r="H1825" s="159" t="s">
        <v>666</v>
      </c>
      <c r="I1825" s="158">
        <f>22040.19+1*D1824</f>
        <v>25188.79</v>
      </c>
      <c r="J1825" s="158">
        <f>I1825/D1824</f>
        <v>8</v>
      </c>
      <c r="K1825" s="158">
        <f>7+1</f>
        <v>8</v>
      </c>
      <c r="L1825" s="7"/>
      <c r="M1825" s="7"/>
      <c r="N1825" s="7"/>
      <c r="O1825" s="7"/>
      <c r="P1825" s="7"/>
      <c r="Q1825" s="7"/>
      <c r="R1825" s="7"/>
      <c r="S1825" s="7"/>
      <c r="T1825" s="7"/>
      <c r="U1825" s="7"/>
      <c r="V1825" s="7"/>
      <c r="W1825" s="7"/>
    </row>
    <row r="1826" spans="1:23" x14ac:dyDescent="0.35">
      <c r="A1826" s="258"/>
      <c r="B1826" s="258"/>
      <c r="C1826" s="261"/>
      <c r="D1826" s="264"/>
      <c r="E1826" s="264"/>
      <c r="F1826" s="267"/>
      <c r="G1826" s="258"/>
      <c r="H1826" s="159" t="s">
        <v>74</v>
      </c>
      <c r="I1826" s="158">
        <f>K1826*D1824*0.3</f>
        <v>154911.12</v>
      </c>
      <c r="J1826" s="158">
        <f>I1826/D1824</f>
        <v>49.2</v>
      </c>
      <c r="K1826" s="158">
        <v>164</v>
      </c>
      <c r="L1826" s="7"/>
      <c r="M1826" s="7"/>
      <c r="N1826" s="7"/>
      <c r="O1826" s="7"/>
      <c r="P1826" s="7"/>
      <c r="Q1826" s="7"/>
      <c r="R1826" s="7"/>
      <c r="S1826" s="7"/>
      <c r="T1826" s="7"/>
      <c r="U1826" s="7"/>
      <c r="V1826" s="7"/>
      <c r="W1826" s="7"/>
    </row>
    <row r="1827" spans="1:23" ht="15.75" customHeight="1" x14ac:dyDescent="0.35">
      <c r="A1827" s="256">
        <f>A1824+1</f>
        <v>64</v>
      </c>
      <c r="B1827" s="256">
        <v>453</v>
      </c>
      <c r="C1827" s="259" t="s">
        <v>317</v>
      </c>
      <c r="D1827" s="262">
        <v>2382.92</v>
      </c>
      <c r="E1827" s="268" t="s">
        <v>75</v>
      </c>
      <c r="F1827" s="268">
        <v>5</v>
      </c>
      <c r="G1827" s="144"/>
      <c r="H1827" s="159" t="s">
        <v>73</v>
      </c>
      <c r="I1827" s="158">
        <f>I1828</f>
        <v>28595.040000000001</v>
      </c>
      <c r="J1827" s="158">
        <f>J1828</f>
        <v>12</v>
      </c>
      <c r="K1827" s="158">
        <f>K1828</f>
        <v>12</v>
      </c>
      <c r="L1827" s="7"/>
      <c r="M1827" s="7"/>
      <c r="N1827" s="7"/>
      <c r="O1827" s="7"/>
      <c r="P1827" s="7"/>
      <c r="Q1827" s="7"/>
      <c r="R1827" s="7"/>
      <c r="S1827" s="7"/>
      <c r="T1827" s="7"/>
      <c r="U1827" s="7"/>
      <c r="V1827" s="7"/>
      <c r="W1827" s="7"/>
    </row>
    <row r="1828" spans="1:23" ht="31" x14ac:dyDescent="0.35">
      <c r="A1828" s="257"/>
      <c r="B1828" s="257"/>
      <c r="C1828" s="260"/>
      <c r="D1828" s="263"/>
      <c r="E1828" s="269"/>
      <c r="F1828" s="269"/>
      <c r="G1828" s="120" t="s">
        <v>84</v>
      </c>
      <c r="H1828" s="159" t="s">
        <v>666</v>
      </c>
      <c r="I1828" s="158">
        <f>D1827*K1828</f>
        <v>28595.040000000001</v>
      </c>
      <c r="J1828" s="158">
        <f>I1828/D1827</f>
        <v>12</v>
      </c>
      <c r="K1828" s="158">
        <f>11+1</f>
        <v>12</v>
      </c>
      <c r="L1828" s="7"/>
      <c r="M1828" s="7"/>
      <c r="N1828" s="7"/>
      <c r="O1828" s="7"/>
      <c r="P1828" s="7"/>
      <c r="Q1828" s="7"/>
      <c r="R1828" s="7"/>
      <c r="S1828" s="7"/>
      <c r="T1828" s="7"/>
      <c r="U1828" s="7"/>
      <c r="V1828" s="7"/>
      <c r="W1828" s="7"/>
    </row>
    <row r="1829" spans="1:23" ht="15.75" customHeight="1" x14ac:dyDescent="0.35">
      <c r="A1829" s="256">
        <f>A1827+1</f>
        <v>65</v>
      </c>
      <c r="B1829" s="256">
        <v>877</v>
      </c>
      <c r="C1829" s="259" t="s">
        <v>751</v>
      </c>
      <c r="D1829" s="262">
        <v>1533.7</v>
      </c>
      <c r="E1829" s="268" t="s">
        <v>75</v>
      </c>
      <c r="F1829" s="268">
        <v>5</v>
      </c>
      <c r="G1829" s="144"/>
      <c r="H1829" s="159" t="s">
        <v>73</v>
      </c>
      <c r="I1829" s="158">
        <f>I1830+I1831+I1832</f>
        <v>237723.5</v>
      </c>
      <c r="J1829" s="158">
        <f>J1830+J1831+J1832</f>
        <v>155</v>
      </c>
      <c r="K1829" s="158">
        <f>K1830+K1831+K1832</f>
        <v>155</v>
      </c>
      <c r="L1829" s="7"/>
      <c r="M1829" s="7"/>
      <c r="N1829" s="7"/>
      <c r="O1829" s="7"/>
      <c r="P1829" s="7"/>
      <c r="Q1829" s="7"/>
      <c r="R1829" s="7"/>
      <c r="S1829" s="7"/>
      <c r="T1829" s="7"/>
      <c r="U1829" s="7"/>
      <c r="V1829" s="7"/>
      <c r="W1829" s="7"/>
    </row>
    <row r="1830" spans="1:23" ht="31" x14ac:dyDescent="0.35">
      <c r="A1830" s="257"/>
      <c r="B1830" s="257"/>
      <c r="C1830" s="260"/>
      <c r="D1830" s="263"/>
      <c r="E1830" s="269"/>
      <c r="F1830" s="269"/>
      <c r="G1830" s="120" t="s">
        <v>77</v>
      </c>
      <c r="H1830" s="159" t="s">
        <v>666</v>
      </c>
      <c r="I1830" s="158">
        <f>D1829*K1830</f>
        <v>179442.9</v>
      </c>
      <c r="J1830" s="158">
        <f>I1830/D1829</f>
        <v>117</v>
      </c>
      <c r="K1830" s="158">
        <f>108+9</f>
        <v>117</v>
      </c>
      <c r="L1830" s="7"/>
      <c r="M1830" s="7"/>
      <c r="N1830" s="7"/>
      <c r="O1830" s="7"/>
      <c r="P1830" s="7"/>
      <c r="Q1830" s="7"/>
      <c r="R1830" s="7"/>
      <c r="S1830" s="7"/>
      <c r="T1830" s="7"/>
      <c r="U1830" s="7"/>
      <c r="V1830" s="7"/>
      <c r="W1830" s="7"/>
    </row>
    <row r="1831" spans="1:23" ht="46.5" x14ac:dyDescent="0.35">
      <c r="A1831" s="257"/>
      <c r="B1831" s="257"/>
      <c r="C1831" s="260"/>
      <c r="D1831" s="263"/>
      <c r="E1831" s="269"/>
      <c r="F1831" s="269"/>
      <c r="G1831" s="120" t="s">
        <v>78</v>
      </c>
      <c r="H1831" s="159" t="s">
        <v>666</v>
      </c>
      <c r="I1831" s="158">
        <f>D1829*K1831</f>
        <v>32207.7</v>
      </c>
      <c r="J1831" s="158">
        <f>I1831/D1829</f>
        <v>21</v>
      </c>
      <c r="K1831" s="158">
        <f>19+2</f>
        <v>21</v>
      </c>
      <c r="L1831" s="7"/>
      <c r="M1831" s="7"/>
      <c r="N1831" s="7"/>
      <c r="O1831" s="7"/>
      <c r="P1831" s="7"/>
      <c r="Q1831" s="7"/>
      <c r="R1831" s="7"/>
      <c r="S1831" s="7"/>
      <c r="T1831" s="7"/>
      <c r="U1831" s="7"/>
      <c r="V1831" s="7"/>
      <c r="W1831" s="7"/>
    </row>
    <row r="1832" spans="1:23" ht="33.75" customHeight="1" x14ac:dyDescent="0.35">
      <c r="A1832" s="257"/>
      <c r="B1832" s="257"/>
      <c r="C1832" s="260"/>
      <c r="D1832" s="263"/>
      <c r="E1832" s="269"/>
      <c r="F1832" s="269"/>
      <c r="G1832" s="120" t="s">
        <v>79</v>
      </c>
      <c r="H1832" s="159" t="s">
        <v>666</v>
      </c>
      <c r="I1832" s="158">
        <f>D1829*K1832</f>
        <v>26072.9</v>
      </c>
      <c r="J1832" s="158">
        <f>I1832/D1829</f>
        <v>17</v>
      </c>
      <c r="K1832" s="158">
        <f>16+1</f>
        <v>17</v>
      </c>
      <c r="L1832" s="7"/>
      <c r="M1832" s="7"/>
      <c r="N1832" s="7"/>
      <c r="O1832" s="7"/>
      <c r="P1832" s="7"/>
      <c r="Q1832" s="7"/>
      <c r="R1832" s="7"/>
      <c r="S1832" s="7"/>
      <c r="T1832" s="7"/>
      <c r="U1832" s="7"/>
      <c r="V1832" s="7"/>
      <c r="W1832" s="7"/>
    </row>
    <row r="1833" spans="1:23" ht="15.75" customHeight="1" x14ac:dyDescent="0.35">
      <c r="A1833" s="256">
        <f>A1829+1</f>
        <v>66</v>
      </c>
      <c r="B1833" s="256">
        <v>514</v>
      </c>
      <c r="C1833" s="259" t="s">
        <v>102</v>
      </c>
      <c r="D1833" s="262">
        <v>3096.4</v>
      </c>
      <c r="E1833" s="268" t="s">
        <v>75</v>
      </c>
      <c r="F1833" s="268">
        <v>5</v>
      </c>
      <c r="G1833" s="144"/>
      <c r="H1833" s="159" t="s">
        <v>73</v>
      </c>
      <c r="I1833" s="158">
        <f>I1834+I1835</f>
        <v>532580.80000000005</v>
      </c>
      <c r="J1833" s="158">
        <f>J1834+J1835</f>
        <v>172</v>
      </c>
      <c r="K1833" s="158">
        <f>K1834+K1835</f>
        <v>172</v>
      </c>
      <c r="L1833" s="7"/>
      <c r="M1833" s="7"/>
      <c r="N1833" s="7"/>
      <c r="O1833" s="7"/>
      <c r="P1833" s="7"/>
      <c r="Q1833" s="7"/>
      <c r="R1833" s="7"/>
      <c r="S1833" s="7"/>
      <c r="T1833" s="7"/>
      <c r="U1833" s="7"/>
      <c r="V1833" s="7"/>
      <c r="W1833" s="7"/>
    </row>
    <row r="1834" spans="1:23" ht="31" x14ac:dyDescent="0.35">
      <c r="A1834" s="257"/>
      <c r="B1834" s="257"/>
      <c r="C1834" s="260"/>
      <c r="D1834" s="263"/>
      <c r="E1834" s="269"/>
      <c r="F1834" s="269"/>
      <c r="G1834" s="120" t="s">
        <v>84</v>
      </c>
      <c r="H1834" s="159" t="s">
        <v>666</v>
      </c>
      <c r="I1834" s="158">
        <f>D1833*K1834</f>
        <v>24771.200000000001</v>
      </c>
      <c r="J1834" s="158">
        <f>I1834/D1833</f>
        <v>8</v>
      </c>
      <c r="K1834" s="158">
        <f>7+1</f>
        <v>8</v>
      </c>
      <c r="L1834" s="7"/>
      <c r="M1834" s="7"/>
      <c r="N1834" s="7"/>
      <c r="O1834" s="7"/>
      <c r="P1834" s="7"/>
      <c r="Q1834" s="7"/>
      <c r="R1834" s="7"/>
      <c r="S1834" s="7"/>
      <c r="T1834" s="7"/>
      <c r="U1834" s="7"/>
      <c r="V1834" s="7"/>
      <c r="W1834" s="7"/>
    </row>
    <row r="1835" spans="1:23" ht="46.5" x14ac:dyDescent="0.35">
      <c r="A1835" s="257"/>
      <c r="B1835" s="257"/>
      <c r="C1835" s="260"/>
      <c r="D1835" s="263"/>
      <c r="E1835" s="269"/>
      <c r="F1835" s="269"/>
      <c r="G1835" s="120" t="s">
        <v>72</v>
      </c>
      <c r="H1835" s="159" t="s">
        <v>705</v>
      </c>
      <c r="I1835" s="158">
        <f>D1833*K1835</f>
        <v>507809.6</v>
      </c>
      <c r="J1835" s="158">
        <f>I1835/D1833</f>
        <v>164</v>
      </c>
      <c r="K1835" s="158">
        <f>151+13</f>
        <v>164</v>
      </c>
      <c r="L1835" s="7"/>
      <c r="M1835" s="7"/>
      <c r="N1835" s="7"/>
      <c r="O1835" s="7"/>
      <c r="P1835" s="7"/>
      <c r="Q1835" s="7"/>
      <c r="R1835" s="7"/>
      <c r="S1835" s="7"/>
      <c r="T1835" s="7"/>
      <c r="U1835" s="7"/>
      <c r="V1835" s="7"/>
      <c r="W1835" s="7"/>
    </row>
    <row r="1836" spans="1:23" ht="15.75" customHeight="1" x14ac:dyDescent="0.35">
      <c r="A1836" s="256">
        <f>A1833+1</f>
        <v>67</v>
      </c>
      <c r="B1836" s="256">
        <v>159</v>
      </c>
      <c r="C1836" s="259" t="s">
        <v>103</v>
      </c>
      <c r="D1836" s="262">
        <v>1087.8</v>
      </c>
      <c r="E1836" s="262" t="s">
        <v>80</v>
      </c>
      <c r="F1836" s="265">
        <v>3</v>
      </c>
      <c r="G1836" s="123"/>
      <c r="H1836" s="159" t="s">
        <v>73</v>
      </c>
      <c r="I1836" s="158">
        <f>SUM(I1837:I1838)</f>
        <v>72882.600000000006</v>
      </c>
      <c r="J1836" s="158">
        <f>SUM(J1837:J1838)</f>
        <v>67</v>
      </c>
      <c r="K1836" s="158">
        <f>SUM(K1837:K1838)</f>
        <v>67</v>
      </c>
      <c r="L1836" s="7"/>
      <c r="M1836" s="7"/>
      <c r="N1836" s="7"/>
      <c r="O1836" s="7"/>
      <c r="P1836" s="7"/>
      <c r="Q1836" s="7"/>
      <c r="R1836" s="7"/>
      <c r="S1836" s="7"/>
      <c r="T1836" s="7"/>
      <c r="U1836" s="7"/>
      <c r="V1836" s="7"/>
      <c r="W1836" s="7"/>
    </row>
    <row r="1837" spans="1:23" ht="31" x14ac:dyDescent="0.35">
      <c r="A1837" s="257"/>
      <c r="B1837" s="257"/>
      <c r="C1837" s="260"/>
      <c r="D1837" s="263"/>
      <c r="E1837" s="263"/>
      <c r="F1837" s="266"/>
      <c r="G1837" s="120" t="s">
        <v>82</v>
      </c>
      <c r="H1837" s="159" t="s">
        <v>666</v>
      </c>
      <c r="I1837" s="158">
        <f>D1836*K1837</f>
        <v>54390</v>
      </c>
      <c r="J1837" s="158">
        <f>I1837/D1836</f>
        <v>50</v>
      </c>
      <c r="K1837" s="158">
        <f>46+4</f>
        <v>50</v>
      </c>
      <c r="L1837" s="7"/>
      <c r="M1837" s="7"/>
      <c r="N1837" s="7"/>
      <c r="O1837" s="7"/>
      <c r="P1837" s="7"/>
      <c r="Q1837" s="7"/>
      <c r="R1837" s="7"/>
      <c r="S1837" s="7"/>
      <c r="T1837" s="7"/>
      <c r="U1837" s="7"/>
      <c r="V1837" s="7"/>
      <c r="W1837" s="7"/>
    </row>
    <row r="1838" spans="1:23" ht="46.5" x14ac:dyDescent="0.35">
      <c r="A1838" s="257"/>
      <c r="B1838" s="257"/>
      <c r="C1838" s="260"/>
      <c r="D1838" s="263"/>
      <c r="E1838" s="263"/>
      <c r="F1838" s="266"/>
      <c r="G1838" s="120" t="s">
        <v>83</v>
      </c>
      <c r="H1838" s="159" t="s">
        <v>666</v>
      </c>
      <c r="I1838" s="158">
        <f>K1838*D1836</f>
        <v>18492.599999999999</v>
      </c>
      <c r="J1838" s="158">
        <f>I1838/D1836</f>
        <v>17</v>
      </c>
      <c r="K1838" s="158">
        <f>16+1</f>
        <v>17</v>
      </c>
      <c r="L1838" s="7"/>
      <c r="M1838" s="7"/>
      <c r="N1838" s="7"/>
      <c r="O1838" s="7"/>
      <c r="P1838" s="7"/>
      <c r="Q1838" s="7"/>
      <c r="R1838" s="7"/>
      <c r="S1838" s="7"/>
      <c r="T1838" s="7"/>
      <c r="U1838" s="7"/>
      <c r="V1838" s="7"/>
      <c r="W1838" s="7"/>
    </row>
    <row r="1839" spans="1:23" ht="15.75" customHeight="1" x14ac:dyDescent="0.35">
      <c r="A1839" s="256">
        <f>A1836+1</f>
        <v>68</v>
      </c>
      <c r="B1839" s="256">
        <v>476</v>
      </c>
      <c r="C1839" s="259" t="s">
        <v>104</v>
      </c>
      <c r="D1839" s="262">
        <v>3176.66</v>
      </c>
      <c r="E1839" s="268" t="s">
        <v>75</v>
      </c>
      <c r="F1839" s="268">
        <v>5</v>
      </c>
      <c r="G1839" s="144"/>
      <c r="H1839" s="159" t="s">
        <v>73</v>
      </c>
      <c r="I1839" s="158">
        <f>I1840+I1841+I1842</f>
        <v>412965.8</v>
      </c>
      <c r="J1839" s="158">
        <f>J1840+J1841+J1842</f>
        <v>130</v>
      </c>
      <c r="K1839" s="158">
        <f>K1840+K1841+K1842</f>
        <v>130</v>
      </c>
      <c r="L1839" s="7"/>
      <c r="M1839" s="7"/>
      <c r="N1839" s="7"/>
      <c r="O1839" s="7"/>
      <c r="P1839" s="7"/>
      <c r="Q1839" s="7"/>
      <c r="R1839" s="7"/>
      <c r="S1839" s="7"/>
      <c r="T1839" s="7"/>
      <c r="U1839" s="7"/>
      <c r="V1839" s="7"/>
      <c r="W1839" s="7"/>
    </row>
    <row r="1840" spans="1:23" ht="31" x14ac:dyDescent="0.35">
      <c r="A1840" s="257"/>
      <c r="B1840" s="257"/>
      <c r="C1840" s="260"/>
      <c r="D1840" s="263"/>
      <c r="E1840" s="269"/>
      <c r="F1840" s="269"/>
      <c r="G1840" s="120" t="s">
        <v>77</v>
      </c>
      <c r="H1840" s="159" t="s">
        <v>666</v>
      </c>
      <c r="I1840" s="158">
        <f>D1839*K1840</f>
        <v>292252.71999999997</v>
      </c>
      <c r="J1840" s="158">
        <f>I1840/D1839</f>
        <v>92</v>
      </c>
      <c r="K1840" s="158">
        <f>85+7</f>
        <v>92</v>
      </c>
      <c r="L1840" s="7"/>
      <c r="M1840" s="7"/>
      <c r="N1840" s="7"/>
      <c r="O1840" s="7"/>
      <c r="P1840" s="7"/>
      <c r="Q1840" s="7"/>
      <c r="R1840" s="7"/>
      <c r="S1840" s="7"/>
      <c r="T1840" s="7"/>
      <c r="U1840" s="7"/>
      <c r="V1840" s="7"/>
      <c r="W1840" s="7"/>
    </row>
    <row r="1841" spans="1:23" ht="46.5" x14ac:dyDescent="0.35">
      <c r="A1841" s="257"/>
      <c r="B1841" s="257"/>
      <c r="C1841" s="260"/>
      <c r="D1841" s="263"/>
      <c r="E1841" s="269"/>
      <c r="F1841" s="269"/>
      <c r="G1841" s="120" t="s">
        <v>78</v>
      </c>
      <c r="H1841" s="159" t="s">
        <v>666</v>
      </c>
      <c r="I1841" s="158">
        <f>D1839*K1841</f>
        <v>66709.86</v>
      </c>
      <c r="J1841" s="158">
        <f>I1841/D1839</f>
        <v>21</v>
      </c>
      <c r="K1841" s="158">
        <f>19+2</f>
        <v>21</v>
      </c>
      <c r="L1841" s="7"/>
      <c r="M1841" s="7"/>
      <c r="N1841" s="7"/>
      <c r="O1841" s="7"/>
      <c r="P1841" s="7"/>
      <c r="Q1841" s="7"/>
      <c r="R1841" s="7"/>
      <c r="S1841" s="7"/>
      <c r="T1841" s="7"/>
      <c r="U1841" s="7"/>
      <c r="V1841" s="7"/>
      <c r="W1841" s="7"/>
    </row>
    <row r="1842" spans="1:23" ht="31.5" customHeight="1" x14ac:dyDescent="0.35">
      <c r="A1842" s="257"/>
      <c r="B1842" s="257"/>
      <c r="C1842" s="260"/>
      <c r="D1842" s="263"/>
      <c r="E1842" s="269"/>
      <c r="F1842" s="269"/>
      <c r="G1842" s="120" t="s">
        <v>79</v>
      </c>
      <c r="H1842" s="159" t="s">
        <v>666</v>
      </c>
      <c r="I1842" s="158">
        <f>D1839*K1842</f>
        <v>54003.22</v>
      </c>
      <c r="J1842" s="158">
        <f>I1842/D1839</f>
        <v>17</v>
      </c>
      <c r="K1842" s="158">
        <f>16+1</f>
        <v>17</v>
      </c>
      <c r="L1842" s="7"/>
      <c r="M1842" s="7"/>
      <c r="N1842" s="7"/>
      <c r="O1842" s="7"/>
      <c r="P1842" s="7"/>
      <c r="Q1842" s="7"/>
      <c r="R1842" s="7"/>
      <c r="S1842" s="7"/>
      <c r="T1842" s="7"/>
      <c r="U1842" s="7"/>
      <c r="V1842" s="7"/>
      <c r="W1842" s="7"/>
    </row>
    <row r="1843" spans="1:23" ht="15.75" customHeight="1" x14ac:dyDescent="0.35">
      <c r="A1843" s="256">
        <f>A1839+1</f>
        <v>69</v>
      </c>
      <c r="B1843" s="256">
        <v>555</v>
      </c>
      <c r="C1843" s="259" t="s">
        <v>322</v>
      </c>
      <c r="D1843" s="262">
        <v>2510.5</v>
      </c>
      <c r="E1843" s="256" t="s">
        <v>75</v>
      </c>
      <c r="F1843" s="256">
        <v>5</v>
      </c>
      <c r="G1843" s="144"/>
      <c r="H1843" s="159" t="s">
        <v>73</v>
      </c>
      <c r="I1843" s="158">
        <f>I1844+I1845+I1846+I1847+I1848+I1849+I1850+I1851+I1852+I1853+I1854+I1855+I1856+I1857+I1858</f>
        <v>17985089.280000001</v>
      </c>
      <c r="J1843" s="158">
        <f>J1844+J1845+J1846+J1847+J1848+J1849+J1850+J1851+J1852+J1853+J1854+J1855+J1856+J1857+J1858</f>
        <v>7163.95</v>
      </c>
      <c r="K1843" s="158">
        <f>K1844+K1845+K1846+K1847+K1848+K1849+K1850+K1851+K1852+K1853+K1854+K1855+K1856+K1857+K1858</f>
        <v>7164</v>
      </c>
      <c r="L1843" s="7"/>
      <c r="M1843" s="7"/>
      <c r="N1843" s="7"/>
      <c r="O1843" s="7"/>
      <c r="P1843" s="7"/>
      <c r="Q1843" s="7"/>
      <c r="R1843" s="7"/>
      <c r="S1843" s="7"/>
      <c r="T1843" s="7"/>
      <c r="U1843" s="7"/>
      <c r="V1843" s="7"/>
      <c r="W1843" s="7"/>
    </row>
    <row r="1844" spans="1:23" x14ac:dyDescent="0.35">
      <c r="A1844" s="257"/>
      <c r="B1844" s="257"/>
      <c r="C1844" s="260"/>
      <c r="D1844" s="263"/>
      <c r="E1844" s="257"/>
      <c r="F1844" s="257"/>
      <c r="G1844" s="251" t="s">
        <v>82</v>
      </c>
      <c r="H1844" s="159" t="s">
        <v>74</v>
      </c>
      <c r="I1844" s="158">
        <f>D1843*K1844</f>
        <v>2096267.5</v>
      </c>
      <c r="J1844" s="158">
        <f>I1844/D1843</f>
        <v>835</v>
      </c>
      <c r="K1844" s="158">
        <v>835</v>
      </c>
      <c r="L1844" s="7"/>
      <c r="M1844" s="7"/>
      <c r="N1844" s="7"/>
      <c r="O1844" s="7"/>
      <c r="P1844" s="7"/>
      <c r="Q1844" s="7"/>
      <c r="R1844" s="7"/>
      <c r="S1844" s="7"/>
      <c r="T1844" s="7"/>
      <c r="U1844" s="7"/>
      <c r="V1844" s="7"/>
      <c r="W1844" s="7"/>
    </row>
    <row r="1845" spans="1:23" x14ac:dyDescent="0.35">
      <c r="A1845" s="257"/>
      <c r="B1845" s="257"/>
      <c r="C1845" s="260"/>
      <c r="D1845" s="263"/>
      <c r="E1845" s="257"/>
      <c r="F1845" s="257"/>
      <c r="G1845" s="251"/>
      <c r="H1845" s="159" t="s">
        <v>76</v>
      </c>
      <c r="I1845" s="158">
        <v>45056.28</v>
      </c>
      <c r="J1845" s="158">
        <f>I1845/D1843</f>
        <v>17.95</v>
      </c>
      <c r="K1845" s="158">
        <v>18</v>
      </c>
      <c r="L1845" s="7"/>
      <c r="M1845" s="7"/>
      <c r="N1845" s="7"/>
      <c r="O1845" s="7"/>
      <c r="P1845" s="7"/>
      <c r="Q1845" s="7"/>
      <c r="R1845" s="7"/>
      <c r="S1845" s="7"/>
      <c r="T1845" s="7"/>
      <c r="U1845" s="7"/>
      <c r="V1845" s="7"/>
      <c r="W1845" s="7"/>
    </row>
    <row r="1846" spans="1:23" ht="31" x14ac:dyDescent="0.35">
      <c r="A1846" s="257"/>
      <c r="B1846" s="257"/>
      <c r="C1846" s="260"/>
      <c r="D1846" s="263"/>
      <c r="E1846" s="257"/>
      <c r="F1846" s="257"/>
      <c r="G1846" s="120" t="s">
        <v>84</v>
      </c>
      <c r="H1846" s="159" t="s">
        <v>666</v>
      </c>
      <c r="I1846" s="158">
        <f>D1843*K1846</f>
        <v>30126</v>
      </c>
      <c r="J1846" s="158">
        <f>I1846/D1843</f>
        <v>12</v>
      </c>
      <c r="K1846" s="158">
        <f>11+1</f>
        <v>12</v>
      </c>
      <c r="L1846" s="7"/>
      <c r="M1846" s="7"/>
      <c r="N1846" s="7"/>
      <c r="O1846" s="7"/>
      <c r="P1846" s="7"/>
      <c r="Q1846" s="7"/>
      <c r="R1846" s="7"/>
      <c r="S1846" s="7"/>
      <c r="T1846" s="7"/>
      <c r="U1846" s="7"/>
      <c r="V1846" s="7"/>
      <c r="W1846" s="7"/>
    </row>
    <row r="1847" spans="1:23" ht="31" x14ac:dyDescent="0.35">
      <c r="A1847" s="257"/>
      <c r="B1847" s="257"/>
      <c r="C1847" s="260"/>
      <c r="D1847" s="263"/>
      <c r="E1847" s="257"/>
      <c r="F1847" s="257"/>
      <c r="G1847" s="256" t="s">
        <v>78</v>
      </c>
      <c r="H1847" s="159" t="s">
        <v>666</v>
      </c>
      <c r="I1847" s="158">
        <f>D1843*K1847</f>
        <v>52720.5</v>
      </c>
      <c r="J1847" s="158">
        <f>I1847/D1843</f>
        <v>21</v>
      </c>
      <c r="K1847" s="158">
        <f>19+2</f>
        <v>21</v>
      </c>
      <c r="L1847" s="7"/>
      <c r="M1847" s="7"/>
      <c r="N1847" s="7"/>
      <c r="O1847" s="7"/>
      <c r="P1847" s="7"/>
      <c r="Q1847" s="7"/>
      <c r="R1847" s="7"/>
      <c r="S1847" s="7"/>
      <c r="T1847" s="7"/>
      <c r="U1847" s="7"/>
      <c r="V1847" s="7"/>
      <c r="W1847" s="7"/>
    </row>
    <row r="1848" spans="1:23" x14ac:dyDescent="0.35">
      <c r="A1848" s="257"/>
      <c r="B1848" s="257"/>
      <c r="C1848" s="260"/>
      <c r="D1848" s="263"/>
      <c r="E1848" s="257"/>
      <c r="F1848" s="257"/>
      <c r="G1848" s="257"/>
      <c r="H1848" s="159" t="s">
        <v>74</v>
      </c>
      <c r="I1848" s="158">
        <f>D1843*K1848</f>
        <v>1162361.5</v>
      </c>
      <c r="J1848" s="158">
        <f>I1848/D1843</f>
        <v>463</v>
      </c>
      <c r="K1848" s="158">
        <v>463</v>
      </c>
      <c r="L1848" s="7"/>
      <c r="M1848" s="7"/>
      <c r="N1848" s="7"/>
      <c r="O1848" s="7"/>
      <c r="P1848" s="7"/>
      <c r="Q1848" s="7"/>
      <c r="R1848" s="7"/>
      <c r="S1848" s="7"/>
      <c r="T1848" s="7"/>
      <c r="U1848" s="7"/>
      <c r="V1848" s="7"/>
      <c r="W1848" s="7"/>
    </row>
    <row r="1849" spans="1:23" x14ac:dyDescent="0.35">
      <c r="A1849" s="257"/>
      <c r="B1849" s="257"/>
      <c r="C1849" s="260"/>
      <c r="D1849" s="263"/>
      <c r="E1849" s="257"/>
      <c r="F1849" s="257"/>
      <c r="G1849" s="258"/>
      <c r="H1849" s="159" t="s">
        <v>76</v>
      </c>
      <c r="I1849" s="158">
        <f>D1843*K1849</f>
        <v>25105</v>
      </c>
      <c r="J1849" s="158">
        <f>I1849/D1843</f>
        <v>10</v>
      </c>
      <c r="K1849" s="158">
        <v>10</v>
      </c>
      <c r="L1849" s="7"/>
      <c r="M1849" s="7"/>
      <c r="N1849" s="7"/>
      <c r="O1849" s="7"/>
      <c r="P1849" s="7"/>
      <c r="Q1849" s="7"/>
      <c r="R1849" s="7"/>
      <c r="S1849" s="7"/>
      <c r="T1849" s="7"/>
      <c r="U1849" s="7"/>
      <c r="V1849" s="7"/>
      <c r="W1849" s="7"/>
    </row>
    <row r="1850" spans="1:23" ht="31" x14ac:dyDescent="0.35">
      <c r="A1850" s="257"/>
      <c r="B1850" s="257"/>
      <c r="C1850" s="260"/>
      <c r="D1850" s="263"/>
      <c r="E1850" s="257"/>
      <c r="F1850" s="257"/>
      <c r="G1850" s="256" t="s">
        <v>79</v>
      </c>
      <c r="H1850" s="159" t="s">
        <v>666</v>
      </c>
      <c r="I1850" s="158">
        <f>D1843*K1850</f>
        <v>42678.5</v>
      </c>
      <c r="J1850" s="158">
        <f>I1850/D1843</f>
        <v>17</v>
      </c>
      <c r="K1850" s="158">
        <f>16+1</f>
        <v>17</v>
      </c>
      <c r="L1850" s="7"/>
      <c r="M1850" s="7"/>
      <c r="N1850" s="7"/>
      <c r="O1850" s="7"/>
      <c r="P1850" s="7"/>
      <c r="Q1850" s="7"/>
      <c r="R1850" s="7"/>
      <c r="S1850" s="7"/>
      <c r="T1850" s="7"/>
      <c r="U1850" s="7"/>
      <c r="V1850" s="7"/>
      <c r="W1850" s="7"/>
    </row>
    <row r="1851" spans="1:23" x14ac:dyDescent="0.35">
      <c r="A1851" s="257"/>
      <c r="B1851" s="257"/>
      <c r="C1851" s="260"/>
      <c r="D1851" s="263"/>
      <c r="E1851" s="257"/>
      <c r="F1851" s="257"/>
      <c r="G1851" s="257"/>
      <c r="H1851" s="159" t="s">
        <v>74</v>
      </c>
      <c r="I1851" s="158">
        <f>D1843*K1851</f>
        <v>1026794.5</v>
      </c>
      <c r="J1851" s="158">
        <f>I1851/D1843</f>
        <v>409</v>
      </c>
      <c r="K1851" s="158">
        <v>409</v>
      </c>
      <c r="L1851" s="7"/>
      <c r="M1851" s="7"/>
      <c r="N1851" s="7"/>
      <c r="O1851" s="7"/>
      <c r="P1851" s="7"/>
      <c r="Q1851" s="7"/>
      <c r="R1851" s="7"/>
      <c r="S1851" s="7"/>
      <c r="T1851" s="7"/>
      <c r="U1851" s="7"/>
      <c r="V1851" s="7"/>
      <c r="W1851" s="7"/>
    </row>
    <row r="1852" spans="1:23" x14ac:dyDescent="0.35">
      <c r="A1852" s="257"/>
      <c r="B1852" s="257"/>
      <c r="C1852" s="260"/>
      <c r="D1852" s="263"/>
      <c r="E1852" s="257"/>
      <c r="F1852" s="257"/>
      <c r="G1852" s="258"/>
      <c r="H1852" s="159" t="s">
        <v>76</v>
      </c>
      <c r="I1852" s="158">
        <f>D1843*K1852</f>
        <v>22594.5</v>
      </c>
      <c r="J1852" s="158">
        <f>I1852/D1843</f>
        <v>9</v>
      </c>
      <c r="K1852" s="158">
        <v>9</v>
      </c>
      <c r="L1852" s="7"/>
      <c r="M1852" s="7"/>
      <c r="N1852" s="7"/>
      <c r="O1852" s="7"/>
      <c r="P1852" s="7"/>
      <c r="Q1852" s="7"/>
      <c r="R1852" s="7"/>
      <c r="S1852" s="7"/>
      <c r="T1852" s="7"/>
      <c r="U1852" s="7"/>
      <c r="V1852" s="7"/>
      <c r="W1852" s="7"/>
    </row>
    <row r="1853" spans="1:23" ht="31" x14ac:dyDescent="0.35">
      <c r="A1853" s="257"/>
      <c r="B1853" s="257"/>
      <c r="C1853" s="260"/>
      <c r="D1853" s="263"/>
      <c r="E1853" s="257"/>
      <c r="F1853" s="257"/>
      <c r="G1853" s="256" t="s">
        <v>77</v>
      </c>
      <c r="H1853" s="159" t="s">
        <v>666</v>
      </c>
      <c r="I1853" s="158">
        <f>D1843*K1853</f>
        <v>293728.5</v>
      </c>
      <c r="J1853" s="158">
        <f>I1853/D1843</f>
        <v>117</v>
      </c>
      <c r="K1853" s="158">
        <f>108+9</f>
        <v>117</v>
      </c>
      <c r="L1853" s="7"/>
      <c r="M1853" s="7"/>
      <c r="N1853" s="7"/>
      <c r="O1853" s="7"/>
      <c r="P1853" s="7"/>
      <c r="Q1853" s="7"/>
      <c r="R1853" s="7"/>
      <c r="S1853" s="7"/>
      <c r="T1853" s="7"/>
      <c r="U1853" s="7"/>
      <c r="V1853" s="7"/>
      <c r="W1853" s="7"/>
    </row>
    <row r="1854" spans="1:23" x14ac:dyDescent="0.35">
      <c r="A1854" s="257"/>
      <c r="B1854" s="257"/>
      <c r="C1854" s="260"/>
      <c r="D1854" s="263"/>
      <c r="E1854" s="257"/>
      <c r="F1854" s="257"/>
      <c r="G1854" s="257"/>
      <c r="H1854" s="159" t="s">
        <v>74</v>
      </c>
      <c r="I1854" s="158">
        <f>D1843*K1854</f>
        <v>6755755.5</v>
      </c>
      <c r="J1854" s="158">
        <f>I1854/D1843</f>
        <v>2691</v>
      </c>
      <c r="K1854" s="158">
        <v>2691</v>
      </c>
      <c r="L1854" s="7"/>
      <c r="M1854" s="7"/>
      <c r="N1854" s="7"/>
      <c r="O1854" s="7"/>
      <c r="P1854" s="7"/>
      <c r="Q1854" s="7"/>
      <c r="R1854" s="7"/>
      <c r="S1854" s="7"/>
      <c r="T1854" s="7"/>
      <c r="U1854" s="7"/>
      <c r="V1854" s="7"/>
      <c r="W1854" s="7"/>
    </row>
    <row r="1855" spans="1:23" x14ac:dyDescent="0.35">
      <c r="A1855" s="257"/>
      <c r="B1855" s="257"/>
      <c r="C1855" s="260"/>
      <c r="D1855" s="263"/>
      <c r="E1855" s="257"/>
      <c r="F1855" s="257"/>
      <c r="G1855" s="258"/>
      <c r="H1855" s="159" t="s">
        <v>76</v>
      </c>
      <c r="I1855" s="158">
        <f>D1843*K1855</f>
        <v>145609</v>
      </c>
      <c r="J1855" s="158">
        <f>I1855/D1843</f>
        <v>58</v>
      </c>
      <c r="K1855" s="158">
        <v>58</v>
      </c>
      <c r="L1855" s="7"/>
      <c r="M1855" s="7"/>
      <c r="N1855" s="7"/>
      <c r="O1855" s="7"/>
      <c r="P1855" s="7"/>
      <c r="Q1855" s="7"/>
      <c r="R1855" s="7"/>
      <c r="S1855" s="7"/>
      <c r="T1855" s="7"/>
      <c r="U1855" s="7"/>
      <c r="V1855" s="7"/>
      <c r="W1855" s="7"/>
    </row>
    <row r="1856" spans="1:23" ht="31" x14ac:dyDescent="0.35">
      <c r="A1856" s="257"/>
      <c r="B1856" s="257"/>
      <c r="C1856" s="260"/>
      <c r="D1856" s="263"/>
      <c r="E1856" s="257"/>
      <c r="F1856" s="257"/>
      <c r="G1856" s="256" t="s">
        <v>724</v>
      </c>
      <c r="H1856" s="159" t="s">
        <v>666</v>
      </c>
      <c r="I1856" s="158">
        <f>D1843*K1856</f>
        <v>256071</v>
      </c>
      <c r="J1856" s="158">
        <f>I1856/D1843</f>
        <v>102</v>
      </c>
      <c r="K1856" s="158">
        <f>(47+4)*2</f>
        <v>102</v>
      </c>
      <c r="L1856" s="7"/>
      <c r="M1856" s="7"/>
      <c r="N1856" s="7"/>
      <c r="O1856" s="7"/>
      <c r="P1856" s="7"/>
      <c r="Q1856" s="7"/>
      <c r="R1856" s="7"/>
      <c r="S1856" s="7"/>
      <c r="T1856" s="7"/>
      <c r="U1856" s="7"/>
      <c r="V1856" s="7"/>
      <c r="W1856" s="7"/>
    </row>
    <row r="1857" spans="1:23" x14ac:dyDescent="0.35">
      <c r="A1857" s="257"/>
      <c r="B1857" s="257"/>
      <c r="C1857" s="260"/>
      <c r="D1857" s="263"/>
      <c r="E1857" s="257"/>
      <c r="F1857" s="257"/>
      <c r="G1857" s="257"/>
      <c r="H1857" s="159" t="s">
        <v>74</v>
      </c>
      <c r="I1857" s="158">
        <f>D1843*K1857</f>
        <v>5904696</v>
      </c>
      <c r="J1857" s="158">
        <f>I1857/D1843</f>
        <v>2352</v>
      </c>
      <c r="K1857" s="158">
        <f>1176*2</f>
        <v>2352</v>
      </c>
      <c r="L1857" s="7"/>
      <c r="M1857" s="7"/>
      <c r="N1857" s="7"/>
      <c r="O1857" s="7"/>
      <c r="P1857" s="7"/>
      <c r="Q1857" s="7"/>
      <c r="R1857" s="7"/>
      <c r="S1857" s="7"/>
      <c r="T1857" s="7"/>
      <c r="U1857" s="7"/>
      <c r="V1857" s="7"/>
      <c r="W1857" s="7"/>
    </row>
    <row r="1858" spans="1:23" ht="161.25" customHeight="1" x14ac:dyDescent="0.35">
      <c r="A1858" s="258"/>
      <c r="B1858" s="258"/>
      <c r="C1858" s="261"/>
      <c r="D1858" s="264"/>
      <c r="E1858" s="258"/>
      <c r="F1858" s="258"/>
      <c r="G1858" s="258"/>
      <c r="H1858" s="159" t="s">
        <v>76</v>
      </c>
      <c r="I1858" s="158">
        <f>D1843*K1858</f>
        <v>125525</v>
      </c>
      <c r="J1858" s="158">
        <f>I1858/D1843</f>
        <v>50</v>
      </c>
      <c r="K1858" s="158">
        <f>25*2</f>
        <v>50</v>
      </c>
      <c r="L1858" s="7"/>
      <c r="M1858" s="7"/>
      <c r="N1858" s="7"/>
      <c r="O1858" s="7"/>
      <c r="P1858" s="7"/>
      <c r="Q1858" s="7"/>
      <c r="R1858" s="7"/>
      <c r="S1858" s="7"/>
      <c r="T1858" s="7"/>
      <c r="U1858" s="7"/>
      <c r="V1858" s="7"/>
      <c r="W1858" s="7"/>
    </row>
    <row r="1859" spans="1:23" ht="15.75" customHeight="1" x14ac:dyDescent="0.35">
      <c r="A1859" s="256">
        <f>A1843+1</f>
        <v>70</v>
      </c>
      <c r="B1859" s="256">
        <v>601</v>
      </c>
      <c r="C1859" s="259" t="s">
        <v>566</v>
      </c>
      <c r="D1859" s="262">
        <v>2902</v>
      </c>
      <c r="E1859" s="268" t="s">
        <v>75</v>
      </c>
      <c r="F1859" s="268">
        <v>5</v>
      </c>
      <c r="G1859" s="144"/>
      <c r="H1859" s="159" t="s">
        <v>73</v>
      </c>
      <c r="I1859" s="158">
        <f>I1860+I1861+I1862+I1863</f>
        <v>522360</v>
      </c>
      <c r="J1859" s="158">
        <f>J1860+J1861+J1862+J1863</f>
        <v>180</v>
      </c>
      <c r="K1859" s="158">
        <f>K1860+K1861+K1862+K1863</f>
        <v>180</v>
      </c>
      <c r="L1859" s="7"/>
      <c r="M1859" s="7"/>
      <c r="N1859" s="7"/>
      <c r="O1859" s="7"/>
      <c r="P1859" s="7"/>
      <c r="Q1859" s="7"/>
      <c r="R1859" s="7"/>
      <c r="S1859" s="7"/>
      <c r="T1859" s="7"/>
      <c r="U1859" s="7"/>
      <c r="V1859" s="7"/>
      <c r="W1859" s="7"/>
    </row>
    <row r="1860" spans="1:23" ht="31" x14ac:dyDescent="0.35">
      <c r="A1860" s="257"/>
      <c r="B1860" s="257"/>
      <c r="C1860" s="260"/>
      <c r="D1860" s="263"/>
      <c r="E1860" s="269"/>
      <c r="F1860" s="269"/>
      <c r="G1860" s="120" t="s">
        <v>87</v>
      </c>
      <c r="H1860" s="159" t="s">
        <v>666</v>
      </c>
      <c r="I1860" s="158">
        <f>D1859*K1860</f>
        <v>72550</v>
      </c>
      <c r="J1860" s="158">
        <f>I1860/D1859</f>
        <v>25</v>
      </c>
      <c r="K1860" s="158">
        <f>23+2</f>
        <v>25</v>
      </c>
      <c r="L1860" s="7"/>
      <c r="M1860" s="7"/>
      <c r="N1860" s="7"/>
      <c r="O1860" s="7"/>
      <c r="P1860" s="7"/>
      <c r="Q1860" s="7"/>
      <c r="R1860" s="7"/>
      <c r="S1860" s="7"/>
      <c r="T1860" s="7"/>
      <c r="U1860" s="7"/>
      <c r="V1860" s="7"/>
      <c r="W1860" s="7"/>
    </row>
    <row r="1861" spans="1:23" ht="31" x14ac:dyDescent="0.35">
      <c r="A1861" s="257"/>
      <c r="B1861" s="257"/>
      <c r="C1861" s="260"/>
      <c r="D1861" s="263"/>
      <c r="E1861" s="269"/>
      <c r="F1861" s="269"/>
      <c r="G1861" s="120" t="s">
        <v>77</v>
      </c>
      <c r="H1861" s="159" t="s">
        <v>666</v>
      </c>
      <c r="I1861" s="158">
        <f>D1859*K1861</f>
        <v>339534</v>
      </c>
      <c r="J1861" s="158">
        <f>I1861/D1859</f>
        <v>117</v>
      </c>
      <c r="K1861" s="158">
        <f>108+9</f>
        <v>117</v>
      </c>
      <c r="L1861" s="7"/>
      <c r="M1861" s="7"/>
      <c r="N1861" s="7"/>
      <c r="O1861" s="7"/>
      <c r="P1861" s="7"/>
      <c r="Q1861" s="7"/>
      <c r="R1861" s="7"/>
      <c r="S1861" s="7"/>
      <c r="T1861" s="7"/>
      <c r="U1861" s="7"/>
      <c r="V1861" s="7"/>
      <c r="W1861" s="7"/>
    </row>
    <row r="1862" spans="1:23" ht="46.5" x14ac:dyDescent="0.35">
      <c r="A1862" s="257"/>
      <c r="B1862" s="257"/>
      <c r="C1862" s="260"/>
      <c r="D1862" s="263"/>
      <c r="E1862" s="269"/>
      <c r="F1862" s="269"/>
      <c r="G1862" s="120" t="s">
        <v>78</v>
      </c>
      <c r="H1862" s="159" t="s">
        <v>666</v>
      </c>
      <c r="I1862" s="158">
        <f>D1859*K1862</f>
        <v>60942</v>
      </c>
      <c r="J1862" s="158">
        <f>I1862/D1859</f>
        <v>21</v>
      </c>
      <c r="K1862" s="158">
        <f>19+2</f>
        <v>21</v>
      </c>
      <c r="L1862" s="7"/>
      <c r="M1862" s="7"/>
      <c r="N1862" s="7"/>
      <c r="O1862" s="7"/>
      <c r="P1862" s="7"/>
      <c r="Q1862" s="7"/>
      <c r="R1862" s="7"/>
      <c r="S1862" s="7"/>
      <c r="T1862" s="7"/>
      <c r="U1862" s="7"/>
      <c r="V1862" s="7"/>
      <c r="W1862" s="7"/>
    </row>
    <row r="1863" spans="1:23" ht="33" customHeight="1" x14ac:dyDescent="0.35">
      <c r="A1863" s="257"/>
      <c r="B1863" s="257"/>
      <c r="C1863" s="260"/>
      <c r="D1863" s="263"/>
      <c r="E1863" s="269"/>
      <c r="F1863" s="269"/>
      <c r="G1863" s="120" t="s">
        <v>79</v>
      </c>
      <c r="H1863" s="159" t="s">
        <v>666</v>
      </c>
      <c r="I1863" s="158">
        <f>D1859*K1863</f>
        <v>49334</v>
      </c>
      <c r="J1863" s="158">
        <f>I1863/D1859</f>
        <v>17</v>
      </c>
      <c r="K1863" s="158">
        <f>16+1</f>
        <v>17</v>
      </c>
      <c r="L1863" s="7"/>
      <c r="M1863" s="7"/>
      <c r="N1863" s="7"/>
      <c r="O1863" s="7"/>
      <c r="P1863" s="7"/>
      <c r="Q1863" s="7"/>
      <c r="R1863" s="7"/>
      <c r="S1863" s="7"/>
      <c r="T1863" s="7"/>
      <c r="U1863" s="7"/>
      <c r="V1863" s="7"/>
      <c r="W1863" s="7"/>
    </row>
    <row r="1864" spans="1:23" ht="15.75" customHeight="1" x14ac:dyDescent="0.35">
      <c r="A1864" s="256">
        <f>A1859+1</f>
        <v>71</v>
      </c>
      <c r="B1864" s="256">
        <v>119</v>
      </c>
      <c r="C1864" s="259" t="s">
        <v>105</v>
      </c>
      <c r="D1864" s="262">
        <v>811.7</v>
      </c>
      <c r="E1864" s="268" t="s">
        <v>80</v>
      </c>
      <c r="F1864" s="268">
        <v>3</v>
      </c>
      <c r="G1864" s="256" t="s">
        <v>72</v>
      </c>
      <c r="H1864" s="159" t="s">
        <v>73</v>
      </c>
      <c r="I1864" s="158">
        <f>I1865</f>
        <v>144482.6</v>
      </c>
      <c r="J1864" s="158">
        <f>J1865</f>
        <v>178</v>
      </c>
      <c r="K1864" s="158">
        <f>K1865</f>
        <v>178</v>
      </c>
      <c r="L1864" s="7"/>
      <c r="M1864" s="7"/>
      <c r="N1864" s="7"/>
      <c r="O1864" s="7"/>
      <c r="P1864" s="7"/>
      <c r="Q1864" s="7"/>
      <c r="R1864" s="7"/>
      <c r="S1864" s="7"/>
      <c r="T1864" s="7"/>
      <c r="U1864" s="7"/>
      <c r="V1864" s="7"/>
      <c r="W1864" s="7"/>
    </row>
    <row r="1865" spans="1:23" ht="46.5" x14ac:dyDescent="0.35">
      <c r="A1865" s="257"/>
      <c r="B1865" s="257"/>
      <c r="C1865" s="260"/>
      <c r="D1865" s="263"/>
      <c r="E1865" s="269"/>
      <c r="F1865" s="269"/>
      <c r="G1865" s="257"/>
      <c r="H1865" s="159" t="s">
        <v>705</v>
      </c>
      <c r="I1865" s="158">
        <f>D1864*K1865</f>
        <v>144482.6</v>
      </c>
      <c r="J1865" s="158">
        <f>I1865/D1864</f>
        <v>178</v>
      </c>
      <c r="K1865" s="158">
        <f>164+14</f>
        <v>178</v>
      </c>
      <c r="L1865" s="7"/>
      <c r="M1865" s="7"/>
      <c r="N1865" s="7"/>
      <c r="O1865" s="7"/>
      <c r="P1865" s="7"/>
      <c r="Q1865" s="7"/>
      <c r="R1865" s="7"/>
      <c r="S1865" s="7"/>
      <c r="T1865" s="7"/>
      <c r="U1865" s="7"/>
      <c r="V1865" s="7"/>
      <c r="W1865" s="7"/>
    </row>
    <row r="1866" spans="1:23" ht="15.75" customHeight="1" x14ac:dyDescent="0.35">
      <c r="A1866" s="251">
        <f>A1864+1</f>
        <v>72</v>
      </c>
      <c r="B1866" s="251">
        <v>179</v>
      </c>
      <c r="C1866" s="252" t="s">
        <v>106</v>
      </c>
      <c r="D1866" s="253">
        <v>840.9</v>
      </c>
      <c r="E1866" s="254" t="s">
        <v>80</v>
      </c>
      <c r="F1866" s="254">
        <v>3</v>
      </c>
      <c r="G1866" s="251" t="s">
        <v>72</v>
      </c>
      <c r="H1866" s="159" t="s">
        <v>73</v>
      </c>
      <c r="I1866" s="158">
        <f>I1867</f>
        <v>149680.20000000001</v>
      </c>
      <c r="J1866" s="158">
        <f>J1867</f>
        <v>178</v>
      </c>
      <c r="K1866" s="158">
        <f>K1867</f>
        <v>178</v>
      </c>
      <c r="L1866" s="7"/>
      <c r="M1866" s="7"/>
      <c r="N1866" s="7"/>
      <c r="O1866" s="7"/>
      <c r="P1866" s="7"/>
      <c r="Q1866" s="7"/>
      <c r="R1866" s="7"/>
      <c r="S1866" s="7"/>
      <c r="T1866" s="7"/>
      <c r="U1866" s="7"/>
      <c r="V1866" s="7"/>
      <c r="W1866" s="7"/>
    </row>
    <row r="1867" spans="1:23" ht="46.5" x14ac:dyDescent="0.35">
      <c r="A1867" s="251"/>
      <c r="B1867" s="251"/>
      <c r="C1867" s="252"/>
      <c r="D1867" s="253"/>
      <c r="E1867" s="254"/>
      <c r="F1867" s="254"/>
      <c r="G1867" s="251"/>
      <c r="H1867" s="159" t="s">
        <v>705</v>
      </c>
      <c r="I1867" s="158">
        <f>D1866*K1867</f>
        <v>149680.20000000001</v>
      </c>
      <c r="J1867" s="158">
        <f>I1867/D1866</f>
        <v>178</v>
      </c>
      <c r="K1867" s="158">
        <f>164+14</f>
        <v>178</v>
      </c>
      <c r="L1867" s="7"/>
      <c r="M1867" s="7"/>
      <c r="N1867" s="7"/>
      <c r="O1867" s="7"/>
      <c r="P1867" s="7"/>
      <c r="Q1867" s="7"/>
      <c r="R1867" s="7"/>
      <c r="S1867" s="7"/>
      <c r="T1867" s="7"/>
      <c r="U1867" s="7"/>
      <c r="V1867" s="7"/>
      <c r="W1867" s="7"/>
    </row>
    <row r="1868" spans="1:23" ht="15.75" customHeight="1" x14ac:dyDescent="0.35">
      <c r="A1868" s="251">
        <f>A1866+1</f>
        <v>73</v>
      </c>
      <c r="B1868" s="251">
        <v>244</v>
      </c>
      <c r="C1868" s="252" t="s">
        <v>107</v>
      </c>
      <c r="D1868" s="253">
        <v>3721.87</v>
      </c>
      <c r="E1868" s="254" t="s">
        <v>80</v>
      </c>
      <c r="F1868" s="254">
        <v>5</v>
      </c>
      <c r="G1868" s="251" t="s">
        <v>72</v>
      </c>
      <c r="H1868" s="159" t="s">
        <v>73</v>
      </c>
      <c r="I1868" s="158">
        <f>I1869</f>
        <v>662492.86</v>
      </c>
      <c r="J1868" s="158">
        <f>J1869</f>
        <v>178</v>
      </c>
      <c r="K1868" s="158">
        <f>K1869</f>
        <v>178</v>
      </c>
      <c r="L1868" s="7"/>
      <c r="M1868" s="7"/>
      <c r="N1868" s="7"/>
      <c r="O1868" s="7"/>
      <c r="P1868" s="7"/>
      <c r="Q1868" s="7"/>
      <c r="R1868" s="7"/>
      <c r="S1868" s="7"/>
      <c r="T1868" s="7"/>
      <c r="U1868" s="7"/>
      <c r="V1868" s="7"/>
      <c r="W1868" s="7"/>
    </row>
    <row r="1869" spans="1:23" ht="46.5" x14ac:dyDescent="0.35">
      <c r="A1869" s="251"/>
      <c r="B1869" s="251"/>
      <c r="C1869" s="252"/>
      <c r="D1869" s="253"/>
      <c r="E1869" s="254"/>
      <c r="F1869" s="254"/>
      <c r="G1869" s="251"/>
      <c r="H1869" s="159" t="s">
        <v>705</v>
      </c>
      <c r="I1869" s="158">
        <f>D1868*K1869</f>
        <v>662492.86</v>
      </c>
      <c r="J1869" s="158">
        <f>I1869/D1868</f>
        <v>178</v>
      </c>
      <c r="K1869" s="158">
        <f>164+14</f>
        <v>178</v>
      </c>
      <c r="L1869" s="7"/>
      <c r="M1869" s="7"/>
      <c r="N1869" s="7"/>
      <c r="O1869" s="7"/>
      <c r="P1869" s="7"/>
      <c r="Q1869" s="7"/>
      <c r="R1869" s="7"/>
      <c r="S1869" s="7"/>
      <c r="T1869" s="7"/>
      <c r="U1869" s="7"/>
      <c r="V1869" s="7"/>
      <c r="W1869" s="7"/>
    </row>
    <row r="1870" spans="1:23" x14ac:dyDescent="0.35">
      <c r="A1870" s="251">
        <f>A1868+1</f>
        <v>74</v>
      </c>
      <c r="B1870" s="251">
        <v>508</v>
      </c>
      <c r="C1870" s="252" t="s">
        <v>323</v>
      </c>
      <c r="D1870" s="253">
        <v>2539.88</v>
      </c>
      <c r="E1870" s="254" t="s">
        <v>71</v>
      </c>
      <c r="F1870" s="254">
        <v>5</v>
      </c>
      <c r="G1870" s="251" t="s">
        <v>72</v>
      </c>
      <c r="H1870" s="159" t="s">
        <v>73</v>
      </c>
      <c r="I1870" s="158">
        <f>I1871+I1872</f>
        <v>3707256.97</v>
      </c>
      <c r="J1870" s="158">
        <f>J1871+J1872</f>
        <v>1459.62</v>
      </c>
      <c r="K1870" s="158">
        <f>K1871+K1872</f>
        <v>2831</v>
      </c>
      <c r="L1870" s="7"/>
      <c r="M1870" s="7"/>
      <c r="N1870" s="7"/>
      <c r="O1870" s="7"/>
      <c r="P1870" s="7"/>
      <c r="Q1870" s="7"/>
      <c r="R1870" s="7"/>
      <c r="S1870" s="7"/>
      <c r="T1870" s="7"/>
      <c r="U1870" s="7"/>
      <c r="V1870" s="7"/>
      <c r="W1870" s="7"/>
    </row>
    <row r="1871" spans="1:23" x14ac:dyDescent="0.35">
      <c r="A1871" s="251">
        <v>75</v>
      </c>
      <c r="B1871" s="251"/>
      <c r="C1871" s="252"/>
      <c r="D1871" s="253"/>
      <c r="E1871" s="254"/>
      <c r="F1871" s="254"/>
      <c r="G1871" s="251"/>
      <c r="H1871" s="159" t="s">
        <v>74</v>
      </c>
      <c r="I1871" s="158">
        <f>5138975.56*0.7</f>
        <v>3597282.89</v>
      </c>
      <c r="J1871" s="158">
        <f>I1871/D1870</f>
        <v>1416.32</v>
      </c>
      <c r="K1871" s="158">
        <v>2772</v>
      </c>
      <c r="L1871" s="7"/>
      <c r="M1871" s="7"/>
      <c r="N1871" s="7"/>
      <c r="O1871" s="7"/>
      <c r="P1871" s="7"/>
      <c r="Q1871" s="7"/>
      <c r="R1871" s="7"/>
      <c r="S1871" s="7"/>
      <c r="T1871" s="7"/>
      <c r="U1871" s="7"/>
      <c r="V1871" s="7"/>
      <c r="W1871" s="7"/>
    </row>
    <row r="1872" spans="1:23" x14ac:dyDescent="0.35">
      <c r="A1872" s="251">
        <v>76</v>
      </c>
      <c r="B1872" s="251"/>
      <c r="C1872" s="252"/>
      <c r="D1872" s="253"/>
      <c r="E1872" s="254"/>
      <c r="F1872" s="254"/>
      <c r="G1872" s="251"/>
      <c r="H1872" s="159" t="s">
        <v>76</v>
      </c>
      <c r="I1872" s="158">
        <f>5138975.56*0.0214</f>
        <v>109974.08</v>
      </c>
      <c r="J1872" s="158">
        <f>I1872/D1870</f>
        <v>43.3</v>
      </c>
      <c r="K1872" s="158">
        <v>59</v>
      </c>
      <c r="L1872" s="7"/>
      <c r="M1872" s="7"/>
      <c r="N1872" s="7"/>
      <c r="O1872" s="7"/>
      <c r="P1872" s="7"/>
      <c r="Q1872" s="7"/>
      <c r="R1872" s="7"/>
      <c r="S1872" s="7"/>
      <c r="T1872" s="7"/>
      <c r="U1872" s="7"/>
      <c r="V1872" s="7"/>
      <c r="W1872" s="7"/>
    </row>
    <row r="1873" spans="1:23" x14ac:dyDescent="0.35">
      <c r="A1873" s="251">
        <f>A1870+1</f>
        <v>75</v>
      </c>
      <c r="B1873" s="251">
        <v>610</v>
      </c>
      <c r="C1873" s="252" t="s">
        <v>325</v>
      </c>
      <c r="D1873" s="253">
        <v>2077.6</v>
      </c>
      <c r="E1873" s="254" t="s">
        <v>75</v>
      </c>
      <c r="F1873" s="254">
        <v>5</v>
      </c>
      <c r="G1873" s="251" t="s">
        <v>72</v>
      </c>
      <c r="H1873" s="159" t="s">
        <v>73</v>
      </c>
      <c r="I1873" s="158">
        <f>I1874+I1875</f>
        <v>4153953.44</v>
      </c>
      <c r="J1873" s="158">
        <f>J1874+J1875</f>
        <v>1999.4</v>
      </c>
      <c r="K1873" s="158">
        <f>K1874+K1875</f>
        <v>2831</v>
      </c>
      <c r="L1873" s="7"/>
      <c r="M1873" s="7"/>
      <c r="N1873" s="7"/>
      <c r="O1873" s="7"/>
      <c r="P1873" s="7"/>
      <c r="Q1873" s="7"/>
      <c r="R1873" s="7"/>
      <c r="S1873" s="7"/>
      <c r="T1873" s="7"/>
      <c r="U1873" s="7"/>
      <c r="V1873" s="7"/>
      <c r="W1873" s="7"/>
    </row>
    <row r="1874" spans="1:23" x14ac:dyDescent="0.35">
      <c r="A1874" s="251">
        <v>75</v>
      </c>
      <c r="B1874" s="251"/>
      <c r="C1874" s="252"/>
      <c r="D1874" s="253"/>
      <c r="E1874" s="254"/>
      <c r="F1874" s="254"/>
      <c r="G1874" s="251"/>
      <c r="H1874" s="159" t="s">
        <v>74</v>
      </c>
      <c r="I1874" s="158">
        <f>K1874*D1873*0.7</f>
        <v>4031375.04</v>
      </c>
      <c r="J1874" s="158">
        <f>I1874/D1873</f>
        <v>1940.4</v>
      </c>
      <c r="K1874" s="158">
        <v>2772</v>
      </c>
      <c r="L1874" s="7"/>
      <c r="M1874" s="7"/>
      <c r="N1874" s="7"/>
      <c r="O1874" s="7"/>
      <c r="P1874" s="7"/>
      <c r="Q1874" s="7"/>
      <c r="R1874" s="7"/>
      <c r="S1874" s="7"/>
      <c r="T1874" s="7"/>
      <c r="U1874" s="7"/>
      <c r="V1874" s="7"/>
      <c r="W1874" s="7"/>
    </row>
    <row r="1875" spans="1:23" x14ac:dyDescent="0.35">
      <c r="A1875" s="251">
        <v>76</v>
      </c>
      <c r="B1875" s="251"/>
      <c r="C1875" s="252"/>
      <c r="D1875" s="253"/>
      <c r="E1875" s="254"/>
      <c r="F1875" s="254"/>
      <c r="G1875" s="251"/>
      <c r="H1875" s="159" t="s">
        <v>76</v>
      </c>
      <c r="I1875" s="158">
        <f>K1875*D1873</f>
        <v>122578.4</v>
      </c>
      <c r="J1875" s="158">
        <f>I1875/D1873</f>
        <v>59</v>
      </c>
      <c r="K1875" s="158">
        <v>59</v>
      </c>
      <c r="L1875" s="7"/>
      <c r="M1875" s="7"/>
      <c r="N1875" s="7"/>
      <c r="O1875" s="7"/>
      <c r="P1875" s="7"/>
      <c r="Q1875" s="7"/>
      <c r="R1875" s="7"/>
      <c r="S1875" s="7"/>
      <c r="T1875" s="7"/>
      <c r="U1875" s="7"/>
      <c r="V1875" s="7"/>
      <c r="W1875" s="7"/>
    </row>
    <row r="1876" spans="1:23" ht="15.75" customHeight="1" x14ac:dyDescent="0.35">
      <c r="A1876" s="251">
        <f>A1873+1</f>
        <v>76</v>
      </c>
      <c r="B1876" s="251">
        <v>1836</v>
      </c>
      <c r="C1876" s="252" t="s">
        <v>752</v>
      </c>
      <c r="D1876" s="253">
        <v>7452.1</v>
      </c>
      <c r="E1876" s="254" t="s">
        <v>75</v>
      </c>
      <c r="F1876" s="254">
        <v>6</v>
      </c>
      <c r="G1876" s="251" t="s">
        <v>72</v>
      </c>
      <c r="H1876" s="159" t="s">
        <v>73</v>
      </c>
      <c r="I1876" s="158">
        <f>I1877</f>
        <v>1088006.6000000001</v>
      </c>
      <c r="J1876" s="158">
        <f>J1877</f>
        <v>146</v>
      </c>
      <c r="K1876" s="158">
        <f>K1877</f>
        <v>146</v>
      </c>
      <c r="L1876" s="7"/>
      <c r="M1876" s="7"/>
      <c r="N1876" s="7"/>
      <c r="O1876" s="7"/>
      <c r="P1876" s="7"/>
      <c r="Q1876" s="7"/>
      <c r="R1876" s="7"/>
      <c r="S1876" s="7"/>
      <c r="T1876" s="7"/>
      <c r="U1876" s="7"/>
      <c r="V1876" s="7"/>
      <c r="W1876" s="7"/>
    </row>
    <row r="1877" spans="1:23" ht="46.5" x14ac:dyDescent="0.35">
      <c r="A1877" s="251"/>
      <c r="B1877" s="251"/>
      <c r="C1877" s="252"/>
      <c r="D1877" s="253"/>
      <c r="E1877" s="254"/>
      <c r="F1877" s="254"/>
      <c r="G1877" s="251"/>
      <c r="H1877" s="159" t="s">
        <v>796</v>
      </c>
      <c r="I1877" s="158">
        <f>D1876*K1877</f>
        <v>1088006.6000000001</v>
      </c>
      <c r="J1877" s="158">
        <f>I1877/D1876</f>
        <v>146</v>
      </c>
      <c r="K1877" s="158">
        <f>135+11</f>
        <v>146</v>
      </c>
      <c r="L1877" s="7"/>
      <c r="M1877" s="7"/>
      <c r="N1877" s="7"/>
      <c r="O1877" s="7"/>
      <c r="P1877" s="7"/>
      <c r="Q1877" s="7"/>
      <c r="R1877" s="7"/>
      <c r="S1877" s="7"/>
      <c r="T1877" s="7"/>
      <c r="U1877" s="7"/>
      <c r="V1877" s="7"/>
      <c r="W1877" s="7"/>
    </row>
    <row r="1878" spans="1:23" x14ac:dyDescent="0.35">
      <c r="A1878" s="251">
        <f>A1876+1</f>
        <v>77</v>
      </c>
      <c r="B1878" s="251">
        <v>1846</v>
      </c>
      <c r="C1878" s="252" t="s">
        <v>328</v>
      </c>
      <c r="D1878" s="253">
        <v>3875.5</v>
      </c>
      <c r="E1878" s="254" t="s">
        <v>71</v>
      </c>
      <c r="F1878" s="254">
        <v>5</v>
      </c>
      <c r="G1878" s="251" t="s">
        <v>72</v>
      </c>
      <c r="H1878" s="159" t="s">
        <v>73</v>
      </c>
      <c r="I1878" s="158">
        <f>I1879+I1880</f>
        <v>8711400.1400000006</v>
      </c>
      <c r="J1878" s="158">
        <f>J1879+J1880</f>
        <v>2247.81</v>
      </c>
      <c r="K1878" s="158">
        <f>K1879+K1880</f>
        <v>3449</v>
      </c>
      <c r="L1878" s="7"/>
      <c r="M1878" s="7"/>
      <c r="N1878" s="7"/>
      <c r="O1878" s="7"/>
      <c r="P1878" s="7"/>
      <c r="Q1878" s="7"/>
      <c r="R1878" s="7"/>
      <c r="S1878" s="7"/>
      <c r="T1878" s="7"/>
      <c r="U1878" s="7"/>
      <c r="V1878" s="7"/>
      <c r="W1878" s="7"/>
    </row>
    <row r="1879" spans="1:23" ht="31" x14ac:dyDescent="0.35">
      <c r="A1879" s="251">
        <v>77</v>
      </c>
      <c r="B1879" s="251"/>
      <c r="C1879" s="252"/>
      <c r="D1879" s="253"/>
      <c r="E1879" s="254"/>
      <c r="F1879" s="254"/>
      <c r="G1879" s="251"/>
      <c r="H1879" s="159" t="s">
        <v>86</v>
      </c>
      <c r="I1879" s="158">
        <f>12075686.36*0.7</f>
        <v>8452980.4499999993</v>
      </c>
      <c r="J1879" s="158">
        <f>I1879/D1878</f>
        <v>2181.13</v>
      </c>
      <c r="K1879" s="158">
        <v>3377</v>
      </c>
      <c r="L1879" s="7"/>
      <c r="M1879" s="7"/>
      <c r="N1879" s="7"/>
      <c r="O1879" s="7"/>
      <c r="P1879" s="7"/>
      <c r="Q1879" s="7"/>
      <c r="R1879" s="7"/>
      <c r="S1879" s="7"/>
      <c r="T1879" s="7"/>
      <c r="U1879" s="7"/>
      <c r="V1879" s="7"/>
      <c r="W1879" s="7"/>
    </row>
    <row r="1880" spans="1:23" x14ac:dyDescent="0.35">
      <c r="A1880" s="251">
        <v>78</v>
      </c>
      <c r="B1880" s="251"/>
      <c r="C1880" s="252"/>
      <c r="D1880" s="253"/>
      <c r="E1880" s="254"/>
      <c r="F1880" s="254"/>
      <c r="G1880" s="251"/>
      <c r="H1880" s="159" t="s">
        <v>76</v>
      </c>
      <c r="I1880" s="158">
        <f>12075686.36*0.0214</f>
        <v>258419.69</v>
      </c>
      <c r="J1880" s="158">
        <f>I1880/D1878</f>
        <v>66.680000000000007</v>
      </c>
      <c r="K1880" s="158">
        <v>72</v>
      </c>
      <c r="L1880" s="7"/>
      <c r="M1880" s="7"/>
      <c r="N1880" s="7"/>
      <c r="O1880" s="7"/>
      <c r="P1880" s="7"/>
      <c r="Q1880" s="7"/>
      <c r="R1880" s="7"/>
      <c r="S1880" s="7"/>
      <c r="T1880" s="7"/>
      <c r="U1880" s="7"/>
      <c r="V1880" s="7"/>
      <c r="W1880" s="7"/>
    </row>
    <row r="1881" spans="1:23" ht="15.75" customHeight="1" x14ac:dyDescent="0.35">
      <c r="A1881" s="251">
        <f>A1878+1</f>
        <v>78</v>
      </c>
      <c r="B1881" s="251">
        <v>1408</v>
      </c>
      <c r="C1881" s="252" t="s">
        <v>567</v>
      </c>
      <c r="D1881" s="253">
        <v>3363.29</v>
      </c>
      <c r="E1881" s="254" t="s">
        <v>75</v>
      </c>
      <c r="F1881" s="254">
        <v>5</v>
      </c>
      <c r="G1881" s="251" t="s">
        <v>72</v>
      </c>
      <c r="H1881" s="159" t="s">
        <v>73</v>
      </c>
      <c r="I1881" s="158">
        <f>I1882</f>
        <v>551579.56000000006</v>
      </c>
      <c r="J1881" s="158">
        <f>J1882</f>
        <v>164</v>
      </c>
      <c r="K1881" s="158">
        <f>K1882</f>
        <v>164</v>
      </c>
      <c r="L1881" s="7"/>
      <c r="M1881" s="7"/>
      <c r="N1881" s="7"/>
      <c r="O1881" s="7"/>
      <c r="P1881" s="7"/>
      <c r="Q1881" s="7"/>
      <c r="R1881" s="7"/>
      <c r="S1881" s="7"/>
      <c r="T1881" s="7"/>
      <c r="U1881" s="7"/>
      <c r="V1881" s="7"/>
      <c r="W1881" s="7"/>
    </row>
    <row r="1882" spans="1:23" ht="46.5" x14ac:dyDescent="0.35">
      <c r="A1882" s="251"/>
      <c r="B1882" s="251"/>
      <c r="C1882" s="252"/>
      <c r="D1882" s="253"/>
      <c r="E1882" s="254"/>
      <c r="F1882" s="254"/>
      <c r="G1882" s="251"/>
      <c r="H1882" s="159" t="s">
        <v>705</v>
      </c>
      <c r="I1882" s="158">
        <f>D1881*K1882</f>
        <v>551579.56000000006</v>
      </c>
      <c r="J1882" s="158">
        <f>I1882/D1881</f>
        <v>164</v>
      </c>
      <c r="K1882" s="158">
        <f>151+13</f>
        <v>164</v>
      </c>
      <c r="L1882" s="7"/>
      <c r="M1882" s="7"/>
      <c r="N1882" s="7"/>
      <c r="O1882" s="7"/>
      <c r="P1882" s="7"/>
      <c r="Q1882" s="7"/>
      <c r="R1882" s="7"/>
      <c r="S1882" s="7"/>
      <c r="T1882" s="7"/>
      <c r="U1882" s="7"/>
      <c r="V1882" s="7"/>
      <c r="W1882" s="7"/>
    </row>
    <row r="1883" spans="1:23" ht="15.75" customHeight="1" x14ac:dyDescent="0.35">
      <c r="A1883" s="256">
        <f>A1881+1</f>
        <v>79</v>
      </c>
      <c r="B1883" s="256">
        <v>1410</v>
      </c>
      <c r="C1883" s="259" t="s">
        <v>568</v>
      </c>
      <c r="D1883" s="262">
        <v>1477.5</v>
      </c>
      <c r="E1883" s="268" t="s">
        <v>75</v>
      </c>
      <c r="F1883" s="268">
        <v>5</v>
      </c>
      <c r="G1883" s="149"/>
      <c r="H1883" s="159" t="s">
        <v>73</v>
      </c>
      <c r="I1883" s="158">
        <f>I1884+I1885+I1886</f>
        <v>557017.5</v>
      </c>
      <c r="J1883" s="158">
        <f>J1884+J1885+J1886</f>
        <v>377</v>
      </c>
      <c r="K1883" s="158">
        <f>K1884+K1885+K1886</f>
        <v>377</v>
      </c>
      <c r="L1883" s="7"/>
      <c r="M1883" s="7"/>
      <c r="N1883" s="7"/>
      <c r="O1883" s="7"/>
      <c r="P1883" s="7"/>
      <c r="Q1883" s="7"/>
      <c r="R1883" s="7"/>
      <c r="S1883" s="7"/>
      <c r="T1883" s="7"/>
      <c r="U1883" s="7"/>
      <c r="V1883" s="7"/>
      <c r="W1883" s="7"/>
    </row>
    <row r="1884" spans="1:23" ht="46.5" x14ac:dyDescent="0.35">
      <c r="A1884" s="257"/>
      <c r="B1884" s="257"/>
      <c r="C1884" s="260"/>
      <c r="D1884" s="263"/>
      <c r="E1884" s="269"/>
      <c r="F1884" s="269"/>
      <c r="G1884" s="120" t="s">
        <v>72</v>
      </c>
      <c r="H1884" s="159" t="s">
        <v>705</v>
      </c>
      <c r="I1884" s="158">
        <f>D1883*K1884</f>
        <v>242310</v>
      </c>
      <c r="J1884" s="158">
        <f>I1884/D1883</f>
        <v>164</v>
      </c>
      <c r="K1884" s="158">
        <f>151+13</f>
        <v>164</v>
      </c>
      <c r="L1884" s="7"/>
      <c r="M1884" s="7"/>
      <c r="N1884" s="7"/>
      <c r="O1884" s="7"/>
      <c r="P1884" s="7"/>
      <c r="Q1884" s="7"/>
      <c r="R1884" s="7"/>
      <c r="S1884" s="7"/>
      <c r="T1884" s="7"/>
      <c r="U1884" s="7"/>
      <c r="V1884" s="7"/>
      <c r="W1884" s="7"/>
    </row>
    <row r="1885" spans="1:23" ht="46.5" x14ac:dyDescent="0.35">
      <c r="A1885" s="257"/>
      <c r="B1885" s="257"/>
      <c r="C1885" s="260"/>
      <c r="D1885" s="263"/>
      <c r="E1885" s="269"/>
      <c r="F1885" s="269"/>
      <c r="G1885" s="256" t="s">
        <v>85</v>
      </c>
      <c r="H1885" s="159" t="s">
        <v>705</v>
      </c>
      <c r="I1885" s="158">
        <f>D1883*K1885</f>
        <v>65010</v>
      </c>
      <c r="J1885" s="158">
        <f>I1885/D1883</f>
        <v>44</v>
      </c>
      <c r="K1885" s="158">
        <f>41+3</f>
        <v>44</v>
      </c>
      <c r="L1885" s="7"/>
      <c r="M1885" s="7"/>
      <c r="N1885" s="7"/>
      <c r="O1885" s="7"/>
      <c r="P1885" s="7"/>
      <c r="Q1885" s="7"/>
      <c r="R1885" s="7"/>
      <c r="S1885" s="7"/>
      <c r="T1885" s="7"/>
      <c r="U1885" s="7"/>
      <c r="V1885" s="7"/>
      <c r="W1885" s="7"/>
    </row>
    <row r="1886" spans="1:23" ht="46.5" x14ac:dyDescent="0.35">
      <c r="A1886" s="257"/>
      <c r="B1886" s="257"/>
      <c r="C1886" s="260"/>
      <c r="D1886" s="263"/>
      <c r="E1886" s="269"/>
      <c r="F1886" s="269"/>
      <c r="G1886" s="258"/>
      <c r="H1886" s="159" t="s">
        <v>706</v>
      </c>
      <c r="I1886" s="158">
        <f>D1883*K1886</f>
        <v>249697.5</v>
      </c>
      <c r="J1886" s="158">
        <f>I1886/D1883</f>
        <v>169</v>
      </c>
      <c r="K1886" s="158">
        <f>156+13</f>
        <v>169</v>
      </c>
      <c r="L1886" s="7"/>
      <c r="M1886" s="7"/>
      <c r="N1886" s="7"/>
      <c r="O1886" s="7"/>
      <c r="P1886" s="7"/>
      <c r="Q1886" s="7"/>
      <c r="R1886" s="7"/>
      <c r="S1886" s="7"/>
      <c r="T1886" s="7"/>
      <c r="U1886" s="7"/>
      <c r="V1886" s="7"/>
      <c r="W1886" s="7"/>
    </row>
    <row r="1887" spans="1:23" ht="15.75" customHeight="1" x14ac:dyDescent="0.35">
      <c r="A1887" s="256">
        <f>A1883+1</f>
        <v>80</v>
      </c>
      <c r="B1887" s="256">
        <v>1349</v>
      </c>
      <c r="C1887" s="259" t="s">
        <v>108</v>
      </c>
      <c r="D1887" s="262">
        <v>639.14</v>
      </c>
      <c r="E1887" s="262" t="s">
        <v>75</v>
      </c>
      <c r="F1887" s="265">
        <v>2</v>
      </c>
      <c r="G1887" s="149"/>
      <c r="H1887" s="159" t="s">
        <v>73</v>
      </c>
      <c r="I1887" s="158">
        <f>I1888+I1889</f>
        <v>182154.9</v>
      </c>
      <c r="J1887" s="158">
        <f>J1888+J1889</f>
        <v>285</v>
      </c>
      <c r="K1887" s="158">
        <f>K1888+K1889</f>
        <v>285</v>
      </c>
      <c r="L1887" s="7"/>
      <c r="M1887" s="7"/>
      <c r="N1887" s="7"/>
      <c r="O1887" s="7"/>
      <c r="P1887" s="7"/>
      <c r="Q1887" s="7"/>
      <c r="R1887" s="7"/>
      <c r="S1887" s="7"/>
      <c r="T1887" s="7"/>
      <c r="U1887" s="7"/>
      <c r="V1887" s="7"/>
      <c r="W1887" s="7"/>
    </row>
    <row r="1888" spans="1:23" ht="46.5" x14ac:dyDescent="0.35">
      <c r="A1888" s="257"/>
      <c r="B1888" s="257"/>
      <c r="C1888" s="260"/>
      <c r="D1888" s="263"/>
      <c r="E1888" s="263"/>
      <c r="F1888" s="266"/>
      <c r="G1888" s="123" t="s">
        <v>72</v>
      </c>
      <c r="H1888" s="159" t="s">
        <v>705</v>
      </c>
      <c r="I1888" s="158">
        <f>D1887*K1888</f>
        <v>104818.96</v>
      </c>
      <c r="J1888" s="158">
        <f>I1888/D1887</f>
        <v>164</v>
      </c>
      <c r="K1888" s="158">
        <f>151+13</f>
        <v>164</v>
      </c>
      <c r="L1888" s="7"/>
      <c r="M1888" s="7"/>
      <c r="N1888" s="7"/>
      <c r="O1888" s="7"/>
      <c r="P1888" s="7"/>
      <c r="Q1888" s="7"/>
      <c r="R1888" s="7"/>
      <c r="S1888" s="7"/>
      <c r="T1888" s="7"/>
      <c r="U1888" s="7"/>
      <c r="V1888" s="7"/>
      <c r="W1888" s="7"/>
    </row>
    <row r="1889" spans="1:23" ht="117.75" customHeight="1" x14ac:dyDescent="0.35">
      <c r="A1889" s="258"/>
      <c r="B1889" s="258"/>
      <c r="C1889" s="261"/>
      <c r="D1889" s="264"/>
      <c r="E1889" s="264"/>
      <c r="F1889" s="267"/>
      <c r="G1889" s="120" t="s">
        <v>109</v>
      </c>
      <c r="H1889" s="159" t="s">
        <v>666</v>
      </c>
      <c r="I1889" s="158">
        <f>D1887*K1889</f>
        <v>77335.94</v>
      </c>
      <c r="J1889" s="158">
        <f>I1889/D1887</f>
        <v>121</v>
      </c>
      <c r="K1889" s="158">
        <f>112+9</f>
        <v>121</v>
      </c>
      <c r="L1889" s="7"/>
      <c r="M1889" s="7"/>
      <c r="N1889" s="7"/>
      <c r="O1889" s="7"/>
      <c r="P1889" s="7"/>
      <c r="Q1889" s="7"/>
      <c r="R1889" s="7"/>
      <c r="S1889" s="7"/>
      <c r="T1889" s="7"/>
      <c r="U1889" s="7"/>
      <c r="V1889" s="7"/>
      <c r="W1889" s="7"/>
    </row>
    <row r="1890" spans="1:23" x14ac:dyDescent="0.35">
      <c r="A1890" s="251">
        <f>A1887+1</f>
        <v>81</v>
      </c>
      <c r="B1890" s="251">
        <v>1858</v>
      </c>
      <c r="C1890" s="252" t="s">
        <v>331</v>
      </c>
      <c r="D1890" s="253">
        <v>3498.4</v>
      </c>
      <c r="E1890" s="254" t="s">
        <v>75</v>
      </c>
      <c r="F1890" s="254">
        <v>5</v>
      </c>
      <c r="G1890" s="251" t="s">
        <v>72</v>
      </c>
      <c r="H1890" s="159" t="s">
        <v>73</v>
      </c>
      <c r="I1890" s="158">
        <f>I1891+I1892</f>
        <v>6994700.96</v>
      </c>
      <c r="J1890" s="158">
        <f>J1891+J1892</f>
        <v>1999.4</v>
      </c>
      <c r="K1890" s="158">
        <f>K1891+K1892</f>
        <v>2831</v>
      </c>
      <c r="L1890" s="7"/>
      <c r="M1890" s="7"/>
      <c r="N1890" s="7"/>
      <c r="O1890" s="7"/>
      <c r="P1890" s="7"/>
      <c r="Q1890" s="7"/>
      <c r="R1890" s="7"/>
      <c r="S1890" s="7"/>
      <c r="T1890" s="7"/>
      <c r="U1890" s="7"/>
      <c r="V1890" s="7"/>
      <c r="W1890" s="7"/>
    </row>
    <row r="1891" spans="1:23" x14ac:dyDescent="0.35">
      <c r="A1891" s="251">
        <v>77</v>
      </c>
      <c r="B1891" s="251"/>
      <c r="C1891" s="252"/>
      <c r="D1891" s="253"/>
      <c r="E1891" s="254"/>
      <c r="F1891" s="254"/>
      <c r="G1891" s="251"/>
      <c r="H1891" s="159" t="s">
        <v>74</v>
      </c>
      <c r="I1891" s="158">
        <f>K1891*D1890*0.7</f>
        <v>6788295.3600000003</v>
      </c>
      <c r="J1891" s="158">
        <f>I1891/D1890</f>
        <v>1940.4</v>
      </c>
      <c r="K1891" s="158">
        <v>2772</v>
      </c>
      <c r="L1891" s="7"/>
      <c r="M1891" s="7"/>
      <c r="N1891" s="7"/>
      <c r="O1891" s="7"/>
      <c r="P1891" s="7"/>
      <c r="Q1891" s="7"/>
      <c r="R1891" s="7"/>
      <c r="S1891" s="7"/>
      <c r="T1891" s="7"/>
      <c r="U1891" s="7"/>
      <c r="V1891" s="7"/>
      <c r="W1891" s="7"/>
    </row>
    <row r="1892" spans="1:23" x14ac:dyDescent="0.35">
      <c r="A1892" s="251">
        <v>78</v>
      </c>
      <c r="B1892" s="251"/>
      <c r="C1892" s="252"/>
      <c r="D1892" s="253"/>
      <c r="E1892" s="254"/>
      <c r="F1892" s="254"/>
      <c r="G1892" s="251"/>
      <c r="H1892" s="159" t="s">
        <v>76</v>
      </c>
      <c r="I1892" s="158">
        <f>K1892*D1890</f>
        <v>206405.6</v>
      </c>
      <c r="J1892" s="158">
        <f>I1892/D1890</f>
        <v>59</v>
      </c>
      <c r="K1892" s="158">
        <v>59</v>
      </c>
      <c r="L1892" s="7"/>
      <c r="M1892" s="7"/>
      <c r="N1892" s="7"/>
      <c r="O1892" s="7"/>
      <c r="P1892" s="7"/>
      <c r="Q1892" s="7"/>
      <c r="R1892" s="7"/>
      <c r="S1892" s="7"/>
      <c r="T1892" s="7"/>
      <c r="U1892" s="7"/>
      <c r="V1892" s="7"/>
      <c r="W1892" s="7"/>
    </row>
    <row r="1893" spans="1:23" ht="15.75" customHeight="1" x14ac:dyDescent="0.35">
      <c r="A1893" s="256">
        <f>A1890+1</f>
        <v>82</v>
      </c>
      <c r="B1893" s="256">
        <v>1275</v>
      </c>
      <c r="C1893" s="259" t="s">
        <v>753</v>
      </c>
      <c r="D1893" s="262">
        <v>2591.9</v>
      </c>
      <c r="E1893" s="268" t="s">
        <v>75</v>
      </c>
      <c r="F1893" s="268">
        <v>6</v>
      </c>
      <c r="G1893" s="144"/>
      <c r="H1893" s="159" t="s">
        <v>73</v>
      </c>
      <c r="I1893" s="158">
        <f>I1894+I1895+I1896</f>
        <v>401744.5</v>
      </c>
      <c r="J1893" s="158">
        <f>J1894+J1895+J1896</f>
        <v>155</v>
      </c>
      <c r="K1893" s="158">
        <f>K1894+K1895+K1896</f>
        <v>155</v>
      </c>
      <c r="L1893" s="7"/>
      <c r="M1893" s="7"/>
      <c r="N1893" s="7"/>
      <c r="O1893" s="7"/>
      <c r="P1893" s="7"/>
      <c r="Q1893" s="7"/>
      <c r="R1893" s="7"/>
      <c r="S1893" s="7"/>
      <c r="T1893" s="7"/>
      <c r="U1893" s="7"/>
      <c r="V1893" s="7"/>
      <c r="W1893" s="7"/>
    </row>
    <row r="1894" spans="1:23" ht="31" x14ac:dyDescent="0.35">
      <c r="A1894" s="257"/>
      <c r="B1894" s="257"/>
      <c r="C1894" s="260"/>
      <c r="D1894" s="263"/>
      <c r="E1894" s="269"/>
      <c r="F1894" s="269"/>
      <c r="G1894" s="120" t="s">
        <v>77</v>
      </c>
      <c r="H1894" s="159" t="s">
        <v>666</v>
      </c>
      <c r="I1894" s="158">
        <f>D1893*K1894</f>
        <v>303252.3</v>
      </c>
      <c r="J1894" s="158">
        <f>I1894/D1893</f>
        <v>117</v>
      </c>
      <c r="K1894" s="158">
        <f>108+9</f>
        <v>117</v>
      </c>
      <c r="L1894" s="7"/>
      <c r="M1894" s="7"/>
      <c r="N1894" s="7"/>
      <c r="O1894" s="7"/>
      <c r="P1894" s="7"/>
      <c r="Q1894" s="7"/>
      <c r="R1894" s="7"/>
      <c r="S1894" s="7"/>
      <c r="T1894" s="7"/>
      <c r="U1894" s="7"/>
      <c r="V1894" s="7"/>
      <c r="W1894" s="7"/>
    </row>
    <row r="1895" spans="1:23" ht="46.5" x14ac:dyDescent="0.35">
      <c r="A1895" s="257"/>
      <c r="B1895" s="257"/>
      <c r="C1895" s="260"/>
      <c r="D1895" s="263"/>
      <c r="E1895" s="269"/>
      <c r="F1895" s="269"/>
      <c r="G1895" s="120" t="s">
        <v>78</v>
      </c>
      <c r="H1895" s="159" t="s">
        <v>666</v>
      </c>
      <c r="I1895" s="158">
        <f>D1893*K1895</f>
        <v>54429.9</v>
      </c>
      <c r="J1895" s="158">
        <f>I1895/D1893</f>
        <v>21</v>
      </c>
      <c r="K1895" s="158">
        <f>19+2</f>
        <v>21</v>
      </c>
      <c r="L1895" s="7"/>
      <c r="M1895" s="7"/>
      <c r="N1895" s="7"/>
      <c r="O1895" s="7"/>
      <c r="P1895" s="7"/>
      <c r="Q1895" s="7"/>
      <c r="R1895" s="7"/>
      <c r="S1895" s="7"/>
      <c r="T1895" s="7"/>
      <c r="U1895" s="7"/>
      <c r="V1895" s="7"/>
      <c r="W1895" s="7"/>
    </row>
    <row r="1896" spans="1:23" ht="30.75" customHeight="1" x14ac:dyDescent="0.35">
      <c r="A1896" s="257"/>
      <c r="B1896" s="257"/>
      <c r="C1896" s="260"/>
      <c r="D1896" s="263"/>
      <c r="E1896" s="269"/>
      <c r="F1896" s="269"/>
      <c r="G1896" s="120" t="s">
        <v>79</v>
      </c>
      <c r="H1896" s="159" t="s">
        <v>666</v>
      </c>
      <c r="I1896" s="158">
        <f>D1893*K1896</f>
        <v>44062.3</v>
      </c>
      <c r="J1896" s="158">
        <f>I1896/D1893</f>
        <v>17</v>
      </c>
      <c r="K1896" s="158">
        <f>16+1</f>
        <v>17</v>
      </c>
      <c r="L1896" s="7"/>
      <c r="M1896" s="7"/>
      <c r="N1896" s="7"/>
      <c r="O1896" s="7"/>
      <c r="P1896" s="7"/>
      <c r="Q1896" s="7"/>
      <c r="R1896" s="7"/>
      <c r="S1896" s="7"/>
      <c r="T1896" s="7"/>
      <c r="U1896" s="7"/>
      <c r="V1896" s="7"/>
      <c r="W1896" s="7"/>
    </row>
    <row r="1897" spans="1:23" ht="15.75" customHeight="1" x14ac:dyDescent="0.35">
      <c r="A1897" s="251">
        <f>A1893+1</f>
        <v>83</v>
      </c>
      <c r="B1897" s="251">
        <v>1725</v>
      </c>
      <c r="C1897" s="252" t="s">
        <v>332</v>
      </c>
      <c r="D1897" s="253">
        <v>299.2</v>
      </c>
      <c r="E1897" s="254" t="s">
        <v>665</v>
      </c>
      <c r="F1897" s="254">
        <v>2</v>
      </c>
      <c r="G1897" s="251" t="s">
        <v>72</v>
      </c>
      <c r="H1897" s="159" t="s">
        <v>73</v>
      </c>
      <c r="I1897" s="158">
        <f>I1898+I1899</f>
        <v>1472512.94</v>
      </c>
      <c r="J1897" s="158">
        <f>J1898+J1899</f>
        <v>4921.5</v>
      </c>
      <c r="K1897" s="158">
        <f>K1898+K1899</f>
        <v>7066</v>
      </c>
      <c r="L1897" s="7"/>
      <c r="M1897" s="7"/>
      <c r="N1897" s="7"/>
      <c r="O1897" s="7"/>
      <c r="P1897" s="7"/>
      <c r="Q1897" s="7"/>
      <c r="R1897" s="7"/>
      <c r="S1897" s="7"/>
      <c r="T1897" s="7"/>
      <c r="U1897" s="7"/>
      <c r="V1897" s="7"/>
      <c r="W1897" s="7"/>
    </row>
    <row r="1898" spans="1:23" x14ac:dyDescent="0.35">
      <c r="A1898" s="251">
        <v>77</v>
      </c>
      <c r="B1898" s="251"/>
      <c r="C1898" s="252"/>
      <c r="D1898" s="253"/>
      <c r="E1898" s="254"/>
      <c r="F1898" s="254"/>
      <c r="G1898" s="251"/>
      <c r="H1898" s="159" t="s">
        <v>74</v>
      </c>
      <c r="I1898" s="158">
        <f>2059516.27*0.7</f>
        <v>1441661.39</v>
      </c>
      <c r="J1898" s="158">
        <f>I1898/D1897</f>
        <v>4818.3900000000003</v>
      </c>
      <c r="K1898" s="158">
        <v>6918</v>
      </c>
      <c r="L1898" s="7"/>
      <c r="M1898" s="7"/>
      <c r="N1898" s="7"/>
      <c r="O1898" s="7"/>
      <c r="P1898" s="7"/>
      <c r="Q1898" s="7"/>
      <c r="R1898" s="7"/>
      <c r="S1898" s="7"/>
      <c r="T1898" s="7"/>
      <c r="U1898" s="7"/>
      <c r="V1898" s="7"/>
      <c r="W1898" s="7"/>
    </row>
    <row r="1899" spans="1:23" x14ac:dyDescent="0.35">
      <c r="A1899" s="251">
        <v>78</v>
      </c>
      <c r="B1899" s="251"/>
      <c r="C1899" s="252"/>
      <c r="D1899" s="253"/>
      <c r="E1899" s="254"/>
      <c r="F1899" s="254"/>
      <c r="G1899" s="251"/>
      <c r="H1899" s="159" t="s">
        <v>76</v>
      </c>
      <c r="I1899" s="158">
        <f>I1898*0.0214</f>
        <v>30851.55</v>
      </c>
      <c r="J1899" s="158">
        <f>I1899/D1897</f>
        <v>103.11</v>
      </c>
      <c r="K1899" s="158">
        <v>148</v>
      </c>
      <c r="L1899" s="7"/>
      <c r="M1899" s="7"/>
      <c r="N1899" s="7"/>
      <c r="O1899" s="7"/>
      <c r="P1899" s="7"/>
      <c r="Q1899" s="7"/>
      <c r="R1899" s="7"/>
      <c r="S1899" s="7"/>
      <c r="T1899" s="7"/>
      <c r="U1899" s="7"/>
      <c r="V1899" s="7"/>
      <c r="W1899" s="7"/>
    </row>
    <row r="1900" spans="1:23" ht="15.75" customHeight="1" x14ac:dyDescent="0.35">
      <c r="A1900" s="251">
        <f>A1897+1</f>
        <v>84</v>
      </c>
      <c r="B1900" s="251">
        <v>1286</v>
      </c>
      <c r="C1900" s="252" t="s">
        <v>110</v>
      </c>
      <c r="D1900" s="253">
        <v>3177.26</v>
      </c>
      <c r="E1900" s="254" t="s">
        <v>75</v>
      </c>
      <c r="F1900" s="254">
        <v>5</v>
      </c>
      <c r="G1900" s="251" t="s">
        <v>72</v>
      </c>
      <c r="H1900" s="159" t="s">
        <v>73</v>
      </c>
      <c r="I1900" s="158">
        <f>I1901</f>
        <v>521070.64</v>
      </c>
      <c r="J1900" s="158">
        <f>J1901</f>
        <v>164</v>
      </c>
      <c r="K1900" s="158">
        <f>K1901</f>
        <v>164</v>
      </c>
      <c r="L1900" s="7"/>
      <c r="M1900" s="7"/>
      <c r="N1900" s="7"/>
      <c r="O1900" s="7"/>
      <c r="P1900" s="7"/>
      <c r="Q1900" s="7"/>
      <c r="R1900" s="7"/>
      <c r="S1900" s="7"/>
      <c r="T1900" s="7"/>
      <c r="U1900" s="7"/>
      <c r="V1900" s="7"/>
      <c r="W1900" s="7"/>
    </row>
    <row r="1901" spans="1:23" ht="46.5" x14ac:dyDescent="0.35">
      <c r="A1901" s="251"/>
      <c r="B1901" s="251"/>
      <c r="C1901" s="252"/>
      <c r="D1901" s="253"/>
      <c r="E1901" s="254"/>
      <c r="F1901" s="254"/>
      <c r="G1901" s="251"/>
      <c r="H1901" s="159" t="s">
        <v>705</v>
      </c>
      <c r="I1901" s="158">
        <f>D1900*K1901</f>
        <v>521070.64</v>
      </c>
      <c r="J1901" s="158">
        <f>I1901/D1900</f>
        <v>164</v>
      </c>
      <c r="K1901" s="158">
        <f>151+13</f>
        <v>164</v>
      </c>
      <c r="L1901" s="7"/>
      <c r="M1901" s="7"/>
      <c r="N1901" s="7"/>
      <c r="O1901" s="7"/>
      <c r="P1901" s="7"/>
      <c r="Q1901" s="7"/>
      <c r="R1901" s="7"/>
      <c r="S1901" s="7"/>
      <c r="T1901" s="7"/>
      <c r="U1901" s="7"/>
      <c r="V1901" s="7"/>
      <c r="W1901" s="7"/>
    </row>
    <row r="1902" spans="1:23" ht="15.75" customHeight="1" x14ac:dyDescent="0.35">
      <c r="A1902" s="256">
        <f>A1900+1</f>
        <v>85</v>
      </c>
      <c r="B1902" s="256">
        <v>1367</v>
      </c>
      <c r="C1902" s="259" t="s">
        <v>334</v>
      </c>
      <c r="D1902" s="262">
        <v>12279.6</v>
      </c>
      <c r="E1902" s="268" t="s">
        <v>71</v>
      </c>
      <c r="F1902" s="268">
        <v>9</v>
      </c>
      <c r="G1902" s="282" t="s">
        <v>77</v>
      </c>
      <c r="H1902" s="159" t="s">
        <v>73</v>
      </c>
      <c r="I1902" s="158">
        <f>I1903+I1904+I1905+I1906+I1907+I1908</f>
        <v>17153453.379999999</v>
      </c>
      <c r="J1902" s="158">
        <f>J1903+J1904+J1905+J1906+J1907+J1908</f>
        <v>1396.91</v>
      </c>
      <c r="K1902" s="158">
        <f>K1903+K1904+K1905+K1906+K1907+K1908</f>
        <v>2178</v>
      </c>
      <c r="L1902" s="7"/>
      <c r="M1902" s="7"/>
      <c r="N1902" s="7"/>
      <c r="O1902" s="7"/>
      <c r="P1902" s="7"/>
      <c r="Q1902" s="7"/>
      <c r="R1902" s="7"/>
      <c r="S1902" s="7"/>
      <c r="T1902" s="7"/>
      <c r="U1902" s="7"/>
      <c r="V1902" s="7"/>
      <c r="W1902" s="7"/>
    </row>
    <row r="1903" spans="1:23" x14ac:dyDescent="0.35">
      <c r="A1903" s="257"/>
      <c r="B1903" s="257"/>
      <c r="C1903" s="260"/>
      <c r="D1903" s="263"/>
      <c r="E1903" s="269"/>
      <c r="F1903" s="269"/>
      <c r="G1903" s="283"/>
      <c r="H1903" s="159" t="s">
        <v>74</v>
      </c>
      <c r="I1903" s="158">
        <f>15472296*0.7</f>
        <v>10830607.199999999</v>
      </c>
      <c r="J1903" s="158">
        <f>I1903/D1902</f>
        <v>882</v>
      </c>
      <c r="K1903" s="158">
        <v>1260</v>
      </c>
      <c r="L1903" s="7"/>
      <c r="M1903" s="7"/>
      <c r="N1903" s="7"/>
      <c r="O1903" s="7"/>
      <c r="P1903" s="7"/>
      <c r="Q1903" s="7"/>
      <c r="R1903" s="7"/>
      <c r="S1903" s="7"/>
      <c r="T1903" s="7"/>
      <c r="U1903" s="7"/>
      <c r="V1903" s="7"/>
      <c r="W1903" s="7"/>
    </row>
    <row r="1904" spans="1:23" x14ac:dyDescent="0.35">
      <c r="A1904" s="257"/>
      <c r="B1904" s="257"/>
      <c r="C1904" s="260"/>
      <c r="D1904" s="263"/>
      <c r="E1904" s="269"/>
      <c r="F1904" s="269"/>
      <c r="G1904" s="284"/>
      <c r="H1904" s="159" t="s">
        <v>76</v>
      </c>
      <c r="I1904" s="158">
        <f>15472296*0.0214</f>
        <v>331107.13</v>
      </c>
      <c r="J1904" s="158">
        <f>I1904/D1902</f>
        <v>26.96</v>
      </c>
      <c r="K1904" s="158">
        <v>27</v>
      </c>
      <c r="L1904" s="7"/>
      <c r="M1904" s="7"/>
      <c r="N1904" s="7"/>
      <c r="O1904" s="7"/>
      <c r="P1904" s="7"/>
      <c r="Q1904" s="7"/>
      <c r="R1904" s="7"/>
      <c r="S1904" s="7"/>
      <c r="T1904" s="7"/>
      <c r="U1904" s="7"/>
      <c r="V1904" s="7"/>
      <c r="W1904" s="7"/>
    </row>
    <row r="1905" spans="1:23" x14ac:dyDescent="0.35">
      <c r="A1905" s="257"/>
      <c r="B1905" s="257"/>
      <c r="C1905" s="260"/>
      <c r="D1905" s="263"/>
      <c r="E1905" s="269"/>
      <c r="F1905" s="269"/>
      <c r="G1905" s="256" t="s">
        <v>78</v>
      </c>
      <c r="H1905" s="159" t="s">
        <v>74</v>
      </c>
      <c r="I1905" s="158">
        <f>3283353.4*0.7</f>
        <v>2298347.38</v>
      </c>
      <c r="J1905" s="158">
        <f>I1905/D1902</f>
        <v>187.17</v>
      </c>
      <c r="K1905" s="158">
        <v>463</v>
      </c>
      <c r="L1905" s="7"/>
      <c r="M1905" s="7"/>
      <c r="N1905" s="7"/>
      <c r="O1905" s="7"/>
      <c r="P1905" s="7"/>
      <c r="Q1905" s="7"/>
      <c r="R1905" s="7"/>
      <c r="S1905" s="7"/>
      <c r="T1905" s="7"/>
      <c r="U1905" s="7"/>
      <c r="V1905" s="7"/>
      <c r="W1905" s="7"/>
    </row>
    <row r="1906" spans="1:23" x14ac:dyDescent="0.35">
      <c r="A1906" s="257"/>
      <c r="B1906" s="257"/>
      <c r="C1906" s="260"/>
      <c r="D1906" s="263"/>
      <c r="E1906" s="269"/>
      <c r="F1906" s="269"/>
      <c r="G1906" s="258"/>
      <c r="H1906" s="159" t="s">
        <v>76</v>
      </c>
      <c r="I1906" s="158">
        <f>3283353.4*0.0214</f>
        <v>70263.759999999995</v>
      </c>
      <c r="J1906" s="158">
        <f>I1906/D1902</f>
        <v>5.72</v>
      </c>
      <c r="K1906" s="158">
        <v>10</v>
      </c>
      <c r="L1906" s="7"/>
      <c r="M1906" s="7"/>
      <c r="N1906" s="7"/>
      <c r="O1906" s="7"/>
      <c r="P1906" s="7"/>
      <c r="Q1906" s="7"/>
      <c r="R1906" s="7"/>
      <c r="S1906" s="7"/>
      <c r="T1906" s="7"/>
      <c r="U1906" s="7"/>
      <c r="V1906" s="7"/>
      <c r="W1906" s="7"/>
    </row>
    <row r="1907" spans="1:23" x14ac:dyDescent="0.35">
      <c r="A1907" s="257"/>
      <c r="B1907" s="257"/>
      <c r="C1907" s="260"/>
      <c r="D1907" s="263"/>
      <c r="E1907" s="269"/>
      <c r="F1907" s="269"/>
      <c r="G1907" s="256" t="s">
        <v>79</v>
      </c>
      <c r="H1907" s="159" t="s">
        <v>74</v>
      </c>
      <c r="I1907" s="158">
        <f>5022356.4*0.7</f>
        <v>3515649.48</v>
      </c>
      <c r="J1907" s="158">
        <f>I1907/D1902+0.01</f>
        <v>286.31</v>
      </c>
      <c r="K1907" s="158">
        <v>409</v>
      </c>
      <c r="L1907" s="7"/>
      <c r="M1907" s="7"/>
      <c r="N1907" s="7"/>
      <c r="O1907" s="7"/>
      <c r="P1907" s="7"/>
      <c r="Q1907" s="7"/>
      <c r="R1907" s="7"/>
      <c r="S1907" s="7"/>
      <c r="T1907" s="7"/>
      <c r="U1907" s="7"/>
      <c r="V1907" s="7"/>
      <c r="W1907" s="7"/>
    </row>
    <row r="1908" spans="1:23" x14ac:dyDescent="0.35">
      <c r="A1908" s="258"/>
      <c r="B1908" s="258"/>
      <c r="C1908" s="261"/>
      <c r="D1908" s="264"/>
      <c r="E1908" s="273"/>
      <c r="F1908" s="273"/>
      <c r="G1908" s="258"/>
      <c r="H1908" s="159" t="s">
        <v>76</v>
      </c>
      <c r="I1908" s="158">
        <f>5022356.4*0.0214</f>
        <v>107478.43</v>
      </c>
      <c r="J1908" s="158">
        <f>I1908/D1902</f>
        <v>8.75</v>
      </c>
      <c r="K1908" s="158">
        <v>9</v>
      </c>
      <c r="L1908" s="7"/>
      <c r="M1908" s="7"/>
      <c r="N1908" s="7"/>
      <c r="O1908" s="7"/>
      <c r="P1908" s="7"/>
      <c r="Q1908" s="7"/>
      <c r="R1908" s="7"/>
      <c r="S1908" s="7"/>
      <c r="T1908" s="7"/>
      <c r="U1908" s="7"/>
      <c r="V1908" s="7"/>
      <c r="W1908" s="7"/>
    </row>
    <row r="1909" spans="1:23" ht="15.75" customHeight="1" x14ac:dyDescent="0.35">
      <c r="A1909" s="251">
        <f>A1902+1</f>
        <v>86</v>
      </c>
      <c r="B1909" s="251">
        <v>1490</v>
      </c>
      <c r="C1909" s="252" t="s">
        <v>111</v>
      </c>
      <c r="D1909" s="253">
        <v>3162.22</v>
      </c>
      <c r="E1909" s="254" t="s">
        <v>75</v>
      </c>
      <c r="F1909" s="254">
        <v>5</v>
      </c>
      <c r="G1909" s="251" t="s">
        <v>72</v>
      </c>
      <c r="H1909" s="159" t="s">
        <v>73</v>
      </c>
      <c r="I1909" s="158">
        <f>I1910</f>
        <v>518604.08</v>
      </c>
      <c r="J1909" s="158">
        <f>J1910</f>
        <v>164</v>
      </c>
      <c r="K1909" s="158">
        <f>K1910</f>
        <v>164</v>
      </c>
      <c r="L1909" s="7"/>
      <c r="M1909" s="7"/>
      <c r="N1909" s="7"/>
      <c r="O1909" s="7"/>
      <c r="P1909" s="7"/>
      <c r="Q1909" s="7"/>
      <c r="R1909" s="7"/>
      <c r="S1909" s="7"/>
      <c r="T1909" s="7"/>
      <c r="U1909" s="7"/>
      <c r="V1909" s="7"/>
      <c r="W1909" s="7"/>
    </row>
    <row r="1910" spans="1:23" ht="46.5" x14ac:dyDescent="0.35">
      <c r="A1910" s="251"/>
      <c r="B1910" s="251"/>
      <c r="C1910" s="252"/>
      <c r="D1910" s="253"/>
      <c r="E1910" s="254"/>
      <c r="F1910" s="254"/>
      <c r="G1910" s="251"/>
      <c r="H1910" s="159" t="s">
        <v>705</v>
      </c>
      <c r="I1910" s="158">
        <f>D1909*K1910</f>
        <v>518604.08</v>
      </c>
      <c r="J1910" s="158">
        <f>I1910/D1909</f>
        <v>164</v>
      </c>
      <c r="K1910" s="158">
        <f>151+13</f>
        <v>164</v>
      </c>
      <c r="L1910" s="7"/>
      <c r="M1910" s="7"/>
      <c r="N1910" s="7"/>
      <c r="O1910" s="7"/>
      <c r="P1910" s="7"/>
      <c r="Q1910" s="7"/>
      <c r="R1910" s="7"/>
      <c r="S1910" s="7"/>
      <c r="T1910" s="7"/>
      <c r="U1910" s="7"/>
      <c r="V1910" s="7"/>
      <c r="W1910" s="7"/>
    </row>
    <row r="1911" spans="1:23" ht="15.75" customHeight="1" x14ac:dyDescent="0.35">
      <c r="A1911" s="251">
        <f>A1909+1</f>
        <v>87</v>
      </c>
      <c r="B1911" s="251">
        <v>1492</v>
      </c>
      <c r="C1911" s="252" t="s">
        <v>112</v>
      </c>
      <c r="D1911" s="253">
        <v>3144.5</v>
      </c>
      <c r="E1911" s="254" t="s">
        <v>75</v>
      </c>
      <c r="F1911" s="254">
        <v>5</v>
      </c>
      <c r="G1911" s="251" t="s">
        <v>72</v>
      </c>
      <c r="H1911" s="159" t="s">
        <v>73</v>
      </c>
      <c r="I1911" s="158">
        <f>I1912</f>
        <v>515698</v>
      </c>
      <c r="J1911" s="158">
        <f>J1912</f>
        <v>164</v>
      </c>
      <c r="K1911" s="158">
        <f>K1912</f>
        <v>164</v>
      </c>
      <c r="L1911" s="7"/>
      <c r="M1911" s="7"/>
      <c r="N1911" s="7"/>
      <c r="O1911" s="7"/>
      <c r="P1911" s="7"/>
      <c r="Q1911" s="7"/>
      <c r="R1911" s="7"/>
      <c r="S1911" s="7"/>
      <c r="T1911" s="7"/>
      <c r="U1911" s="7"/>
      <c r="V1911" s="7"/>
      <c r="W1911" s="7"/>
    </row>
    <row r="1912" spans="1:23" ht="46.5" x14ac:dyDescent="0.35">
      <c r="A1912" s="251"/>
      <c r="B1912" s="251"/>
      <c r="C1912" s="252"/>
      <c r="D1912" s="253"/>
      <c r="E1912" s="254"/>
      <c r="F1912" s="254"/>
      <c r="G1912" s="251"/>
      <c r="H1912" s="159" t="s">
        <v>705</v>
      </c>
      <c r="I1912" s="158">
        <f>D1911*K1912</f>
        <v>515698</v>
      </c>
      <c r="J1912" s="158">
        <f>I1912/D1911</f>
        <v>164</v>
      </c>
      <c r="K1912" s="158">
        <f>151+13</f>
        <v>164</v>
      </c>
      <c r="L1912" s="7"/>
      <c r="M1912" s="7"/>
      <c r="N1912" s="7"/>
      <c r="O1912" s="7"/>
      <c r="P1912" s="7"/>
      <c r="Q1912" s="7"/>
      <c r="R1912" s="7"/>
      <c r="S1912" s="7"/>
      <c r="T1912" s="7"/>
      <c r="U1912" s="7"/>
      <c r="V1912" s="7"/>
      <c r="W1912" s="7"/>
    </row>
    <row r="1913" spans="1:23" x14ac:dyDescent="0.35">
      <c r="A1913" s="251">
        <f>A1911+1</f>
        <v>88</v>
      </c>
      <c r="B1913" s="251">
        <v>1370</v>
      </c>
      <c r="C1913" s="252" t="s">
        <v>336</v>
      </c>
      <c r="D1913" s="253">
        <v>4201.3999999999996</v>
      </c>
      <c r="E1913" s="254" t="s">
        <v>75</v>
      </c>
      <c r="F1913" s="254">
        <v>5</v>
      </c>
      <c r="G1913" s="251" t="s">
        <v>87</v>
      </c>
      <c r="H1913" s="159" t="s">
        <v>73</v>
      </c>
      <c r="I1913" s="158">
        <f>I1914+I1915</f>
        <v>1440696.49</v>
      </c>
      <c r="J1913" s="158">
        <f>J1914+J1915</f>
        <v>342.91</v>
      </c>
      <c r="K1913" s="158">
        <f>K1914+K1915</f>
        <v>596</v>
      </c>
      <c r="L1913" s="7"/>
      <c r="M1913" s="7"/>
      <c r="N1913" s="7"/>
      <c r="O1913" s="7"/>
      <c r="P1913" s="7"/>
      <c r="Q1913" s="7"/>
      <c r="R1913" s="7"/>
      <c r="S1913" s="7"/>
      <c r="T1913" s="7"/>
      <c r="U1913" s="7"/>
      <c r="V1913" s="7"/>
      <c r="W1913" s="7"/>
    </row>
    <row r="1914" spans="1:23" x14ac:dyDescent="0.35">
      <c r="A1914" s="251">
        <v>77</v>
      </c>
      <c r="B1914" s="251"/>
      <c r="C1914" s="252"/>
      <c r="D1914" s="253"/>
      <c r="E1914" s="254"/>
      <c r="F1914" s="254"/>
      <c r="G1914" s="251"/>
      <c r="H1914" s="159" t="s">
        <v>74</v>
      </c>
      <c r="I1914" s="158">
        <f>1997084.13*0.7</f>
        <v>1397958.89</v>
      </c>
      <c r="J1914" s="158">
        <f>I1914/D1913</f>
        <v>332.74</v>
      </c>
      <c r="K1914" s="158">
        <v>584</v>
      </c>
      <c r="L1914" s="7"/>
      <c r="M1914" s="7"/>
      <c r="N1914" s="7"/>
      <c r="O1914" s="7"/>
      <c r="P1914" s="7"/>
      <c r="Q1914" s="7"/>
      <c r="R1914" s="7"/>
      <c r="S1914" s="7"/>
      <c r="T1914" s="7"/>
      <c r="U1914" s="7"/>
      <c r="V1914" s="7"/>
      <c r="W1914" s="7"/>
    </row>
    <row r="1915" spans="1:23" x14ac:dyDescent="0.35">
      <c r="A1915" s="251">
        <v>78</v>
      </c>
      <c r="B1915" s="251"/>
      <c r="C1915" s="252"/>
      <c r="D1915" s="253"/>
      <c r="E1915" s="254"/>
      <c r="F1915" s="254"/>
      <c r="G1915" s="251"/>
      <c r="H1915" s="159" t="s">
        <v>76</v>
      </c>
      <c r="I1915" s="158">
        <f>1997084.13*0.0214</f>
        <v>42737.599999999999</v>
      </c>
      <c r="J1915" s="158">
        <f>I1915/D1913</f>
        <v>10.17</v>
      </c>
      <c r="K1915" s="158">
        <v>12</v>
      </c>
      <c r="L1915" s="7"/>
      <c r="M1915" s="7"/>
      <c r="N1915" s="7"/>
      <c r="O1915" s="7"/>
      <c r="P1915" s="7"/>
      <c r="Q1915" s="7"/>
      <c r="R1915" s="7"/>
      <c r="S1915" s="7"/>
      <c r="T1915" s="7"/>
      <c r="U1915" s="7"/>
      <c r="V1915" s="7"/>
      <c r="W1915" s="7"/>
    </row>
    <row r="1916" spans="1:23" x14ac:dyDescent="0.35">
      <c r="A1916" s="251">
        <f>A1913+1</f>
        <v>89</v>
      </c>
      <c r="B1916" s="251">
        <v>1445</v>
      </c>
      <c r="C1916" s="252" t="s">
        <v>337</v>
      </c>
      <c r="D1916" s="253">
        <v>1372.4</v>
      </c>
      <c r="E1916" s="254" t="s">
        <v>75</v>
      </c>
      <c r="F1916" s="254">
        <v>6</v>
      </c>
      <c r="G1916" s="251" t="s">
        <v>72</v>
      </c>
      <c r="H1916" s="159" t="s">
        <v>73</v>
      </c>
      <c r="I1916" s="158">
        <f>I1917+I1918</f>
        <v>3885264.4</v>
      </c>
      <c r="J1916" s="158">
        <f>J1917+J1918</f>
        <v>2831</v>
      </c>
      <c r="K1916" s="158">
        <f>K1917+K1918</f>
        <v>2831</v>
      </c>
      <c r="L1916" s="7"/>
      <c r="M1916" s="7"/>
      <c r="N1916" s="7"/>
      <c r="O1916" s="7"/>
      <c r="P1916" s="7"/>
      <c r="Q1916" s="7"/>
      <c r="R1916" s="7"/>
      <c r="S1916" s="7"/>
      <c r="T1916" s="7"/>
      <c r="U1916" s="7"/>
      <c r="V1916" s="7"/>
      <c r="W1916" s="7"/>
    </row>
    <row r="1917" spans="1:23" x14ac:dyDescent="0.35">
      <c r="A1917" s="251">
        <v>77</v>
      </c>
      <c r="B1917" s="251"/>
      <c r="C1917" s="252"/>
      <c r="D1917" s="253"/>
      <c r="E1917" s="254"/>
      <c r="F1917" s="254"/>
      <c r="G1917" s="251"/>
      <c r="H1917" s="159" t="s">
        <v>74</v>
      </c>
      <c r="I1917" s="158">
        <f>K1917*D1916</f>
        <v>3804292.8</v>
      </c>
      <c r="J1917" s="158">
        <f>I1917/D1916</f>
        <v>2772</v>
      </c>
      <c r="K1917" s="158">
        <v>2772</v>
      </c>
      <c r="L1917" s="7"/>
      <c r="M1917" s="7"/>
      <c r="N1917" s="7"/>
      <c r="O1917" s="7"/>
      <c r="P1917" s="7"/>
      <c r="Q1917" s="7"/>
      <c r="R1917" s="7"/>
      <c r="S1917" s="7"/>
      <c r="T1917" s="7"/>
      <c r="U1917" s="7"/>
      <c r="V1917" s="7"/>
      <c r="W1917" s="7"/>
    </row>
    <row r="1918" spans="1:23" x14ac:dyDescent="0.35">
      <c r="A1918" s="251">
        <v>78</v>
      </c>
      <c r="B1918" s="251"/>
      <c r="C1918" s="252"/>
      <c r="D1918" s="253"/>
      <c r="E1918" s="254"/>
      <c r="F1918" s="254"/>
      <c r="G1918" s="251"/>
      <c r="H1918" s="159" t="s">
        <v>76</v>
      </c>
      <c r="I1918" s="158">
        <f>K1918*D1916</f>
        <v>80971.600000000006</v>
      </c>
      <c r="J1918" s="158">
        <f>I1918/D1916</f>
        <v>59</v>
      </c>
      <c r="K1918" s="158">
        <v>59</v>
      </c>
      <c r="L1918" s="7"/>
      <c r="M1918" s="7"/>
      <c r="N1918" s="7"/>
      <c r="O1918" s="7"/>
      <c r="P1918" s="7"/>
      <c r="Q1918" s="7"/>
      <c r="R1918" s="7"/>
      <c r="S1918" s="7"/>
      <c r="T1918" s="7"/>
      <c r="U1918" s="7"/>
      <c r="V1918" s="7"/>
      <c r="W1918" s="7"/>
    </row>
    <row r="1919" spans="1:23" x14ac:dyDescent="0.35">
      <c r="A1919" s="251">
        <f>A1916+1</f>
        <v>90</v>
      </c>
      <c r="B1919" s="251">
        <v>1373</v>
      </c>
      <c r="C1919" s="252" t="s">
        <v>340</v>
      </c>
      <c r="D1919" s="253">
        <v>3533.5</v>
      </c>
      <c r="E1919" s="254" t="s">
        <v>71</v>
      </c>
      <c r="F1919" s="254">
        <v>5</v>
      </c>
      <c r="G1919" s="251" t="s">
        <v>72</v>
      </c>
      <c r="H1919" s="159" t="s">
        <v>73</v>
      </c>
      <c r="I1919" s="158">
        <f>I1920+I1921</f>
        <v>8607252.6500000004</v>
      </c>
      <c r="J1919" s="158">
        <f>J1920+J1921</f>
        <v>2435.9</v>
      </c>
      <c r="K1919" s="158">
        <f>K1920+K1921</f>
        <v>3449</v>
      </c>
      <c r="L1919" s="7"/>
      <c r="M1919" s="7"/>
      <c r="N1919" s="7"/>
      <c r="O1919" s="7"/>
      <c r="P1919" s="7"/>
      <c r="Q1919" s="7"/>
      <c r="R1919" s="7"/>
      <c r="S1919" s="7"/>
      <c r="T1919" s="7"/>
      <c r="U1919" s="7"/>
      <c r="V1919" s="7"/>
      <c r="W1919" s="7"/>
    </row>
    <row r="1920" spans="1:23" ht="31" x14ac:dyDescent="0.35">
      <c r="A1920" s="251"/>
      <c r="B1920" s="251"/>
      <c r="C1920" s="252"/>
      <c r="D1920" s="253"/>
      <c r="E1920" s="254"/>
      <c r="F1920" s="254"/>
      <c r="G1920" s="251"/>
      <c r="H1920" s="159" t="s">
        <v>86</v>
      </c>
      <c r="I1920" s="158">
        <f>K1920*D1919*0.7</f>
        <v>8352840.6500000004</v>
      </c>
      <c r="J1920" s="158">
        <f>I1920/D1919</f>
        <v>2363.9</v>
      </c>
      <c r="K1920" s="158">
        <v>3377</v>
      </c>
      <c r="L1920" s="7"/>
      <c r="M1920" s="7"/>
      <c r="N1920" s="7"/>
      <c r="O1920" s="7"/>
      <c r="P1920" s="7"/>
      <c r="Q1920" s="7"/>
      <c r="R1920" s="7"/>
      <c r="S1920" s="7"/>
      <c r="T1920" s="7"/>
      <c r="U1920" s="7"/>
      <c r="V1920" s="7"/>
      <c r="W1920" s="7"/>
    </row>
    <row r="1921" spans="1:23" x14ac:dyDescent="0.35">
      <c r="A1921" s="251"/>
      <c r="B1921" s="251"/>
      <c r="C1921" s="252"/>
      <c r="D1921" s="253"/>
      <c r="E1921" s="254"/>
      <c r="F1921" s="254"/>
      <c r="G1921" s="251"/>
      <c r="H1921" s="159" t="s">
        <v>76</v>
      </c>
      <c r="I1921" s="158">
        <f>K1921*D1919</f>
        <v>254412</v>
      </c>
      <c r="J1921" s="158">
        <f>I1921/D1919</f>
        <v>72</v>
      </c>
      <c r="K1921" s="158">
        <v>72</v>
      </c>
      <c r="L1921" s="7"/>
      <c r="M1921" s="7"/>
      <c r="N1921" s="7"/>
      <c r="O1921" s="7"/>
      <c r="P1921" s="7"/>
      <c r="Q1921" s="7"/>
      <c r="R1921" s="7"/>
      <c r="S1921" s="7"/>
      <c r="T1921" s="7"/>
      <c r="U1921" s="7"/>
      <c r="V1921" s="7"/>
      <c r="W1921" s="7"/>
    </row>
    <row r="1922" spans="1:23" x14ac:dyDescent="0.35">
      <c r="A1922" s="251">
        <f>A1919+1</f>
        <v>91</v>
      </c>
      <c r="B1922" s="251">
        <v>1376</v>
      </c>
      <c r="C1922" s="252" t="s">
        <v>341</v>
      </c>
      <c r="D1922" s="253">
        <v>2451.35</v>
      </c>
      <c r="E1922" s="254" t="s">
        <v>71</v>
      </c>
      <c r="F1922" s="254">
        <v>5</v>
      </c>
      <c r="G1922" s="251" t="s">
        <v>72</v>
      </c>
      <c r="H1922" s="159" t="s">
        <v>73</v>
      </c>
      <c r="I1922" s="158">
        <f>I1923+I1924</f>
        <v>5673984.2699999996</v>
      </c>
      <c r="J1922" s="158">
        <f>J1923+J1924</f>
        <v>2314.64</v>
      </c>
      <c r="K1922" s="158">
        <f>K1923+K1924</f>
        <v>3449</v>
      </c>
      <c r="L1922" s="7"/>
      <c r="M1922" s="7"/>
      <c r="N1922" s="7"/>
      <c r="O1922" s="7"/>
      <c r="P1922" s="7"/>
      <c r="Q1922" s="7"/>
      <c r="R1922" s="7"/>
      <c r="S1922" s="7"/>
      <c r="T1922" s="7"/>
      <c r="U1922" s="7"/>
      <c r="V1922" s="7"/>
      <c r="W1922" s="7"/>
    </row>
    <row r="1923" spans="1:23" ht="31" x14ac:dyDescent="0.35">
      <c r="A1923" s="251">
        <v>77</v>
      </c>
      <c r="B1923" s="251"/>
      <c r="C1923" s="252"/>
      <c r="D1923" s="253"/>
      <c r="E1923" s="254"/>
      <c r="F1923" s="254"/>
      <c r="G1923" s="251"/>
      <c r="H1923" s="159" t="s">
        <v>86</v>
      </c>
      <c r="I1923" s="158">
        <f>7865240.19*0.7</f>
        <v>5505668.1299999999</v>
      </c>
      <c r="J1923" s="158">
        <f>I1923/D1922+0.01</f>
        <v>2245.98</v>
      </c>
      <c r="K1923" s="158">
        <v>3377</v>
      </c>
      <c r="L1923" s="7"/>
      <c r="M1923" s="7"/>
      <c r="N1923" s="7"/>
      <c r="O1923" s="7"/>
      <c r="P1923" s="7"/>
      <c r="Q1923" s="7"/>
      <c r="R1923" s="7"/>
      <c r="S1923" s="7"/>
      <c r="T1923" s="7"/>
      <c r="U1923" s="7"/>
      <c r="V1923" s="7"/>
      <c r="W1923" s="7"/>
    </row>
    <row r="1924" spans="1:23" x14ac:dyDescent="0.35">
      <c r="A1924" s="251">
        <v>78</v>
      </c>
      <c r="B1924" s="251"/>
      <c r="C1924" s="252"/>
      <c r="D1924" s="253"/>
      <c r="E1924" s="254"/>
      <c r="F1924" s="254"/>
      <c r="G1924" s="251"/>
      <c r="H1924" s="159" t="s">
        <v>76</v>
      </c>
      <c r="I1924" s="158">
        <f>7865240.19*0.0214</f>
        <v>168316.14</v>
      </c>
      <c r="J1924" s="158">
        <f>I1924/D1922</f>
        <v>68.66</v>
      </c>
      <c r="K1924" s="158">
        <v>72</v>
      </c>
      <c r="L1924" s="7"/>
      <c r="M1924" s="7"/>
      <c r="N1924" s="7"/>
      <c r="O1924" s="7"/>
      <c r="P1924" s="7"/>
      <c r="Q1924" s="7"/>
      <c r="R1924" s="7"/>
      <c r="S1924" s="7"/>
      <c r="T1924" s="7"/>
      <c r="U1924" s="7"/>
      <c r="V1924" s="7"/>
      <c r="W1924" s="7"/>
    </row>
    <row r="1925" spans="1:23" ht="15.75" customHeight="1" x14ac:dyDescent="0.35">
      <c r="A1925" s="256">
        <f>A1922+1</f>
        <v>92</v>
      </c>
      <c r="B1925" s="256">
        <v>1377</v>
      </c>
      <c r="C1925" s="259" t="s">
        <v>342</v>
      </c>
      <c r="D1925" s="262">
        <v>14235.2</v>
      </c>
      <c r="E1925" s="268" t="s">
        <v>71</v>
      </c>
      <c r="F1925" s="268">
        <v>9</v>
      </c>
      <c r="G1925" s="251" t="s">
        <v>77</v>
      </c>
      <c r="H1925" s="159" t="s">
        <v>73</v>
      </c>
      <c r="I1925" s="158">
        <f>I1926+I1927+I1928+I1929+I1930+I1931</f>
        <v>19952533.129999999</v>
      </c>
      <c r="J1925" s="158">
        <f>J1926+J1927+J1928+J1929+J1930+J1931</f>
        <v>1401.63</v>
      </c>
      <c r="K1925" s="158">
        <f>K1926+K1927+K1928+K1929+K1930+K1931</f>
        <v>2178</v>
      </c>
      <c r="L1925" s="7"/>
      <c r="M1925" s="7"/>
      <c r="N1925" s="7"/>
      <c r="O1925" s="7"/>
      <c r="P1925" s="7"/>
      <c r="Q1925" s="7"/>
      <c r="R1925" s="7"/>
      <c r="S1925" s="7"/>
      <c r="T1925" s="7"/>
      <c r="U1925" s="7"/>
      <c r="V1925" s="7"/>
      <c r="W1925" s="7"/>
    </row>
    <row r="1926" spans="1:23" x14ac:dyDescent="0.35">
      <c r="A1926" s="257"/>
      <c r="B1926" s="257"/>
      <c r="C1926" s="260"/>
      <c r="D1926" s="263"/>
      <c r="E1926" s="269"/>
      <c r="F1926" s="269"/>
      <c r="G1926" s="251"/>
      <c r="H1926" s="159" t="s">
        <v>74</v>
      </c>
      <c r="I1926" s="158">
        <f>17936352*0.7</f>
        <v>12555446.4</v>
      </c>
      <c r="J1926" s="158">
        <f>I1926/D1925</f>
        <v>882</v>
      </c>
      <c r="K1926" s="158">
        <v>1260</v>
      </c>
      <c r="L1926" s="7"/>
      <c r="M1926" s="7"/>
      <c r="N1926" s="7"/>
      <c r="O1926" s="7"/>
      <c r="P1926" s="7"/>
      <c r="Q1926" s="7"/>
      <c r="R1926" s="7"/>
      <c r="S1926" s="7"/>
      <c r="T1926" s="7"/>
      <c r="U1926" s="7"/>
      <c r="V1926" s="7"/>
      <c r="W1926" s="7"/>
    </row>
    <row r="1927" spans="1:23" x14ac:dyDescent="0.35">
      <c r="A1927" s="257"/>
      <c r="B1927" s="257"/>
      <c r="C1927" s="260"/>
      <c r="D1927" s="263"/>
      <c r="E1927" s="269"/>
      <c r="F1927" s="269"/>
      <c r="G1927" s="251"/>
      <c r="H1927" s="159" t="s">
        <v>76</v>
      </c>
      <c r="I1927" s="158">
        <f>17936352*0.0214</f>
        <v>383837.93</v>
      </c>
      <c r="J1927" s="158">
        <f>I1927/D1925</f>
        <v>26.96</v>
      </c>
      <c r="K1927" s="158">
        <v>27</v>
      </c>
      <c r="L1927" s="7"/>
      <c r="M1927" s="7"/>
      <c r="N1927" s="7"/>
      <c r="O1927" s="7"/>
      <c r="P1927" s="7"/>
      <c r="Q1927" s="7"/>
      <c r="R1927" s="7"/>
      <c r="S1927" s="7"/>
      <c r="T1927" s="7"/>
      <c r="U1927" s="7"/>
      <c r="V1927" s="7"/>
      <c r="W1927" s="7"/>
    </row>
    <row r="1928" spans="1:23" x14ac:dyDescent="0.35">
      <c r="A1928" s="257"/>
      <c r="B1928" s="257"/>
      <c r="C1928" s="260"/>
      <c r="D1928" s="263"/>
      <c r="E1928" s="269"/>
      <c r="F1928" s="269"/>
      <c r="G1928" s="256" t="s">
        <v>78</v>
      </c>
      <c r="H1928" s="159" t="s">
        <v>74</v>
      </c>
      <c r="I1928" s="158">
        <f>3899523.18*0.7</f>
        <v>2729666.23</v>
      </c>
      <c r="J1928" s="158">
        <f>I1928/D1925</f>
        <v>191.75</v>
      </c>
      <c r="K1928" s="158">
        <v>463</v>
      </c>
      <c r="L1928" s="7"/>
      <c r="M1928" s="7"/>
      <c r="N1928" s="7"/>
      <c r="O1928" s="7"/>
      <c r="P1928" s="7"/>
      <c r="Q1928" s="7"/>
      <c r="R1928" s="7"/>
      <c r="S1928" s="7"/>
      <c r="T1928" s="7"/>
      <c r="U1928" s="7"/>
      <c r="V1928" s="7"/>
      <c r="W1928" s="7"/>
    </row>
    <row r="1929" spans="1:23" x14ac:dyDescent="0.35">
      <c r="A1929" s="257"/>
      <c r="B1929" s="257"/>
      <c r="C1929" s="260"/>
      <c r="D1929" s="263"/>
      <c r="E1929" s="269"/>
      <c r="F1929" s="269"/>
      <c r="G1929" s="258"/>
      <c r="H1929" s="159" t="s">
        <v>76</v>
      </c>
      <c r="I1929" s="158">
        <f>3899523.18*0.0214</f>
        <v>83449.8</v>
      </c>
      <c r="J1929" s="158">
        <f>I1929/D1925</f>
        <v>5.86</v>
      </c>
      <c r="K1929" s="158">
        <v>10</v>
      </c>
      <c r="L1929" s="7"/>
      <c r="M1929" s="7"/>
      <c r="N1929" s="7"/>
      <c r="O1929" s="7"/>
      <c r="P1929" s="7"/>
      <c r="Q1929" s="7"/>
      <c r="R1929" s="7"/>
      <c r="S1929" s="7"/>
      <c r="T1929" s="7"/>
      <c r="U1929" s="7"/>
      <c r="V1929" s="7"/>
      <c r="W1929" s="7"/>
    </row>
    <row r="1930" spans="1:23" x14ac:dyDescent="0.35">
      <c r="A1930" s="257"/>
      <c r="B1930" s="257"/>
      <c r="C1930" s="260"/>
      <c r="D1930" s="263"/>
      <c r="E1930" s="269"/>
      <c r="F1930" s="269"/>
      <c r="G1930" s="256" t="s">
        <v>79</v>
      </c>
      <c r="H1930" s="159" t="s">
        <v>74</v>
      </c>
      <c r="I1930" s="158">
        <f>5822196.8*0.7</f>
        <v>4075537.76</v>
      </c>
      <c r="J1930" s="158">
        <f>I1930/D1925+0.01</f>
        <v>286.31</v>
      </c>
      <c r="K1930" s="158">
        <v>409</v>
      </c>
      <c r="L1930" s="7"/>
      <c r="M1930" s="7"/>
      <c r="N1930" s="7"/>
      <c r="O1930" s="7"/>
      <c r="P1930" s="7"/>
      <c r="Q1930" s="7"/>
      <c r="R1930" s="7"/>
      <c r="S1930" s="7"/>
      <c r="T1930" s="7"/>
      <c r="U1930" s="7"/>
      <c r="V1930" s="7"/>
      <c r="W1930" s="7"/>
    </row>
    <row r="1931" spans="1:23" x14ac:dyDescent="0.35">
      <c r="A1931" s="258"/>
      <c r="B1931" s="258"/>
      <c r="C1931" s="261"/>
      <c r="D1931" s="264"/>
      <c r="E1931" s="273"/>
      <c r="F1931" s="273"/>
      <c r="G1931" s="258"/>
      <c r="H1931" s="159" t="s">
        <v>76</v>
      </c>
      <c r="I1931" s="158">
        <f>5822196.8*0.0214</f>
        <v>124595.01</v>
      </c>
      <c r="J1931" s="158">
        <f>I1931/D1925</f>
        <v>8.75</v>
      </c>
      <c r="K1931" s="158">
        <v>9</v>
      </c>
      <c r="L1931" s="7"/>
      <c r="M1931" s="7"/>
      <c r="N1931" s="7"/>
      <c r="O1931" s="7"/>
      <c r="P1931" s="7"/>
      <c r="Q1931" s="7"/>
      <c r="R1931" s="7"/>
      <c r="S1931" s="7"/>
      <c r="T1931" s="7"/>
      <c r="U1931" s="7"/>
      <c r="V1931" s="7"/>
      <c r="W1931" s="7"/>
    </row>
    <row r="1932" spans="1:23" x14ac:dyDescent="0.35">
      <c r="A1932" s="251">
        <f>A1925+1</f>
        <v>93</v>
      </c>
      <c r="B1932" s="251">
        <v>1378</v>
      </c>
      <c r="C1932" s="252" t="s">
        <v>343</v>
      </c>
      <c r="D1932" s="274">
        <v>4687.8</v>
      </c>
      <c r="E1932" s="275" t="s">
        <v>71</v>
      </c>
      <c r="F1932" s="275">
        <v>5</v>
      </c>
      <c r="G1932" s="251" t="s">
        <v>72</v>
      </c>
      <c r="H1932" s="159" t="s">
        <v>73</v>
      </c>
      <c r="I1932" s="158">
        <f>I1933+I1934</f>
        <v>11326972.470000001</v>
      </c>
      <c r="J1932" s="158">
        <f>J1933+J1934</f>
        <v>2416.27</v>
      </c>
      <c r="K1932" s="158">
        <f>K1933+K1934</f>
        <v>3449</v>
      </c>
      <c r="L1932" s="7"/>
      <c r="M1932" s="7"/>
      <c r="N1932" s="7"/>
      <c r="O1932" s="7"/>
      <c r="P1932" s="7"/>
      <c r="Q1932" s="7"/>
      <c r="R1932" s="7"/>
      <c r="S1932" s="7"/>
      <c r="T1932" s="7"/>
      <c r="U1932" s="7"/>
      <c r="V1932" s="7"/>
      <c r="W1932" s="7"/>
    </row>
    <row r="1933" spans="1:23" ht="31" x14ac:dyDescent="0.35">
      <c r="A1933" s="251"/>
      <c r="B1933" s="251"/>
      <c r="C1933" s="252"/>
      <c r="D1933" s="274"/>
      <c r="E1933" s="275"/>
      <c r="F1933" s="275"/>
      <c r="G1933" s="251"/>
      <c r="H1933" s="159" t="s">
        <v>86</v>
      </c>
      <c r="I1933" s="158">
        <f>15701375.75*0.7</f>
        <v>10990963.029999999</v>
      </c>
      <c r="J1933" s="158">
        <f>I1933/D1932</f>
        <v>2344.59</v>
      </c>
      <c r="K1933" s="158">
        <v>3377</v>
      </c>
      <c r="L1933" s="7"/>
      <c r="M1933" s="7"/>
      <c r="N1933" s="7"/>
      <c r="O1933" s="7"/>
      <c r="P1933" s="7"/>
      <c r="Q1933" s="7"/>
      <c r="R1933" s="7"/>
      <c r="S1933" s="7"/>
      <c r="T1933" s="7"/>
      <c r="U1933" s="7"/>
      <c r="V1933" s="7"/>
      <c r="W1933" s="7"/>
    </row>
    <row r="1934" spans="1:23" x14ac:dyDescent="0.35">
      <c r="A1934" s="251"/>
      <c r="B1934" s="251"/>
      <c r="C1934" s="252"/>
      <c r="D1934" s="274"/>
      <c r="E1934" s="275"/>
      <c r="F1934" s="275"/>
      <c r="G1934" s="251"/>
      <c r="H1934" s="159" t="s">
        <v>76</v>
      </c>
      <c r="I1934" s="158">
        <f>15701375.75*0.0214</f>
        <v>336009.44</v>
      </c>
      <c r="J1934" s="158">
        <f>I1934/D1932</f>
        <v>71.680000000000007</v>
      </c>
      <c r="K1934" s="158">
        <v>72</v>
      </c>
      <c r="L1934" s="7"/>
      <c r="M1934" s="7"/>
      <c r="N1934" s="7"/>
      <c r="O1934" s="7"/>
      <c r="P1934" s="7"/>
      <c r="Q1934" s="7"/>
      <c r="R1934" s="7"/>
      <c r="S1934" s="7"/>
      <c r="T1934" s="7"/>
      <c r="U1934" s="7"/>
      <c r="V1934" s="7"/>
      <c r="W1934" s="7"/>
    </row>
    <row r="1935" spans="1:23" x14ac:dyDescent="0.35">
      <c r="A1935" s="251">
        <f>A1932+1</f>
        <v>94</v>
      </c>
      <c r="B1935" s="251">
        <v>1379</v>
      </c>
      <c r="C1935" s="252" t="s">
        <v>344</v>
      </c>
      <c r="D1935" s="274">
        <v>2659.6</v>
      </c>
      <c r="E1935" s="275" t="s">
        <v>71</v>
      </c>
      <c r="F1935" s="275">
        <v>5</v>
      </c>
      <c r="G1935" s="251" t="s">
        <v>72</v>
      </c>
      <c r="H1935" s="159" t="s">
        <v>73</v>
      </c>
      <c r="I1935" s="158">
        <f>I1936+I1937</f>
        <v>5672947.5499999998</v>
      </c>
      <c r="J1935" s="158">
        <f>J1936+J1937</f>
        <v>2133.0100000000002</v>
      </c>
      <c r="K1935" s="158">
        <f>K1936+K1937</f>
        <v>3449</v>
      </c>
      <c r="L1935" s="7"/>
      <c r="M1935" s="7"/>
      <c r="N1935" s="7"/>
      <c r="O1935" s="7"/>
      <c r="P1935" s="7"/>
      <c r="Q1935" s="7"/>
      <c r="R1935" s="7"/>
      <c r="S1935" s="7"/>
      <c r="T1935" s="7"/>
      <c r="U1935" s="7"/>
      <c r="V1935" s="7"/>
      <c r="W1935" s="7"/>
    </row>
    <row r="1936" spans="1:23" ht="31" x14ac:dyDescent="0.35">
      <c r="A1936" s="251"/>
      <c r="B1936" s="251"/>
      <c r="C1936" s="252"/>
      <c r="D1936" s="274"/>
      <c r="E1936" s="275"/>
      <c r="F1936" s="275"/>
      <c r="G1936" s="251"/>
      <c r="H1936" s="159" t="s">
        <v>86</v>
      </c>
      <c r="I1936" s="158">
        <f>7863803.09*0.7</f>
        <v>5504662.1600000001</v>
      </c>
      <c r="J1936" s="158">
        <f>I1936/D1935+0.01</f>
        <v>2069.7399999999998</v>
      </c>
      <c r="K1936" s="158">
        <v>3377</v>
      </c>
      <c r="L1936" s="7"/>
      <c r="M1936" s="7"/>
      <c r="N1936" s="7"/>
      <c r="O1936" s="7"/>
      <c r="P1936" s="7"/>
      <c r="Q1936" s="7"/>
      <c r="R1936" s="7"/>
      <c r="S1936" s="7"/>
      <c r="T1936" s="7"/>
      <c r="U1936" s="7"/>
      <c r="V1936" s="7"/>
      <c r="W1936" s="7"/>
    </row>
    <row r="1937" spans="1:23" x14ac:dyDescent="0.35">
      <c r="A1937" s="251"/>
      <c r="B1937" s="251"/>
      <c r="C1937" s="252"/>
      <c r="D1937" s="274"/>
      <c r="E1937" s="275"/>
      <c r="F1937" s="275"/>
      <c r="G1937" s="251"/>
      <c r="H1937" s="159" t="s">
        <v>76</v>
      </c>
      <c r="I1937" s="158">
        <f>7863803.09*0.0214</f>
        <v>168285.39</v>
      </c>
      <c r="J1937" s="158">
        <f>I1937/D1935</f>
        <v>63.27</v>
      </c>
      <c r="K1937" s="158">
        <v>72</v>
      </c>
      <c r="L1937" s="7"/>
      <c r="M1937" s="7"/>
      <c r="N1937" s="7"/>
      <c r="O1937" s="7"/>
      <c r="P1937" s="7"/>
      <c r="Q1937" s="7"/>
      <c r="R1937" s="7"/>
      <c r="S1937" s="7"/>
      <c r="T1937" s="7"/>
      <c r="U1937" s="7"/>
      <c r="V1937" s="7"/>
      <c r="W1937" s="7"/>
    </row>
    <row r="1938" spans="1:23" ht="15.75" customHeight="1" x14ac:dyDescent="0.35">
      <c r="A1938" s="256">
        <f>A1935+1</f>
        <v>95</v>
      </c>
      <c r="B1938" s="256">
        <v>1242</v>
      </c>
      <c r="C1938" s="259" t="s">
        <v>754</v>
      </c>
      <c r="D1938" s="262">
        <v>7740.2</v>
      </c>
      <c r="E1938" s="268" t="s">
        <v>71</v>
      </c>
      <c r="F1938" s="268">
        <v>9</v>
      </c>
      <c r="G1938" s="144"/>
      <c r="H1938" s="159" t="s">
        <v>73</v>
      </c>
      <c r="I1938" s="158">
        <f>I1939+I1940+I1941</f>
        <v>1006226</v>
      </c>
      <c r="J1938" s="158">
        <f>J1939+J1940+J1941</f>
        <v>130</v>
      </c>
      <c r="K1938" s="158">
        <f>K1939+K1940+K1941</f>
        <v>130</v>
      </c>
      <c r="L1938" s="7"/>
      <c r="M1938" s="7"/>
      <c r="N1938" s="7"/>
      <c r="O1938" s="7"/>
      <c r="P1938" s="7"/>
      <c r="Q1938" s="7"/>
      <c r="R1938" s="7"/>
      <c r="S1938" s="7"/>
      <c r="T1938" s="7"/>
      <c r="U1938" s="7"/>
      <c r="V1938" s="7"/>
      <c r="W1938" s="7"/>
    </row>
    <row r="1939" spans="1:23" ht="31" x14ac:dyDescent="0.35">
      <c r="A1939" s="257"/>
      <c r="B1939" s="257"/>
      <c r="C1939" s="260"/>
      <c r="D1939" s="263"/>
      <c r="E1939" s="269"/>
      <c r="F1939" s="269"/>
      <c r="G1939" s="120" t="s">
        <v>77</v>
      </c>
      <c r="H1939" s="159" t="s">
        <v>666</v>
      </c>
      <c r="I1939" s="158">
        <f>D1938*K1939</f>
        <v>712098.4</v>
      </c>
      <c r="J1939" s="158">
        <f>I1939/D1938</f>
        <v>92</v>
      </c>
      <c r="K1939" s="158">
        <f>85+7</f>
        <v>92</v>
      </c>
      <c r="L1939" s="7"/>
      <c r="M1939" s="7"/>
      <c r="N1939" s="7"/>
      <c r="O1939" s="7"/>
      <c r="P1939" s="7"/>
      <c r="Q1939" s="7"/>
      <c r="R1939" s="7"/>
      <c r="S1939" s="7"/>
      <c r="T1939" s="7"/>
      <c r="U1939" s="7"/>
      <c r="V1939" s="7"/>
      <c r="W1939" s="7"/>
    </row>
    <row r="1940" spans="1:23" ht="46.5" x14ac:dyDescent="0.35">
      <c r="A1940" s="257"/>
      <c r="B1940" s="257"/>
      <c r="C1940" s="260"/>
      <c r="D1940" s="263"/>
      <c r="E1940" s="269"/>
      <c r="F1940" s="269"/>
      <c r="G1940" s="120" t="s">
        <v>78</v>
      </c>
      <c r="H1940" s="159" t="s">
        <v>666</v>
      </c>
      <c r="I1940" s="158">
        <f>D1938*K1940</f>
        <v>162544.20000000001</v>
      </c>
      <c r="J1940" s="158">
        <f>I1940/D1938</f>
        <v>21</v>
      </c>
      <c r="K1940" s="158">
        <f>19+2</f>
        <v>21</v>
      </c>
      <c r="L1940" s="7"/>
      <c r="M1940" s="7"/>
      <c r="N1940" s="7"/>
      <c r="O1940" s="7"/>
      <c r="P1940" s="7"/>
      <c r="Q1940" s="7"/>
      <c r="R1940" s="7"/>
      <c r="S1940" s="7"/>
      <c r="T1940" s="7"/>
      <c r="U1940" s="7"/>
      <c r="V1940" s="7"/>
      <c r="W1940" s="7"/>
    </row>
    <row r="1941" spans="1:23" ht="30" customHeight="1" x14ac:dyDescent="0.35">
      <c r="A1941" s="257"/>
      <c r="B1941" s="257"/>
      <c r="C1941" s="260"/>
      <c r="D1941" s="263"/>
      <c r="E1941" s="269"/>
      <c r="F1941" s="269"/>
      <c r="G1941" s="120" t="s">
        <v>79</v>
      </c>
      <c r="H1941" s="159" t="s">
        <v>666</v>
      </c>
      <c r="I1941" s="158">
        <f>D1938*K1941</f>
        <v>131583.4</v>
      </c>
      <c r="J1941" s="158">
        <f>I1941/D1938</f>
        <v>17</v>
      </c>
      <c r="K1941" s="158">
        <f>16+1</f>
        <v>17</v>
      </c>
      <c r="L1941" s="7"/>
      <c r="M1941" s="7"/>
      <c r="N1941" s="7"/>
      <c r="O1941" s="7"/>
      <c r="P1941" s="7"/>
      <c r="Q1941" s="7"/>
      <c r="R1941" s="7"/>
      <c r="S1941" s="7"/>
      <c r="T1941" s="7"/>
      <c r="U1941" s="7"/>
      <c r="V1941" s="7"/>
      <c r="W1941" s="7"/>
    </row>
    <row r="1942" spans="1:23" x14ac:dyDescent="0.35">
      <c r="A1942" s="251">
        <f>A1938+1</f>
        <v>96</v>
      </c>
      <c r="B1942" s="251">
        <v>1787</v>
      </c>
      <c r="C1942" s="252" t="s">
        <v>345</v>
      </c>
      <c r="D1942" s="274">
        <v>2886.9</v>
      </c>
      <c r="E1942" s="275" t="s">
        <v>71</v>
      </c>
      <c r="F1942" s="275">
        <v>5</v>
      </c>
      <c r="G1942" s="251" t="s">
        <v>72</v>
      </c>
      <c r="H1942" s="159" t="s">
        <v>73</v>
      </c>
      <c r="I1942" s="158">
        <f>I1943+I1944</f>
        <v>5772067.8600000003</v>
      </c>
      <c r="J1942" s="158">
        <f>J1943+J1944</f>
        <v>1999.4</v>
      </c>
      <c r="K1942" s="158">
        <f>K1943+K1944</f>
        <v>2831</v>
      </c>
      <c r="L1942" s="7"/>
      <c r="M1942" s="7"/>
      <c r="N1942" s="7"/>
      <c r="O1942" s="7"/>
      <c r="P1942" s="7"/>
      <c r="Q1942" s="7"/>
      <c r="R1942" s="7"/>
      <c r="S1942" s="7"/>
      <c r="T1942" s="7"/>
      <c r="U1942" s="7"/>
      <c r="V1942" s="7"/>
      <c r="W1942" s="7"/>
    </row>
    <row r="1943" spans="1:23" x14ac:dyDescent="0.35">
      <c r="A1943" s="251"/>
      <c r="B1943" s="251"/>
      <c r="C1943" s="252"/>
      <c r="D1943" s="274"/>
      <c r="E1943" s="275"/>
      <c r="F1943" s="275"/>
      <c r="G1943" s="251"/>
      <c r="H1943" s="159" t="s">
        <v>74</v>
      </c>
      <c r="I1943" s="158">
        <f>K1943*D1942*0.7</f>
        <v>5601740.7599999998</v>
      </c>
      <c r="J1943" s="158">
        <f>I1943/D1942</f>
        <v>1940.4</v>
      </c>
      <c r="K1943" s="158">
        <v>2772</v>
      </c>
      <c r="L1943" s="7"/>
      <c r="M1943" s="7"/>
      <c r="N1943" s="7"/>
      <c r="O1943" s="7"/>
      <c r="P1943" s="7"/>
      <c r="Q1943" s="7"/>
      <c r="R1943" s="7"/>
      <c r="S1943" s="7"/>
      <c r="T1943" s="7"/>
      <c r="U1943" s="7"/>
      <c r="V1943" s="7"/>
      <c r="W1943" s="7"/>
    </row>
    <row r="1944" spans="1:23" x14ac:dyDescent="0.35">
      <c r="A1944" s="251"/>
      <c r="B1944" s="251"/>
      <c r="C1944" s="252"/>
      <c r="D1944" s="274"/>
      <c r="E1944" s="275"/>
      <c r="F1944" s="275"/>
      <c r="G1944" s="251"/>
      <c r="H1944" s="159" t="s">
        <v>76</v>
      </c>
      <c r="I1944" s="158">
        <f>K1944*D1942</f>
        <v>170327.1</v>
      </c>
      <c r="J1944" s="158">
        <f>I1944/D1942</f>
        <v>59</v>
      </c>
      <c r="K1944" s="158">
        <v>59</v>
      </c>
      <c r="L1944" s="7"/>
      <c r="M1944" s="7"/>
      <c r="N1944" s="7"/>
      <c r="O1944" s="7"/>
      <c r="P1944" s="7"/>
      <c r="Q1944" s="7"/>
      <c r="R1944" s="7"/>
      <c r="S1944" s="7"/>
      <c r="T1944" s="7"/>
      <c r="U1944" s="7"/>
      <c r="V1944" s="7"/>
      <c r="W1944" s="7"/>
    </row>
    <row r="1945" spans="1:23" ht="15.75" customHeight="1" x14ac:dyDescent="0.35">
      <c r="A1945" s="251">
        <f>A1942+1</f>
        <v>97</v>
      </c>
      <c r="B1945" s="251">
        <v>1789</v>
      </c>
      <c r="C1945" s="252" t="s">
        <v>569</v>
      </c>
      <c r="D1945" s="253">
        <v>2815.6</v>
      </c>
      <c r="E1945" s="254" t="s">
        <v>75</v>
      </c>
      <c r="F1945" s="254">
        <v>5</v>
      </c>
      <c r="G1945" s="251" t="s">
        <v>72</v>
      </c>
      <c r="H1945" s="159" t="s">
        <v>73</v>
      </c>
      <c r="I1945" s="158">
        <f>I1946</f>
        <v>461758.4</v>
      </c>
      <c r="J1945" s="158">
        <f>J1946</f>
        <v>164</v>
      </c>
      <c r="K1945" s="158">
        <f>K1946</f>
        <v>164</v>
      </c>
      <c r="L1945" s="7"/>
      <c r="M1945" s="7"/>
      <c r="N1945" s="7"/>
      <c r="O1945" s="7"/>
      <c r="P1945" s="7"/>
      <c r="Q1945" s="7"/>
      <c r="R1945" s="7"/>
      <c r="S1945" s="7"/>
      <c r="T1945" s="7"/>
      <c r="U1945" s="7"/>
      <c r="V1945" s="7"/>
      <c r="W1945" s="7"/>
    </row>
    <row r="1946" spans="1:23" ht="46.5" x14ac:dyDescent="0.35">
      <c r="A1946" s="251"/>
      <c r="B1946" s="251"/>
      <c r="C1946" s="252"/>
      <c r="D1946" s="253"/>
      <c r="E1946" s="254"/>
      <c r="F1946" s="254"/>
      <c r="G1946" s="251"/>
      <c r="H1946" s="159" t="s">
        <v>705</v>
      </c>
      <c r="I1946" s="158">
        <f>D1945*K1946</f>
        <v>461758.4</v>
      </c>
      <c r="J1946" s="158">
        <f>I1946/D1945</f>
        <v>164</v>
      </c>
      <c r="K1946" s="158">
        <f>151+13</f>
        <v>164</v>
      </c>
      <c r="L1946" s="7"/>
      <c r="M1946" s="7"/>
      <c r="N1946" s="7"/>
      <c r="O1946" s="7"/>
      <c r="P1946" s="7"/>
      <c r="Q1946" s="7"/>
      <c r="R1946" s="7"/>
      <c r="S1946" s="7"/>
      <c r="T1946" s="7"/>
      <c r="U1946" s="7"/>
      <c r="V1946" s="7"/>
      <c r="W1946" s="7"/>
    </row>
    <row r="1947" spans="1:23" ht="15.75" customHeight="1" x14ac:dyDescent="0.35">
      <c r="A1947" s="256">
        <f>A1945+1</f>
        <v>98</v>
      </c>
      <c r="B1947" s="256">
        <v>1263</v>
      </c>
      <c r="C1947" s="259" t="s">
        <v>88</v>
      </c>
      <c r="D1947" s="262">
        <v>2040.56</v>
      </c>
      <c r="E1947" s="268" t="s">
        <v>75</v>
      </c>
      <c r="F1947" s="268">
        <v>3</v>
      </c>
      <c r="G1947" s="270" t="s">
        <v>87</v>
      </c>
      <c r="H1947" s="159" t="s">
        <v>73</v>
      </c>
      <c r="I1947" s="158">
        <f>I1948+I1949+I1950+I1951</f>
        <v>6140045.04</v>
      </c>
      <c r="J1947" s="158">
        <f>J1948+J1949+J1950+J1951</f>
        <v>3009</v>
      </c>
      <c r="K1947" s="158">
        <f>K1948+K1949+K1950+K1951</f>
        <v>3009</v>
      </c>
      <c r="L1947" s="7"/>
      <c r="M1947" s="7"/>
      <c r="N1947" s="7"/>
      <c r="O1947" s="7"/>
      <c r="P1947" s="7"/>
      <c r="Q1947" s="7"/>
      <c r="R1947" s="7"/>
      <c r="S1947" s="7"/>
      <c r="T1947" s="7"/>
      <c r="U1947" s="7"/>
      <c r="V1947" s="7"/>
      <c r="W1947" s="7"/>
    </row>
    <row r="1948" spans="1:23" ht="31" x14ac:dyDescent="0.35">
      <c r="A1948" s="257"/>
      <c r="B1948" s="257"/>
      <c r="C1948" s="260"/>
      <c r="D1948" s="263"/>
      <c r="E1948" s="269"/>
      <c r="F1948" s="269"/>
      <c r="G1948" s="272"/>
      <c r="H1948" s="159" t="s">
        <v>666</v>
      </c>
      <c r="I1948" s="158">
        <f>D1947*K1948</f>
        <v>51014</v>
      </c>
      <c r="J1948" s="158">
        <f>I1948/D1947</f>
        <v>25</v>
      </c>
      <c r="K1948" s="158">
        <f>23+2</f>
        <v>25</v>
      </c>
      <c r="L1948" s="7"/>
      <c r="M1948" s="7"/>
      <c r="N1948" s="7"/>
      <c r="O1948" s="7"/>
      <c r="P1948" s="7"/>
      <c r="Q1948" s="7"/>
      <c r="R1948" s="7"/>
      <c r="S1948" s="7"/>
      <c r="T1948" s="7"/>
      <c r="U1948" s="7"/>
      <c r="V1948" s="7"/>
      <c r="W1948" s="7"/>
    </row>
    <row r="1949" spans="1:23" ht="31" x14ac:dyDescent="0.35">
      <c r="A1949" s="257"/>
      <c r="B1949" s="257"/>
      <c r="C1949" s="260"/>
      <c r="D1949" s="263"/>
      <c r="E1949" s="269"/>
      <c r="F1949" s="269"/>
      <c r="G1949" s="256" t="s">
        <v>109</v>
      </c>
      <c r="H1949" s="159" t="s">
        <v>666</v>
      </c>
      <c r="I1949" s="158">
        <f>D1947*K1949</f>
        <v>246907.76</v>
      </c>
      <c r="J1949" s="158">
        <f>I1949/D1947</f>
        <v>121</v>
      </c>
      <c r="K1949" s="158">
        <f>112+9</f>
        <v>121</v>
      </c>
      <c r="L1949" s="7"/>
      <c r="M1949" s="7"/>
      <c r="N1949" s="7"/>
      <c r="O1949" s="7"/>
      <c r="P1949" s="7"/>
      <c r="Q1949" s="7"/>
      <c r="R1949" s="7"/>
      <c r="S1949" s="7"/>
      <c r="T1949" s="7"/>
      <c r="U1949" s="7"/>
      <c r="V1949" s="7"/>
      <c r="W1949" s="7"/>
    </row>
    <row r="1950" spans="1:23" x14ac:dyDescent="0.35">
      <c r="A1950" s="257"/>
      <c r="B1950" s="257"/>
      <c r="C1950" s="260"/>
      <c r="D1950" s="263"/>
      <c r="E1950" s="269"/>
      <c r="F1950" s="269"/>
      <c r="G1950" s="257"/>
      <c r="H1950" s="159" t="s">
        <v>74</v>
      </c>
      <c r="I1950" s="158">
        <f>D1947*K1950</f>
        <v>5719689.6799999997</v>
      </c>
      <c r="J1950" s="158">
        <f>I1950/D1947</f>
        <v>2803</v>
      </c>
      <c r="K1950" s="158">
        <v>2803</v>
      </c>
      <c r="L1950" s="7"/>
      <c r="M1950" s="7"/>
      <c r="N1950" s="7"/>
      <c r="O1950" s="7"/>
      <c r="P1950" s="7"/>
      <c r="Q1950" s="7"/>
      <c r="R1950" s="7"/>
      <c r="S1950" s="7"/>
      <c r="T1950" s="7"/>
      <c r="U1950" s="7"/>
      <c r="V1950" s="7"/>
      <c r="W1950" s="7"/>
    </row>
    <row r="1951" spans="1:23" ht="66.75" customHeight="1" x14ac:dyDescent="0.35">
      <c r="A1951" s="258"/>
      <c r="B1951" s="258"/>
      <c r="C1951" s="261"/>
      <c r="D1951" s="264"/>
      <c r="E1951" s="273"/>
      <c r="F1951" s="273"/>
      <c r="G1951" s="258"/>
      <c r="H1951" s="159" t="s">
        <v>76</v>
      </c>
      <c r="I1951" s="158">
        <f>D1947*K1951</f>
        <v>122433.60000000001</v>
      </c>
      <c r="J1951" s="158">
        <f>I1951/D1947</f>
        <v>60</v>
      </c>
      <c r="K1951" s="158">
        <v>60</v>
      </c>
      <c r="L1951" s="7"/>
      <c r="M1951" s="7"/>
      <c r="N1951" s="7"/>
      <c r="O1951" s="7"/>
      <c r="P1951" s="7"/>
      <c r="Q1951" s="7"/>
      <c r="R1951" s="7"/>
      <c r="S1951" s="7"/>
      <c r="T1951" s="7"/>
      <c r="U1951" s="7"/>
      <c r="V1951" s="7"/>
      <c r="W1951" s="7"/>
    </row>
    <row r="1952" spans="1:23" ht="15.75" customHeight="1" x14ac:dyDescent="0.35">
      <c r="A1952" s="251">
        <f>A1947+1</f>
        <v>99</v>
      </c>
      <c r="B1952" s="251">
        <v>1264</v>
      </c>
      <c r="C1952" s="252" t="s">
        <v>113</v>
      </c>
      <c r="D1952" s="253">
        <v>2815.1</v>
      </c>
      <c r="E1952" s="254" t="s">
        <v>75</v>
      </c>
      <c r="F1952" s="254">
        <v>5</v>
      </c>
      <c r="G1952" s="251" t="s">
        <v>72</v>
      </c>
      <c r="H1952" s="159" t="s">
        <v>73</v>
      </c>
      <c r="I1952" s="158">
        <f>I1953</f>
        <v>461676.4</v>
      </c>
      <c r="J1952" s="158">
        <f>J1953</f>
        <v>164</v>
      </c>
      <c r="K1952" s="158">
        <f>K1953</f>
        <v>164</v>
      </c>
      <c r="L1952" s="7"/>
      <c r="M1952" s="7"/>
      <c r="N1952" s="7"/>
      <c r="O1952" s="7"/>
      <c r="P1952" s="7"/>
      <c r="Q1952" s="7"/>
      <c r="R1952" s="7"/>
      <c r="S1952" s="7"/>
      <c r="T1952" s="7"/>
      <c r="U1952" s="7"/>
      <c r="V1952" s="7"/>
      <c r="W1952" s="7"/>
    </row>
    <row r="1953" spans="1:23" ht="46.5" x14ac:dyDescent="0.35">
      <c r="A1953" s="251"/>
      <c r="B1953" s="251"/>
      <c r="C1953" s="252"/>
      <c r="D1953" s="253"/>
      <c r="E1953" s="254"/>
      <c r="F1953" s="254"/>
      <c r="G1953" s="251"/>
      <c r="H1953" s="159" t="s">
        <v>705</v>
      </c>
      <c r="I1953" s="158">
        <f>D1952*K1953</f>
        <v>461676.4</v>
      </c>
      <c r="J1953" s="158">
        <f>I1953/D1952</f>
        <v>164</v>
      </c>
      <c r="K1953" s="158">
        <f>151+13</f>
        <v>164</v>
      </c>
      <c r="L1953" s="7"/>
      <c r="M1953" s="7"/>
      <c r="N1953" s="7"/>
      <c r="O1953" s="7"/>
      <c r="P1953" s="7"/>
      <c r="Q1953" s="7"/>
      <c r="R1953" s="7"/>
      <c r="S1953" s="7"/>
      <c r="T1953" s="7"/>
      <c r="U1953" s="7"/>
      <c r="V1953" s="7"/>
      <c r="W1953" s="7"/>
    </row>
    <row r="1954" spans="1:23" x14ac:dyDescent="0.35">
      <c r="A1954" s="256">
        <f>A1952+1</f>
        <v>100</v>
      </c>
      <c r="B1954" s="256">
        <v>1265</v>
      </c>
      <c r="C1954" s="259" t="s">
        <v>346</v>
      </c>
      <c r="D1954" s="262">
        <v>4275.8</v>
      </c>
      <c r="E1954" s="268" t="s">
        <v>75</v>
      </c>
      <c r="F1954" s="268">
        <v>6</v>
      </c>
      <c r="G1954" s="256" t="s">
        <v>72</v>
      </c>
      <c r="H1954" s="159" t="s">
        <v>73</v>
      </c>
      <c r="I1954" s="158">
        <f>I1955+I1956</f>
        <v>11894452.77</v>
      </c>
      <c r="J1954" s="158">
        <f>J1955+J1956</f>
        <v>2781.81</v>
      </c>
      <c r="K1954" s="158">
        <f>K1955+K1956</f>
        <v>2831</v>
      </c>
      <c r="L1954" s="7"/>
      <c r="M1954" s="7"/>
      <c r="N1954" s="7"/>
      <c r="O1954" s="7"/>
      <c r="P1954" s="7"/>
      <c r="Q1954" s="7"/>
      <c r="R1954" s="7"/>
      <c r="S1954" s="7"/>
      <c r="T1954" s="7"/>
      <c r="U1954" s="7"/>
      <c r="V1954" s="7"/>
      <c r="W1954" s="7"/>
    </row>
    <row r="1955" spans="1:23" x14ac:dyDescent="0.35">
      <c r="A1955" s="257"/>
      <c r="B1955" s="257"/>
      <c r="C1955" s="260"/>
      <c r="D1955" s="263"/>
      <c r="E1955" s="269"/>
      <c r="F1955" s="269"/>
      <c r="G1955" s="257"/>
      <c r="H1955" s="159" t="s">
        <v>74</v>
      </c>
      <c r="I1955" s="158">
        <v>11645244.539999999</v>
      </c>
      <c r="J1955" s="158">
        <f>I1955/D1954+0.01</f>
        <v>2723.53</v>
      </c>
      <c r="K1955" s="158">
        <v>2772</v>
      </c>
      <c r="L1955" s="7"/>
      <c r="M1955" s="7"/>
      <c r="N1955" s="7"/>
      <c r="O1955" s="7"/>
      <c r="P1955" s="7"/>
      <c r="Q1955" s="7"/>
      <c r="R1955" s="7"/>
      <c r="S1955" s="7"/>
      <c r="T1955" s="7"/>
      <c r="U1955" s="7"/>
      <c r="V1955" s="7"/>
      <c r="W1955" s="7"/>
    </row>
    <row r="1956" spans="1:23" x14ac:dyDescent="0.35">
      <c r="A1956" s="258"/>
      <c r="B1956" s="258"/>
      <c r="C1956" s="261"/>
      <c r="D1956" s="264"/>
      <c r="E1956" s="273"/>
      <c r="F1956" s="273"/>
      <c r="G1956" s="258"/>
      <c r="H1956" s="159" t="s">
        <v>76</v>
      </c>
      <c r="I1956" s="158">
        <f>I1955*0.0214</f>
        <v>249208.23</v>
      </c>
      <c r="J1956" s="158">
        <f>I1956/D1954</f>
        <v>58.28</v>
      </c>
      <c r="K1956" s="158">
        <v>59</v>
      </c>
      <c r="L1956" s="7"/>
      <c r="M1956" s="7"/>
      <c r="N1956" s="7"/>
      <c r="O1956" s="7"/>
      <c r="P1956" s="7"/>
      <c r="Q1956" s="7"/>
      <c r="R1956" s="7"/>
      <c r="S1956" s="7"/>
      <c r="T1956" s="7"/>
      <c r="U1956" s="7"/>
      <c r="V1956" s="7"/>
      <c r="W1956" s="7"/>
    </row>
    <row r="1957" spans="1:23" ht="15.75" customHeight="1" x14ac:dyDescent="0.35">
      <c r="A1957" s="256">
        <f>A1954+1</f>
        <v>101</v>
      </c>
      <c r="B1957" s="256">
        <v>1267</v>
      </c>
      <c r="C1957" s="259" t="s">
        <v>347</v>
      </c>
      <c r="D1957" s="262">
        <v>3044.9</v>
      </c>
      <c r="E1957" s="262" t="s">
        <v>75</v>
      </c>
      <c r="F1957" s="265">
        <v>5</v>
      </c>
      <c r="G1957" s="123"/>
      <c r="H1957" s="159" t="s">
        <v>73</v>
      </c>
      <c r="I1957" s="158">
        <f>I1958+I1959+I1960</f>
        <v>654653.5</v>
      </c>
      <c r="J1957" s="158">
        <f>J1958+J1959+J1960</f>
        <v>215</v>
      </c>
      <c r="K1957" s="158">
        <f>K1958+K1959+K1960</f>
        <v>215</v>
      </c>
      <c r="L1957" s="7"/>
      <c r="M1957" s="7"/>
      <c r="N1957" s="7"/>
      <c r="O1957" s="7"/>
      <c r="P1957" s="7"/>
      <c r="Q1957" s="7"/>
      <c r="R1957" s="7"/>
      <c r="S1957" s="7"/>
      <c r="T1957" s="7"/>
      <c r="U1957" s="7"/>
      <c r="V1957" s="7"/>
      <c r="W1957" s="7"/>
    </row>
    <row r="1958" spans="1:23" ht="31" x14ac:dyDescent="0.35">
      <c r="A1958" s="257"/>
      <c r="B1958" s="257"/>
      <c r="C1958" s="260"/>
      <c r="D1958" s="263"/>
      <c r="E1958" s="263"/>
      <c r="F1958" s="266"/>
      <c r="G1958" s="123" t="s">
        <v>82</v>
      </c>
      <c r="H1958" s="159" t="s">
        <v>666</v>
      </c>
      <c r="I1958" s="158">
        <f>D1957*K1958</f>
        <v>109616.4</v>
      </c>
      <c r="J1958" s="158">
        <f>I1958/D1957</f>
        <v>36</v>
      </c>
      <c r="K1958" s="158">
        <f>33+3</f>
        <v>36</v>
      </c>
      <c r="L1958" s="7"/>
      <c r="M1958" s="7"/>
      <c r="N1958" s="7"/>
      <c r="O1958" s="7"/>
      <c r="P1958" s="7"/>
      <c r="Q1958" s="7"/>
      <c r="R1958" s="7"/>
      <c r="S1958" s="7"/>
      <c r="T1958" s="7"/>
      <c r="U1958" s="7"/>
      <c r="V1958" s="7"/>
      <c r="W1958" s="7"/>
    </row>
    <row r="1959" spans="1:23" ht="46.5" x14ac:dyDescent="0.35">
      <c r="A1959" s="257"/>
      <c r="B1959" s="257"/>
      <c r="C1959" s="260"/>
      <c r="D1959" s="263"/>
      <c r="E1959" s="263"/>
      <c r="F1959" s="266"/>
      <c r="G1959" s="123" t="s">
        <v>83</v>
      </c>
      <c r="H1959" s="159" t="s">
        <v>666</v>
      </c>
      <c r="I1959" s="158">
        <f>D1957*K1959</f>
        <v>45673.5</v>
      </c>
      <c r="J1959" s="158">
        <f>I1959/D1957</f>
        <v>15</v>
      </c>
      <c r="K1959" s="158">
        <f>14+1</f>
        <v>15</v>
      </c>
      <c r="L1959" s="7"/>
      <c r="M1959" s="7"/>
      <c r="N1959" s="7"/>
      <c r="O1959" s="7"/>
      <c r="P1959" s="7"/>
      <c r="Q1959" s="7"/>
      <c r="R1959" s="7"/>
      <c r="S1959" s="7"/>
      <c r="T1959" s="7"/>
      <c r="U1959" s="7"/>
      <c r="V1959" s="7"/>
      <c r="W1959" s="7"/>
    </row>
    <row r="1960" spans="1:23" ht="46.5" x14ac:dyDescent="0.35">
      <c r="A1960" s="257"/>
      <c r="B1960" s="257"/>
      <c r="C1960" s="260"/>
      <c r="D1960" s="263"/>
      <c r="E1960" s="263"/>
      <c r="F1960" s="266"/>
      <c r="G1960" s="123" t="s">
        <v>72</v>
      </c>
      <c r="H1960" s="159" t="s">
        <v>705</v>
      </c>
      <c r="I1960" s="158">
        <f>D1957*K1960</f>
        <v>499363.6</v>
      </c>
      <c r="J1960" s="158">
        <f>I1960/D1957</f>
        <v>164</v>
      </c>
      <c r="K1960" s="158">
        <f>151+13</f>
        <v>164</v>
      </c>
      <c r="L1960" s="7"/>
      <c r="M1960" s="7"/>
      <c r="N1960" s="7"/>
      <c r="O1960" s="7"/>
      <c r="P1960" s="7"/>
      <c r="Q1960" s="7"/>
      <c r="R1960" s="7"/>
      <c r="S1960" s="7"/>
      <c r="T1960" s="7"/>
      <c r="U1960" s="7"/>
      <c r="V1960" s="7"/>
      <c r="W1960" s="7"/>
    </row>
    <row r="1961" spans="1:23" ht="15.75" customHeight="1" x14ac:dyDescent="0.35">
      <c r="A1961" s="256">
        <f>A1957+1</f>
        <v>102</v>
      </c>
      <c r="B1961" s="256">
        <v>1353</v>
      </c>
      <c r="C1961" s="259" t="s">
        <v>89</v>
      </c>
      <c r="D1961" s="262">
        <v>6993.5</v>
      </c>
      <c r="E1961" s="262" t="s">
        <v>75</v>
      </c>
      <c r="F1961" s="265">
        <v>5</v>
      </c>
      <c r="G1961" s="149"/>
      <c r="H1961" s="159" t="s">
        <v>73</v>
      </c>
      <c r="I1961" s="158">
        <f>I1962+I1963</f>
        <v>400028.2</v>
      </c>
      <c r="J1961" s="158">
        <f>J1962+J1963</f>
        <v>57.2</v>
      </c>
      <c r="K1961" s="158">
        <f>K1962+K1963</f>
        <v>172</v>
      </c>
      <c r="L1961" s="7"/>
      <c r="M1961" s="7"/>
      <c r="N1961" s="7"/>
      <c r="O1961" s="7"/>
      <c r="P1961" s="7"/>
      <c r="Q1961" s="7"/>
      <c r="R1961" s="7"/>
      <c r="S1961" s="7"/>
      <c r="T1961" s="7"/>
      <c r="U1961" s="7"/>
      <c r="V1961" s="7"/>
      <c r="W1961" s="7"/>
    </row>
    <row r="1962" spans="1:23" ht="31" x14ac:dyDescent="0.35">
      <c r="A1962" s="257"/>
      <c r="B1962" s="257"/>
      <c r="C1962" s="260"/>
      <c r="D1962" s="263"/>
      <c r="E1962" s="263"/>
      <c r="F1962" s="266"/>
      <c r="G1962" s="256" t="s">
        <v>84</v>
      </c>
      <c r="H1962" s="159" t="s">
        <v>666</v>
      </c>
      <c r="I1962" s="158">
        <f>D1961*K1962</f>
        <v>55948</v>
      </c>
      <c r="J1962" s="158">
        <f>I1962/D1961</f>
        <v>8</v>
      </c>
      <c r="K1962" s="158">
        <f>7+1</f>
        <v>8</v>
      </c>
      <c r="L1962" s="7"/>
      <c r="M1962" s="7"/>
      <c r="N1962" s="7"/>
      <c r="O1962" s="7"/>
      <c r="P1962" s="7"/>
      <c r="Q1962" s="7"/>
      <c r="R1962" s="7"/>
      <c r="S1962" s="7"/>
      <c r="T1962" s="7"/>
      <c r="U1962" s="7"/>
      <c r="V1962" s="7"/>
      <c r="W1962" s="7"/>
    </row>
    <row r="1963" spans="1:23" x14ac:dyDescent="0.35">
      <c r="A1963" s="258"/>
      <c r="B1963" s="258"/>
      <c r="C1963" s="261"/>
      <c r="D1963" s="264"/>
      <c r="E1963" s="264"/>
      <c r="F1963" s="267"/>
      <c r="G1963" s="258"/>
      <c r="H1963" s="159" t="s">
        <v>74</v>
      </c>
      <c r="I1963" s="158">
        <f>K1963*D1961*0.3</f>
        <v>344080.2</v>
      </c>
      <c r="J1963" s="158">
        <f>I1963/D1961</f>
        <v>49.2</v>
      </c>
      <c r="K1963" s="158">
        <v>164</v>
      </c>
      <c r="L1963" s="7"/>
      <c r="M1963" s="7"/>
      <c r="N1963" s="7"/>
      <c r="O1963" s="7"/>
      <c r="P1963" s="7"/>
      <c r="Q1963" s="7"/>
      <c r="R1963" s="7"/>
      <c r="S1963" s="7"/>
      <c r="T1963" s="7"/>
      <c r="U1963" s="7"/>
      <c r="V1963" s="7"/>
      <c r="W1963" s="7"/>
    </row>
    <row r="1964" spans="1:23" x14ac:dyDescent="0.35">
      <c r="A1964" s="256">
        <f>A1961+1</f>
        <v>103</v>
      </c>
      <c r="B1964" s="256">
        <v>1421</v>
      </c>
      <c r="C1964" s="259" t="s">
        <v>349</v>
      </c>
      <c r="D1964" s="262">
        <v>3894.6</v>
      </c>
      <c r="E1964" s="268" t="s">
        <v>71</v>
      </c>
      <c r="F1964" s="268">
        <v>5</v>
      </c>
      <c r="G1964" s="256" t="s">
        <v>72</v>
      </c>
      <c r="H1964" s="159" t="s">
        <v>73</v>
      </c>
      <c r="I1964" s="158">
        <f>I1965+I1966</f>
        <v>13432475.4</v>
      </c>
      <c r="J1964" s="158">
        <f>J1965+J1966</f>
        <v>3449</v>
      </c>
      <c r="K1964" s="158">
        <f>K1965+K1966</f>
        <v>3449</v>
      </c>
      <c r="L1964" s="7"/>
      <c r="M1964" s="7"/>
      <c r="N1964" s="7"/>
      <c r="O1964" s="7"/>
      <c r="P1964" s="7"/>
      <c r="Q1964" s="7"/>
      <c r="R1964" s="7"/>
      <c r="S1964" s="7"/>
      <c r="T1964" s="7"/>
      <c r="U1964" s="7"/>
      <c r="V1964" s="7"/>
      <c r="W1964" s="7"/>
    </row>
    <row r="1965" spans="1:23" ht="31" x14ac:dyDescent="0.35">
      <c r="A1965" s="257"/>
      <c r="B1965" s="257"/>
      <c r="C1965" s="260"/>
      <c r="D1965" s="263"/>
      <c r="E1965" s="269"/>
      <c r="F1965" s="269"/>
      <c r="G1965" s="257"/>
      <c r="H1965" s="159" t="s">
        <v>86</v>
      </c>
      <c r="I1965" s="158">
        <f>K1965*D1964</f>
        <v>13152064.199999999</v>
      </c>
      <c r="J1965" s="158">
        <f>I1965/D1964</f>
        <v>3377</v>
      </c>
      <c r="K1965" s="158">
        <v>3377</v>
      </c>
      <c r="L1965" s="7"/>
      <c r="M1965" s="7"/>
      <c r="N1965" s="7"/>
      <c r="O1965" s="7"/>
      <c r="P1965" s="7"/>
      <c r="Q1965" s="7"/>
      <c r="R1965" s="7"/>
      <c r="S1965" s="7"/>
      <c r="T1965" s="7"/>
      <c r="U1965" s="7"/>
      <c r="V1965" s="7"/>
      <c r="W1965" s="7"/>
    </row>
    <row r="1966" spans="1:23" x14ac:dyDescent="0.35">
      <c r="A1966" s="258"/>
      <c r="B1966" s="258"/>
      <c r="C1966" s="261"/>
      <c r="D1966" s="264"/>
      <c r="E1966" s="273"/>
      <c r="F1966" s="273"/>
      <c r="G1966" s="258"/>
      <c r="H1966" s="159" t="s">
        <v>76</v>
      </c>
      <c r="I1966" s="158">
        <f>K1966*D1964</f>
        <v>280411.2</v>
      </c>
      <c r="J1966" s="158">
        <f>I1966/D1964</f>
        <v>72</v>
      </c>
      <c r="K1966" s="158">
        <v>72</v>
      </c>
      <c r="L1966" s="7"/>
      <c r="M1966" s="7"/>
      <c r="N1966" s="7"/>
      <c r="O1966" s="7"/>
      <c r="P1966" s="7"/>
      <c r="Q1966" s="7"/>
      <c r="R1966" s="7"/>
      <c r="S1966" s="7"/>
      <c r="T1966" s="7"/>
      <c r="U1966" s="7"/>
      <c r="V1966" s="7"/>
      <c r="W1966" s="7"/>
    </row>
    <row r="1967" spans="1:23" ht="15.75" customHeight="1" x14ac:dyDescent="0.35">
      <c r="A1967" s="251">
        <f>A1964+1</f>
        <v>104</v>
      </c>
      <c r="B1967" s="251">
        <v>1042</v>
      </c>
      <c r="C1967" s="252" t="s">
        <v>571</v>
      </c>
      <c r="D1967" s="253">
        <v>3945.3</v>
      </c>
      <c r="E1967" s="254" t="s">
        <v>71</v>
      </c>
      <c r="F1967" s="254">
        <v>5</v>
      </c>
      <c r="G1967" s="251" t="s">
        <v>72</v>
      </c>
      <c r="H1967" s="159" t="s">
        <v>73</v>
      </c>
      <c r="I1967" s="158">
        <f>I1968</f>
        <v>647029.19999999995</v>
      </c>
      <c r="J1967" s="158">
        <f>J1968</f>
        <v>164</v>
      </c>
      <c r="K1967" s="158">
        <f>K1968</f>
        <v>164</v>
      </c>
      <c r="L1967" s="7"/>
      <c r="M1967" s="7"/>
      <c r="N1967" s="7"/>
      <c r="O1967" s="7"/>
      <c r="P1967" s="7"/>
      <c r="Q1967" s="7"/>
      <c r="R1967" s="7"/>
      <c r="S1967" s="7"/>
      <c r="T1967" s="7"/>
      <c r="U1967" s="7"/>
      <c r="V1967" s="7"/>
      <c r="W1967" s="7"/>
    </row>
    <row r="1968" spans="1:23" ht="46.5" x14ac:dyDescent="0.35">
      <c r="A1968" s="251"/>
      <c r="B1968" s="251"/>
      <c r="C1968" s="252"/>
      <c r="D1968" s="253"/>
      <c r="E1968" s="254"/>
      <c r="F1968" s="254"/>
      <c r="G1968" s="251"/>
      <c r="H1968" s="159" t="s">
        <v>705</v>
      </c>
      <c r="I1968" s="158">
        <f>D1967*K1968</f>
        <v>647029.19999999995</v>
      </c>
      <c r="J1968" s="158">
        <f>I1968/D1967</f>
        <v>164</v>
      </c>
      <c r="K1968" s="158">
        <f>151+13</f>
        <v>164</v>
      </c>
      <c r="L1968" s="7"/>
      <c r="M1968" s="7"/>
      <c r="N1968" s="7"/>
      <c r="O1968" s="7"/>
      <c r="P1968" s="7"/>
      <c r="Q1968" s="7"/>
      <c r="R1968" s="7"/>
      <c r="S1968" s="7"/>
      <c r="T1968" s="7"/>
      <c r="U1968" s="7"/>
      <c r="V1968" s="7"/>
      <c r="W1968" s="7"/>
    </row>
    <row r="1969" spans="1:23" x14ac:dyDescent="0.35">
      <c r="A1969" s="256">
        <f>A1967+1</f>
        <v>105</v>
      </c>
      <c r="B1969" s="256">
        <v>1030</v>
      </c>
      <c r="C1969" s="259" t="s">
        <v>350</v>
      </c>
      <c r="D1969" s="262">
        <v>2345.1999999999998</v>
      </c>
      <c r="E1969" s="268" t="s">
        <v>71</v>
      </c>
      <c r="F1969" s="268">
        <v>5</v>
      </c>
      <c r="G1969" s="256" t="s">
        <v>72</v>
      </c>
      <c r="H1969" s="159" t="s">
        <v>73</v>
      </c>
      <c r="I1969" s="158">
        <f>I1970+I1971</f>
        <v>8088594.7999999998</v>
      </c>
      <c r="J1969" s="158">
        <f>J1970+J1971</f>
        <v>3449</v>
      </c>
      <c r="K1969" s="158">
        <f>K1970+K1971</f>
        <v>3449</v>
      </c>
      <c r="L1969" s="7"/>
      <c r="M1969" s="7"/>
      <c r="N1969" s="7"/>
      <c r="O1969" s="7"/>
      <c r="P1969" s="7"/>
      <c r="Q1969" s="7"/>
      <c r="R1969" s="7"/>
      <c r="S1969" s="7"/>
      <c r="T1969" s="7"/>
      <c r="U1969" s="7"/>
      <c r="V1969" s="7"/>
      <c r="W1969" s="7"/>
    </row>
    <row r="1970" spans="1:23" ht="31" x14ac:dyDescent="0.35">
      <c r="A1970" s="257"/>
      <c r="B1970" s="257"/>
      <c r="C1970" s="260"/>
      <c r="D1970" s="263"/>
      <c r="E1970" s="269"/>
      <c r="F1970" s="269"/>
      <c r="G1970" s="257"/>
      <c r="H1970" s="159" t="s">
        <v>86</v>
      </c>
      <c r="I1970" s="158">
        <f>K1970*D1969</f>
        <v>7919740.4000000004</v>
      </c>
      <c r="J1970" s="158">
        <f>I1970/D1969</f>
        <v>3377</v>
      </c>
      <c r="K1970" s="158">
        <v>3377</v>
      </c>
      <c r="L1970" s="7"/>
      <c r="M1970" s="7"/>
      <c r="N1970" s="7"/>
      <c r="O1970" s="7"/>
      <c r="P1970" s="7"/>
      <c r="Q1970" s="7"/>
      <c r="R1970" s="7"/>
      <c r="S1970" s="7"/>
      <c r="T1970" s="7"/>
      <c r="U1970" s="7"/>
      <c r="V1970" s="7"/>
      <c r="W1970" s="7"/>
    </row>
    <row r="1971" spans="1:23" x14ac:dyDescent="0.35">
      <c r="A1971" s="258"/>
      <c r="B1971" s="258"/>
      <c r="C1971" s="261"/>
      <c r="D1971" s="264"/>
      <c r="E1971" s="273"/>
      <c r="F1971" s="273"/>
      <c r="G1971" s="258"/>
      <c r="H1971" s="159" t="s">
        <v>76</v>
      </c>
      <c r="I1971" s="158">
        <f>K1971*D1969</f>
        <v>168854.39999999999</v>
      </c>
      <c r="J1971" s="158">
        <f>I1971/D1969</f>
        <v>72</v>
      </c>
      <c r="K1971" s="158">
        <v>72</v>
      </c>
      <c r="L1971" s="7"/>
      <c r="M1971" s="7"/>
      <c r="N1971" s="7"/>
      <c r="O1971" s="7"/>
      <c r="P1971" s="7"/>
      <c r="Q1971" s="7"/>
      <c r="R1971" s="7"/>
      <c r="S1971" s="7"/>
      <c r="T1971" s="7"/>
      <c r="U1971" s="7"/>
      <c r="V1971" s="7"/>
      <c r="W1971" s="7"/>
    </row>
    <row r="1972" spans="1:23" x14ac:dyDescent="0.35">
      <c r="A1972" s="256">
        <f>A1969+1</f>
        <v>106</v>
      </c>
      <c r="B1972" s="256">
        <v>1354</v>
      </c>
      <c r="C1972" s="259" t="s">
        <v>351</v>
      </c>
      <c r="D1972" s="262">
        <v>3816</v>
      </c>
      <c r="E1972" s="268" t="s">
        <v>71</v>
      </c>
      <c r="F1972" s="268">
        <v>5</v>
      </c>
      <c r="G1972" s="256" t="s">
        <v>87</v>
      </c>
      <c r="H1972" s="159" t="s">
        <v>73</v>
      </c>
      <c r="I1972" s="158">
        <f>I1973+I1974</f>
        <v>803113.93</v>
      </c>
      <c r="J1972" s="158">
        <f>J1973+J1974</f>
        <v>210.46</v>
      </c>
      <c r="K1972" s="158">
        <f>K1973+K1974</f>
        <v>596</v>
      </c>
      <c r="L1972" s="7"/>
      <c r="M1972" s="7"/>
      <c r="N1972" s="7"/>
      <c r="O1972" s="7"/>
      <c r="P1972" s="7"/>
      <c r="Q1972" s="7"/>
      <c r="R1972" s="7"/>
      <c r="S1972" s="7"/>
      <c r="T1972" s="7"/>
      <c r="U1972" s="7"/>
      <c r="V1972" s="7"/>
      <c r="W1972" s="7"/>
    </row>
    <row r="1973" spans="1:23" x14ac:dyDescent="0.35">
      <c r="A1973" s="257"/>
      <c r="B1973" s="257"/>
      <c r="C1973" s="260"/>
      <c r="D1973" s="263"/>
      <c r="E1973" s="269"/>
      <c r="F1973" s="269"/>
      <c r="G1973" s="257"/>
      <c r="H1973" s="159" t="s">
        <v>74</v>
      </c>
      <c r="I1973" s="158">
        <f>1113271.32*0.7</f>
        <v>779289.92</v>
      </c>
      <c r="J1973" s="158">
        <f>I1973/D1972</f>
        <v>204.22</v>
      </c>
      <c r="K1973" s="158">
        <v>584</v>
      </c>
      <c r="L1973" s="7"/>
      <c r="M1973" s="7"/>
      <c r="N1973" s="7"/>
      <c r="O1973" s="7"/>
      <c r="P1973" s="7"/>
      <c r="Q1973" s="7"/>
      <c r="R1973" s="7"/>
      <c r="S1973" s="7"/>
      <c r="T1973" s="7"/>
      <c r="U1973" s="7"/>
      <c r="V1973" s="7"/>
      <c r="W1973" s="7"/>
    </row>
    <row r="1974" spans="1:23" x14ac:dyDescent="0.35">
      <c r="A1974" s="258"/>
      <c r="B1974" s="258"/>
      <c r="C1974" s="261"/>
      <c r="D1974" s="264"/>
      <c r="E1974" s="273"/>
      <c r="F1974" s="273"/>
      <c r="G1974" s="258"/>
      <c r="H1974" s="159" t="s">
        <v>76</v>
      </c>
      <c r="I1974" s="158">
        <f>1113271.32*0.0214</f>
        <v>23824.01</v>
      </c>
      <c r="J1974" s="158">
        <f>I1974/D1972</f>
        <v>6.24</v>
      </c>
      <c r="K1974" s="158">
        <v>12</v>
      </c>
      <c r="L1974" s="7"/>
      <c r="M1974" s="7"/>
      <c r="N1974" s="7"/>
      <c r="O1974" s="7"/>
      <c r="P1974" s="7"/>
      <c r="Q1974" s="7"/>
      <c r="R1974" s="7"/>
      <c r="S1974" s="7"/>
      <c r="T1974" s="7"/>
      <c r="U1974" s="7"/>
      <c r="V1974" s="7"/>
      <c r="W1974" s="7"/>
    </row>
    <row r="1975" spans="1:23" x14ac:dyDescent="0.35">
      <c r="A1975" s="256">
        <f>A1972+1</f>
        <v>107</v>
      </c>
      <c r="B1975" s="256">
        <v>1357</v>
      </c>
      <c r="C1975" s="259" t="s">
        <v>352</v>
      </c>
      <c r="D1975" s="262">
        <v>3930.8</v>
      </c>
      <c r="E1975" s="268" t="s">
        <v>75</v>
      </c>
      <c r="F1975" s="268">
        <v>5</v>
      </c>
      <c r="G1975" s="256" t="s">
        <v>87</v>
      </c>
      <c r="H1975" s="159" t="s">
        <v>73</v>
      </c>
      <c r="I1975" s="158">
        <f>I1976+I1977</f>
        <v>995962.39</v>
      </c>
      <c r="J1975" s="158">
        <f>J1976+J1977</f>
        <v>253.37</v>
      </c>
      <c r="K1975" s="158">
        <f>K1976+K1977</f>
        <v>596</v>
      </c>
      <c r="L1975" s="7"/>
      <c r="M1975" s="7"/>
      <c r="N1975" s="7"/>
      <c r="O1975" s="7"/>
      <c r="P1975" s="7"/>
      <c r="Q1975" s="7"/>
      <c r="R1975" s="7"/>
      <c r="S1975" s="7"/>
      <c r="T1975" s="7"/>
      <c r="U1975" s="7"/>
      <c r="V1975" s="7"/>
      <c r="W1975" s="7"/>
    </row>
    <row r="1976" spans="1:23" x14ac:dyDescent="0.35">
      <c r="A1976" s="257"/>
      <c r="B1976" s="257"/>
      <c r="C1976" s="260"/>
      <c r="D1976" s="263"/>
      <c r="E1976" s="269"/>
      <c r="F1976" s="269"/>
      <c r="G1976" s="257"/>
      <c r="H1976" s="159" t="s">
        <v>74</v>
      </c>
      <c r="I1976" s="158">
        <f>1380596.6*0.7</f>
        <v>966417.62</v>
      </c>
      <c r="J1976" s="158">
        <f>I1976/D1975-0.01</f>
        <v>245.85</v>
      </c>
      <c r="K1976" s="158">
        <v>584</v>
      </c>
      <c r="L1976" s="7"/>
      <c r="M1976" s="7"/>
      <c r="N1976" s="7"/>
      <c r="O1976" s="7"/>
      <c r="P1976" s="7"/>
      <c r="Q1976" s="7"/>
      <c r="R1976" s="7"/>
      <c r="S1976" s="7"/>
      <c r="T1976" s="7"/>
      <c r="U1976" s="7"/>
      <c r="V1976" s="7"/>
      <c r="W1976" s="7"/>
    </row>
    <row r="1977" spans="1:23" x14ac:dyDescent="0.35">
      <c r="A1977" s="258"/>
      <c r="B1977" s="258"/>
      <c r="C1977" s="261"/>
      <c r="D1977" s="264"/>
      <c r="E1977" s="273"/>
      <c r="F1977" s="273"/>
      <c r="G1977" s="258"/>
      <c r="H1977" s="159" t="s">
        <v>76</v>
      </c>
      <c r="I1977" s="158">
        <f>1380596.6*0.0214</f>
        <v>29544.77</v>
      </c>
      <c r="J1977" s="158">
        <f>I1977/D1975</f>
        <v>7.52</v>
      </c>
      <c r="K1977" s="158">
        <v>12</v>
      </c>
      <c r="L1977" s="7"/>
      <c r="M1977" s="7"/>
      <c r="N1977" s="7"/>
      <c r="O1977" s="7"/>
      <c r="P1977" s="7"/>
      <c r="Q1977" s="7"/>
      <c r="R1977" s="7"/>
      <c r="S1977" s="7"/>
      <c r="T1977" s="7"/>
      <c r="U1977" s="7"/>
      <c r="V1977" s="7"/>
      <c r="W1977" s="7"/>
    </row>
    <row r="1978" spans="1:23" x14ac:dyDescent="0.35">
      <c r="A1978" s="251">
        <f>A1975+1</f>
        <v>108</v>
      </c>
      <c r="B1978" s="251">
        <v>1358</v>
      </c>
      <c r="C1978" s="252" t="s">
        <v>353</v>
      </c>
      <c r="D1978" s="253">
        <v>3186.9</v>
      </c>
      <c r="E1978" s="254" t="s">
        <v>75</v>
      </c>
      <c r="F1978" s="254">
        <v>5</v>
      </c>
      <c r="G1978" s="251" t="s">
        <v>87</v>
      </c>
      <c r="H1978" s="159" t="s">
        <v>73</v>
      </c>
      <c r="I1978" s="158">
        <f>I1979+I1980</f>
        <v>1899392.4</v>
      </c>
      <c r="J1978" s="158">
        <f>J1979+J1980</f>
        <v>596</v>
      </c>
      <c r="K1978" s="158">
        <f>K1979+K1980</f>
        <v>596</v>
      </c>
      <c r="L1978" s="7"/>
      <c r="M1978" s="7"/>
      <c r="N1978" s="7"/>
      <c r="O1978" s="7"/>
      <c r="P1978" s="7"/>
      <c r="Q1978" s="7"/>
      <c r="R1978" s="7"/>
      <c r="S1978" s="7"/>
      <c r="T1978" s="7"/>
      <c r="U1978" s="7"/>
      <c r="V1978" s="7"/>
      <c r="W1978" s="7"/>
    </row>
    <row r="1979" spans="1:23" x14ac:dyDescent="0.35">
      <c r="A1979" s="251">
        <v>77</v>
      </c>
      <c r="B1979" s="251"/>
      <c r="C1979" s="252"/>
      <c r="D1979" s="253"/>
      <c r="E1979" s="254"/>
      <c r="F1979" s="254"/>
      <c r="G1979" s="251"/>
      <c r="H1979" s="159" t="s">
        <v>74</v>
      </c>
      <c r="I1979" s="158">
        <f>K1979*D1978</f>
        <v>1861149.6</v>
      </c>
      <c r="J1979" s="158">
        <f>I1979/D1978</f>
        <v>584</v>
      </c>
      <c r="K1979" s="158">
        <v>584</v>
      </c>
      <c r="L1979" s="7"/>
      <c r="M1979" s="7"/>
      <c r="N1979" s="7"/>
      <c r="O1979" s="7"/>
      <c r="P1979" s="7"/>
      <c r="Q1979" s="7"/>
      <c r="R1979" s="7"/>
      <c r="S1979" s="7"/>
      <c r="T1979" s="7"/>
      <c r="U1979" s="7"/>
      <c r="V1979" s="7"/>
      <c r="W1979" s="7"/>
    </row>
    <row r="1980" spans="1:23" x14ac:dyDescent="0.35">
      <c r="A1980" s="251">
        <v>78</v>
      </c>
      <c r="B1980" s="251"/>
      <c r="C1980" s="252"/>
      <c r="D1980" s="253"/>
      <c r="E1980" s="254"/>
      <c r="F1980" s="254"/>
      <c r="G1980" s="251"/>
      <c r="H1980" s="159" t="s">
        <v>76</v>
      </c>
      <c r="I1980" s="158">
        <f>K1980*D1978</f>
        <v>38242.800000000003</v>
      </c>
      <c r="J1980" s="158">
        <f>I1980/D1978</f>
        <v>12</v>
      </c>
      <c r="K1980" s="158">
        <v>12</v>
      </c>
      <c r="L1980" s="7"/>
      <c r="M1980" s="7"/>
      <c r="N1980" s="7"/>
      <c r="O1980" s="7"/>
      <c r="P1980" s="7"/>
      <c r="Q1980" s="7"/>
      <c r="R1980" s="7"/>
      <c r="S1980" s="7"/>
      <c r="T1980" s="7"/>
      <c r="U1980" s="7"/>
      <c r="V1980" s="7"/>
      <c r="W1980" s="7"/>
    </row>
    <row r="1981" spans="1:23" x14ac:dyDescent="0.35">
      <c r="A1981" s="251">
        <f>A1978+1</f>
        <v>109</v>
      </c>
      <c r="B1981" s="251">
        <v>1361</v>
      </c>
      <c r="C1981" s="252" t="s">
        <v>354</v>
      </c>
      <c r="D1981" s="253">
        <v>4296</v>
      </c>
      <c r="E1981" s="254" t="s">
        <v>71</v>
      </c>
      <c r="F1981" s="254">
        <v>5</v>
      </c>
      <c r="G1981" s="251" t="s">
        <v>72</v>
      </c>
      <c r="H1981" s="159" t="s">
        <v>73</v>
      </c>
      <c r="I1981" s="158">
        <f>I1982+I1983</f>
        <v>10464626.4</v>
      </c>
      <c r="J1981" s="158">
        <f>J1982+J1983</f>
        <v>2435.9</v>
      </c>
      <c r="K1981" s="158">
        <f>K1982+K1983</f>
        <v>3449</v>
      </c>
      <c r="L1981" s="7"/>
      <c r="M1981" s="7"/>
      <c r="N1981" s="7"/>
      <c r="O1981" s="7"/>
      <c r="P1981" s="7"/>
      <c r="Q1981" s="7"/>
      <c r="R1981" s="7"/>
      <c r="S1981" s="7"/>
      <c r="T1981" s="7"/>
      <c r="U1981" s="7"/>
      <c r="V1981" s="7"/>
      <c r="W1981" s="7"/>
    </row>
    <row r="1982" spans="1:23" ht="31" x14ac:dyDescent="0.35">
      <c r="A1982" s="251">
        <v>77</v>
      </c>
      <c r="B1982" s="251"/>
      <c r="C1982" s="252"/>
      <c r="D1982" s="253"/>
      <c r="E1982" s="254"/>
      <c r="F1982" s="254"/>
      <c r="G1982" s="251"/>
      <c r="H1982" s="159" t="s">
        <v>86</v>
      </c>
      <c r="I1982" s="158">
        <f>K1982*D1981*0.7</f>
        <v>10155314.4</v>
      </c>
      <c r="J1982" s="158">
        <f>I1982/D1981</f>
        <v>2363.9</v>
      </c>
      <c r="K1982" s="158">
        <v>3377</v>
      </c>
      <c r="L1982" s="7"/>
      <c r="M1982" s="7"/>
      <c r="N1982" s="7"/>
      <c r="O1982" s="7"/>
      <c r="P1982" s="7"/>
      <c r="Q1982" s="7"/>
      <c r="R1982" s="7"/>
      <c r="S1982" s="7"/>
      <c r="T1982" s="7"/>
      <c r="U1982" s="7"/>
      <c r="V1982" s="7"/>
      <c r="W1982" s="7"/>
    </row>
    <row r="1983" spans="1:23" x14ac:dyDescent="0.35">
      <c r="A1983" s="251">
        <v>78</v>
      </c>
      <c r="B1983" s="251"/>
      <c r="C1983" s="252"/>
      <c r="D1983" s="253"/>
      <c r="E1983" s="254"/>
      <c r="F1983" s="254"/>
      <c r="G1983" s="251"/>
      <c r="H1983" s="159" t="s">
        <v>76</v>
      </c>
      <c r="I1983" s="158">
        <f>K1983*D1981</f>
        <v>309312</v>
      </c>
      <c r="J1983" s="158">
        <f>I1983/D1981</f>
        <v>72</v>
      </c>
      <c r="K1983" s="158">
        <v>72</v>
      </c>
      <c r="L1983" s="7"/>
      <c r="M1983" s="7"/>
      <c r="N1983" s="7"/>
      <c r="O1983" s="7"/>
      <c r="P1983" s="7"/>
      <c r="Q1983" s="7"/>
      <c r="R1983" s="7"/>
      <c r="S1983" s="7"/>
      <c r="T1983" s="7"/>
      <c r="U1983" s="7"/>
      <c r="V1983" s="7"/>
      <c r="W1983" s="7"/>
    </row>
    <row r="1984" spans="1:23" ht="15.75" customHeight="1" x14ac:dyDescent="0.35">
      <c r="A1984" s="251">
        <f>A1981+1</f>
        <v>110</v>
      </c>
      <c r="B1984" s="251">
        <v>1362</v>
      </c>
      <c r="C1984" s="252" t="s">
        <v>755</v>
      </c>
      <c r="D1984" s="253">
        <v>16523.3</v>
      </c>
      <c r="E1984" s="254" t="s">
        <v>71</v>
      </c>
      <c r="F1984" s="254">
        <v>9</v>
      </c>
      <c r="G1984" s="251" t="s">
        <v>77</v>
      </c>
      <c r="H1984" s="159" t="s">
        <v>73</v>
      </c>
      <c r="I1984" s="158">
        <f>I1985</f>
        <v>892258.2</v>
      </c>
      <c r="J1984" s="158">
        <f>J1985</f>
        <v>54</v>
      </c>
      <c r="K1984" s="158">
        <f>K1985</f>
        <v>54</v>
      </c>
      <c r="L1984" s="7"/>
      <c r="M1984" s="7"/>
      <c r="N1984" s="7"/>
      <c r="O1984" s="7"/>
      <c r="P1984" s="7"/>
      <c r="Q1984" s="7"/>
      <c r="R1984" s="7"/>
      <c r="S1984" s="7"/>
      <c r="T1984" s="7"/>
      <c r="U1984" s="7"/>
      <c r="V1984" s="7"/>
      <c r="W1984" s="7"/>
    </row>
    <row r="1985" spans="1:23" ht="31" x14ac:dyDescent="0.35">
      <c r="A1985" s="251"/>
      <c r="B1985" s="251"/>
      <c r="C1985" s="252"/>
      <c r="D1985" s="253"/>
      <c r="E1985" s="254"/>
      <c r="F1985" s="254"/>
      <c r="G1985" s="251"/>
      <c r="H1985" s="159" t="s">
        <v>666</v>
      </c>
      <c r="I1985" s="158">
        <f>D1984*K1985</f>
        <v>892258.2</v>
      </c>
      <c r="J1985" s="158">
        <f>I1985/D1984</f>
        <v>54</v>
      </c>
      <c r="K1985" s="158">
        <f>50+4</f>
        <v>54</v>
      </c>
      <c r="L1985" s="7"/>
      <c r="M1985" s="7"/>
      <c r="N1985" s="7"/>
      <c r="O1985" s="7"/>
      <c r="P1985" s="7"/>
      <c r="Q1985" s="7"/>
      <c r="R1985" s="7"/>
      <c r="S1985" s="7"/>
      <c r="T1985" s="7"/>
      <c r="U1985" s="7"/>
      <c r="V1985" s="7"/>
      <c r="W1985" s="7"/>
    </row>
    <row r="1986" spans="1:23" ht="15.75" customHeight="1" x14ac:dyDescent="0.35">
      <c r="A1986" s="251">
        <f>A1984+1</f>
        <v>111</v>
      </c>
      <c r="B1986" s="251">
        <v>1301</v>
      </c>
      <c r="C1986" s="252" t="s">
        <v>114</v>
      </c>
      <c r="D1986" s="253">
        <v>3842.9</v>
      </c>
      <c r="E1986" s="254" t="s">
        <v>75</v>
      </c>
      <c r="F1986" s="254">
        <v>9</v>
      </c>
      <c r="G1986" s="251" t="s">
        <v>72</v>
      </c>
      <c r="H1986" s="159" t="s">
        <v>73</v>
      </c>
      <c r="I1986" s="158">
        <f>I1987</f>
        <v>630235.6</v>
      </c>
      <c r="J1986" s="158">
        <f>J1987</f>
        <v>164</v>
      </c>
      <c r="K1986" s="158">
        <f>K1987</f>
        <v>164</v>
      </c>
      <c r="L1986" s="7"/>
      <c r="M1986" s="7"/>
      <c r="N1986" s="7"/>
      <c r="O1986" s="7"/>
      <c r="P1986" s="7"/>
      <c r="Q1986" s="7"/>
      <c r="R1986" s="7"/>
      <c r="S1986" s="7"/>
      <c r="T1986" s="7"/>
      <c r="U1986" s="7"/>
      <c r="V1986" s="7"/>
      <c r="W1986" s="7"/>
    </row>
    <row r="1987" spans="1:23" ht="46.5" x14ac:dyDescent="0.35">
      <c r="A1987" s="251"/>
      <c r="B1987" s="251"/>
      <c r="C1987" s="252"/>
      <c r="D1987" s="253"/>
      <c r="E1987" s="254"/>
      <c r="F1987" s="254"/>
      <c r="G1987" s="251"/>
      <c r="H1987" s="159" t="s">
        <v>705</v>
      </c>
      <c r="I1987" s="158">
        <f>D1986*K1987</f>
        <v>630235.6</v>
      </c>
      <c r="J1987" s="158">
        <f>I1987/D1986</f>
        <v>164</v>
      </c>
      <c r="K1987" s="158">
        <f>151+13</f>
        <v>164</v>
      </c>
      <c r="L1987" s="7"/>
      <c r="M1987" s="7"/>
      <c r="N1987" s="7"/>
      <c r="O1987" s="7"/>
      <c r="P1987" s="7"/>
      <c r="Q1987" s="7"/>
      <c r="R1987" s="7"/>
      <c r="S1987" s="7"/>
      <c r="T1987" s="7"/>
      <c r="U1987" s="7"/>
      <c r="V1987" s="7"/>
      <c r="W1987" s="7"/>
    </row>
    <row r="1988" spans="1:23" ht="15.75" customHeight="1" x14ac:dyDescent="0.35">
      <c r="A1988" s="251">
        <f>A1986+1</f>
        <v>112</v>
      </c>
      <c r="B1988" s="251">
        <v>1307</v>
      </c>
      <c r="C1988" s="252" t="s">
        <v>572</v>
      </c>
      <c r="D1988" s="253">
        <v>1438.9</v>
      </c>
      <c r="E1988" s="254" t="s">
        <v>75</v>
      </c>
      <c r="F1988" s="254">
        <v>5</v>
      </c>
      <c r="G1988" s="251" t="s">
        <v>72</v>
      </c>
      <c r="H1988" s="159" t="s">
        <v>73</v>
      </c>
      <c r="I1988" s="158">
        <f>I1989</f>
        <v>235979.6</v>
      </c>
      <c r="J1988" s="158">
        <f>J1989</f>
        <v>164</v>
      </c>
      <c r="K1988" s="158">
        <f>K1989</f>
        <v>164</v>
      </c>
      <c r="L1988" s="7"/>
      <c r="M1988" s="7"/>
      <c r="N1988" s="7"/>
      <c r="O1988" s="7"/>
      <c r="P1988" s="7"/>
      <c r="Q1988" s="7"/>
      <c r="R1988" s="7"/>
      <c r="S1988" s="7"/>
      <c r="T1988" s="7"/>
      <c r="U1988" s="7"/>
      <c r="V1988" s="7"/>
      <c r="W1988" s="7"/>
    </row>
    <row r="1989" spans="1:23" ht="46.5" x14ac:dyDescent="0.35">
      <c r="A1989" s="251"/>
      <c r="B1989" s="251"/>
      <c r="C1989" s="252"/>
      <c r="D1989" s="253"/>
      <c r="E1989" s="254"/>
      <c r="F1989" s="254"/>
      <c r="G1989" s="251"/>
      <c r="H1989" s="159" t="s">
        <v>705</v>
      </c>
      <c r="I1989" s="158">
        <f>D1988*K1989</f>
        <v>235979.6</v>
      </c>
      <c r="J1989" s="158">
        <f>I1989/D1988</f>
        <v>164</v>
      </c>
      <c r="K1989" s="158">
        <f>151+13</f>
        <v>164</v>
      </c>
      <c r="L1989" s="7"/>
      <c r="M1989" s="7"/>
      <c r="N1989" s="7"/>
      <c r="O1989" s="7"/>
      <c r="P1989" s="7"/>
      <c r="Q1989" s="7"/>
      <c r="R1989" s="7"/>
      <c r="S1989" s="7"/>
      <c r="T1989" s="7"/>
      <c r="U1989" s="7"/>
      <c r="V1989" s="7"/>
      <c r="W1989" s="7"/>
    </row>
    <row r="1990" spans="1:23" ht="15.75" customHeight="1" x14ac:dyDescent="0.35">
      <c r="A1990" s="251">
        <f>A1988+1</f>
        <v>113</v>
      </c>
      <c r="B1990" s="251">
        <v>1322</v>
      </c>
      <c r="C1990" s="252" t="s">
        <v>573</v>
      </c>
      <c r="D1990" s="253">
        <v>2419.6999999999998</v>
      </c>
      <c r="E1990" s="254" t="s">
        <v>75</v>
      </c>
      <c r="F1990" s="254">
        <v>5</v>
      </c>
      <c r="G1990" s="251" t="s">
        <v>72</v>
      </c>
      <c r="H1990" s="159" t="s">
        <v>73</v>
      </c>
      <c r="I1990" s="158">
        <f>I1991</f>
        <v>396830.8</v>
      </c>
      <c r="J1990" s="158">
        <f>J1991</f>
        <v>164</v>
      </c>
      <c r="K1990" s="158">
        <f>K1991</f>
        <v>164</v>
      </c>
      <c r="L1990" s="7"/>
      <c r="M1990" s="7"/>
      <c r="N1990" s="7"/>
      <c r="O1990" s="7"/>
      <c r="P1990" s="7"/>
      <c r="Q1990" s="7"/>
      <c r="R1990" s="7"/>
      <c r="S1990" s="7"/>
      <c r="T1990" s="7"/>
      <c r="U1990" s="7"/>
      <c r="V1990" s="7"/>
      <c r="W1990" s="7"/>
    </row>
    <row r="1991" spans="1:23" ht="46.5" x14ac:dyDescent="0.35">
      <c r="A1991" s="251"/>
      <c r="B1991" s="251"/>
      <c r="C1991" s="252"/>
      <c r="D1991" s="253"/>
      <c r="E1991" s="254"/>
      <c r="F1991" s="254"/>
      <c r="G1991" s="251"/>
      <c r="H1991" s="159" t="s">
        <v>705</v>
      </c>
      <c r="I1991" s="158">
        <f>D1990*K1991</f>
        <v>396830.8</v>
      </c>
      <c r="J1991" s="158">
        <f>I1991/D1990</f>
        <v>164</v>
      </c>
      <c r="K1991" s="158">
        <f>151+13</f>
        <v>164</v>
      </c>
      <c r="L1991" s="7"/>
      <c r="M1991" s="7"/>
      <c r="N1991" s="7"/>
      <c r="O1991" s="7"/>
      <c r="P1991" s="7"/>
      <c r="Q1991" s="7"/>
      <c r="R1991" s="7"/>
      <c r="S1991" s="7"/>
      <c r="T1991" s="7"/>
      <c r="U1991" s="7"/>
      <c r="V1991" s="7"/>
      <c r="W1991" s="7"/>
    </row>
    <row r="1992" spans="1:23" ht="15.75" customHeight="1" x14ac:dyDescent="0.35">
      <c r="A1992" s="251">
        <f>A1990+1</f>
        <v>114</v>
      </c>
      <c r="B1992" s="251">
        <v>1323</v>
      </c>
      <c r="C1992" s="252" t="s">
        <v>574</v>
      </c>
      <c r="D1992" s="253">
        <v>2542.4</v>
      </c>
      <c r="E1992" s="254" t="s">
        <v>75</v>
      </c>
      <c r="F1992" s="254">
        <v>5</v>
      </c>
      <c r="G1992" s="251" t="s">
        <v>72</v>
      </c>
      <c r="H1992" s="159" t="s">
        <v>73</v>
      </c>
      <c r="I1992" s="158">
        <f>I1993</f>
        <v>416953.59999999998</v>
      </c>
      <c r="J1992" s="158">
        <f>J1993</f>
        <v>164</v>
      </c>
      <c r="K1992" s="158">
        <f>K1993</f>
        <v>164</v>
      </c>
      <c r="L1992" s="7"/>
      <c r="M1992" s="7"/>
      <c r="N1992" s="7"/>
      <c r="O1992" s="7"/>
      <c r="P1992" s="7"/>
      <c r="Q1992" s="7"/>
      <c r="R1992" s="7"/>
      <c r="S1992" s="7"/>
      <c r="T1992" s="7"/>
      <c r="U1992" s="7"/>
      <c r="V1992" s="7"/>
      <c r="W1992" s="7"/>
    </row>
    <row r="1993" spans="1:23" ht="46.5" x14ac:dyDescent="0.35">
      <c r="A1993" s="251"/>
      <c r="B1993" s="251"/>
      <c r="C1993" s="252"/>
      <c r="D1993" s="253"/>
      <c r="E1993" s="254"/>
      <c r="F1993" s="254"/>
      <c r="G1993" s="251"/>
      <c r="H1993" s="159" t="s">
        <v>705</v>
      </c>
      <c r="I1993" s="158">
        <f>D1992*K1993</f>
        <v>416953.59999999998</v>
      </c>
      <c r="J1993" s="158">
        <f>I1993/D1992</f>
        <v>164</v>
      </c>
      <c r="K1993" s="158">
        <f>151+13</f>
        <v>164</v>
      </c>
      <c r="L1993" s="7"/>
      <c r="M1993" s="7"/>
      <c r="N1993" s="7"/>
      <c r="O1993" s="7"/>
      <c r="P1993" s="7"/>
      <c r="Q1993" s="7"/>
      <c r="R1993" s="7"/>
      <c r="S1993" s="7"/>
      <c r="T1993" s="7"/>
      <c r="U1993" s="7"/>
      <c r="V1993" s="7"/>
      <c r="W1993" s="7"/>
    </row>
    <row r="1994" spans="1:23" ht="15.75" customHeight="1" x14ac:dyDescent="0.35">
      <c r="A1994" s="251">
        <f>A1992+1</f>
        <v>115</v>
      </c>
      <c r="B1994" s="251">
        <v>1628</v>
      </c>
      <c r="C1994" s="252" t="s">
        <v>358</v>
      </c>
      <c r="D1994" s="253">
        <v>6113.76</v>
      </c>
      <c r="E1994" s="254" t="s">
        <v>75</v>
      </c>
      <c r="F1994" s="254">
        <v>5</v>
      </c>
      <c r="G1994" s="251" t="s">
        <v>72</v>
      </c>
      <c r="H1994" s="159" t="s">
        <v>73</v>
      </c>
      <c r="I1994" s="158">
        <f>I1995</f>
        <v>1002656.64</v>
      </c>
      <c r="J1994" s="158">
        <f>J1995</f>
        <v>164</v>
      </c>
      <c r="K1994" s="158">
        <f>K1995</f>
        <v>164</v>
      </c>
      <c r="L1994" s="7"/>
      <c r="M1994" s="7"/>
      <c r="N1994" s="7"/>
      <c r="O1994" s="7"/>
      <c r="P1994" s="7"/>
      <c r="Q1994" s="7"/>
      <c r="R1994" s="7"/>
      <c r="S1994" s="7"/>
      <c r="T1994" s="7"/>
      <c r="U1994" s="7"/>
      <c r="V1994" s="7"/>
      <c r="W1994" s="7"/>
    </row>
    <row r="1995" spans="1:23" ht="46.5" x14ac:dyDescent="0.35">
      <c r="A1995" s="251"/>
      <c r="B1995" s="251"/>
      <c r="C1995" s="252"/>
      <c r="D1995" s="253"/>
      <c r="E1995" s="254"/>
      <c r="F1995" s="254"/>
      <c r="G1995" s="251"/>
      <c r="H1995" s="159" t="s">
        <v>705</v>
      </c>
      <c r="I1995" s="158">
        <f>D1994*K1995</f>
        <v>1002656.64</v>
      </c>
      <c r="J1995" s="158">
        <f>I1995/D1994</f>
        <v>164</v>
      </c>
      <c r="K1995" s="158">
        <f>151+13</f>
        <v>164</v>
      </c>
      <c r="L1995" s="7"/>
      <c r="M1995" s="7"/>
      <c r="N1995" s="7"/>
      <c r="O1995" s="7"/>
      <c r="P1995" s="7"/>
      <c r="Q1995" s="7"/>
      <c r="R1995" s="7"/>
      <c r="S1995" s="7"/>
      <c r="T1995" s="7"/>
      <c r="U1995" s="7"/>
      <c r="V1995" s="7"/>
      <c r="W1995" s="7"/>
    </row>
    <row r="1996" spans="1:23" x14ac:dyDescent="0.35">
      <c r="A1996" s="251">
        <f>A1994+1</f>
        <v>116</v>
      </c>
      <c r="B1996" s="251">
        <v>1630</v>
      </c>
      <c r="C1996" s="252" t="s">
        <v>359</v>
      </c>
      <c r="D1996" s="274">
        <v>2043</v>
      </c>
      <c r="E1996" s="275" t="s">
        <v>75</v>
      </c>
      <c r="F1996" s="275">
        <v>5</v>
      </c>
      <c r="G1996" s="251" t="s">
        <v>72</v>
      </c>
      <c r="H1996" s="159" t="s">
        <v>73</v>
      </c>
      <c r="I1996" s="158">
        <f>I1997+I1998</f>
        <v>5783733</v>
      </c>
      <c r="J1996" s="158">
        <f>J1997+J1998</f>
        <v>2831</v>
      </c>
      <c r="K1996" s="158">
        <f>K1997+K1998</f>
        <v>2831</v>
      </c>
      <c r="L1996" s="7"/>
      <c r="M1996" s="7"/>
      <c r="N1996" s="7"/>
      <c r="O1996" s="7"/>
      <c r="P1996" s="7"/>
      <c r="Q1996" s="7"/>
      <c r="R1996" s="7"/>
      <c r="S1996" s="7"/>
      <c r="T1996" s="7"/>
      <c r="U1996" s="7"/>
      <c r="V1996" s="7"/>
      <c r="W1996" s="7"/>
    </row>
    <row r="1997" spans="1:23" x14ac:dyDescent="0.35">
      <c r="A1997" s="251">
        <v>77</v>
      </c>
      <c r="B1997" s="251"/>
      <c r="C1997" s="252"/>
      <c r="D1997" s="274"/>
      <c r="E1997" s="275"/>
      <c r="F1997" s="275"/>
      <c r="G1997" s="251"/>
      <c r="H1997" s="159" t="s">
        <v>74</v>
      </c>
      <c r="I1997" s="158">
        <f>K1997*D1996</f>
        <v>5663196</v>
      </c>
      <c r="J1997" s="158">
        <f>I1997/D1996</f>
        <v>2772</v>
      </c>
      <c r="K1997" s="158">
        <v>2772</v>
      </c>
      <c r="L1997" s="7"/>
      <c r="M1997" s="7"/>
      <c r="N1997" s="7"/>
      <c r="O1997" s="7"/>
      <c r="P1997" s="7"/>
      <c r="Q1997" s="7"/>
      <c r="R1997" s="7"/>
      <c r="S1997" s="7"/>
      <c r="T1997" s="7"/>
      <c r="U1997" s="7"/>
      <c r="V1997" s="7"/>
      <c r="W1997" s="7"/>
    </row>
    <row r="1998" spans="1:23" x14ac:dyDescent="0.35">
      <c r="A1998" s="251">
        <v>78</v>
      </c>
      <c r="B1998" s="251"/>
      <c r="C1998" s="252"/>
      <c r="D1998" s="274"/>
      <c r="E1998" s="275"/>
      <c r="F1998" s="275"/>
      <c r="G1998" s="251"/>
      <c r="H1998" s="159" t="s">
        <v>76</v>
      </c>
      <c r="I1998" s="158">
        <f>K1998*D1996</f>
        <v>120537</v>
      </c>
      <c r="J1998" s="158">
        <f>I1998/D1996</f>
        <v>59</v>
      </c>
      <c r="K1998" s="158">
        <v>59</v>
      </c>
      <c r="L1998" s="7"/>
      <c r="M1998" s="7"/>
      <c r="N1998" s="7"/>
      <c r="O1998" s="7"/>
      <c r="P1998" s="7"/>
      <c r="Q1998" s="7"/>
      <c r="R1998" s="7"/>
      <c r="S1998" s="7"/>
      <c r="T1998" s="7"/>
      <c r="U1998" s="7"/>
      <c r="V1998" s="7"/>
      <c r="W1998" s="7"/>
    </row>
    <row r="1999" spans="1:23" ht="15.75" customHeight="1" x14ac:dyDescent="0.35">
      <c r="A1999" s="251">
        <f>A1996+1</f>
        <v>117</v>
      </c>
      <c r="B1999" s="251">
        <v>1582</v>
      </c>
      <c r="C1999" s="252" t="s">
        <v>575</v>
      </c>
      <c r="D1999" s="253">
        <v>4108.3999999999996</v>
      </c>
      <c r="E1999" s="254" t="s">
        <v>75</v>
      </c>
      <c r="F1999" s="254">
        <v>5</v>
      </c>
      <c r="G1999" s="251" t="s">
        <v>72</v>
      </c>
      <c r="H1999" s="159" t="s">
        <v>73</v>
      </c>
      <c r="I1999" s="158">
        <f>I2000</f>
        <v>673777.6</v>
      </c>
      <c r="J1999" s="158">
        <f>J2000</f>
        <v>164</v>
      </c>
      <c r="K1999" s="158">
        <f>K2000</f>
        <v>164</v>
      </c>
      <c r="L1999" s="7"/>
      <c r="M1999" s="7"/>
      <c r="N1999" s="7"/>
      <c r="O1999" s="7"/>
      <c r="P1999" s="7"/>
      <c r="Q1999" s="7"/>
      <c r="R1999" s="7"/>
      <c r="S1999" s="7"/>
      <c r="T1999" s="7"/>
      <c r="U1999" s="7"/>
      <c r="V1999" s="7"/>
      <c r="W1999" s="7"/>
    </row>
    <row r="2000" spans="1:23" ht="46.5" x14ac:dyDescent="0.35">
      <c r="A2000" s="251"/>
      <c r="B2000" s="251"/>
      <c r="C2000" s="252"/>
      <c r="D2000" s="253"/>
      <c r="E2000" s="254"/>
      <c r="F2000" s="254"/>
      <c r="G2000" s="251"/>
      <c r="H2000" s="159" t="s">
        <v>705</v>
      </c>
      <c r="I2000" s="158">
        <f>D1999*K2000</f>
        <v>673777.6</v>
      </c>
      <c r="J2000" s="158">
        <f>I2000/D1999</f>
        <v>164</v>
      </c>
      <c r="K2000" s="158">
        <f>151+13</f>
        <v>164</v>
      </c>
      <c r="L2000" s="7"/>
      <c r="M2000" s="7"/>
      <c r="N2000" s="7"/>
      <c r="O2000" s="7"/>
      <c r="P2000" s="7"/>
      <c r="Q2000" s="7"/>
      <c r="R2000" s="7"/>
      <c r="S2000" s="7"/>
      <c r="T2000" s="7"/>
      <c r="U2000" s="7"/>
      <c r="V2000" s="7"/>
      <c r="W2000" s="7"/>
    </row>
    <row r="2001" spans="1:23" ht="15.75" customHeight="1" x14ac:dyDescent="0.35">
      <c r="A2001" s="256">
        <f>A1999+1</f>
        <v>118</v>
      </c>
      <c r="B2001" s="256">
        <v>1028</v>
      </c>
      <c r="C2001" s="259" t="s">
        <v>115</v>
      </c>
      <c r="D2001" s="262">
        <v>863.9</v>
      </c>
      <c r="E2001" s="268" t="s">
        <v>75</v>
      </c>
      <c r="F2001" s="268">
        <v>3</v>
      </c>
      <c r="G2001" s="144"/>
      <c r="H2001" s="159" t="s">
        <v>73</v>
      </c>
      <c r="I2001" s="158">
        <f>I2002+I2003</f>
        <v>35419.9</v>
      </c>
      <c r="J2001" s="158">
        <f>J2002+J2003</f>
        <v>41</v>
      </c>
      <c r="K2001" s="158">
        <f>K2002+K2003</f>
        <v>41</v>
      </c>
      <c r="L2001" s="7"/>
      <c r="M2001" s="7"/>
      <c r="N2001" s="7"/>
      <c r="O2001" s="7"/>
      <c r="P2001" s="7"/>
      <c r="Q2001" s="7"/>
      <c r="R2001" s="7"/>
      <c r="S2001" s="7"/>
      <c r="T2001" s="7"/>
      <c r="U2001" s="7"/>
      <c r="V2001" s="7"/>
      <c r="W2001" s="7"/>
    </row>
    <row r="2002" spans="1:23" ht="46.5" x14ac:dyDescent="0.35">
      <c r="A2002" s="257"/>
      <c r="B2002" s="257"/>
      <c r="C2002" s="260"/>
      <c r="D2002" s="263"/>
      <c r="E2002" s="269"/>
      <c r="F2002" s="269"/>
      <c r="G2002" s="120" t="s">
        <v>78</v>
      </c>
      <c r="H2002" s="159" t="s">
        <v>666</v>
      </c>
      <c r="I2002" s="158">
        <f>D2001*K2002</f>
        <v>18141.900000000001</v>
      </c>
      <c r="J2002" s="158">
        <f>I2002/D2001</f>
        <v>21</v>
      </c>
      <c r="K2002" s="158">
        <f>19+2</f>
        <v>21</v>
      </c>
      <c r="L2002" s="7"/>
      <c r="M2002" s="7"/>
      <c r="N2002" s="7"/>
      <c r="O2002" s="7"/>
      <c r="P2002" s="7"/>
      <c r="Q2002" s="7"/>
      <c r="R2002" s="7"/>
      <c r="S2002" s="7"/>
      <c r="T2002" s="7"/>
      <c r="U2002" s="7"/>
      <c r="V2002" s="7"/>
      <c r="W2002" s="7"/>
    </row>
    <row r="2003" spans="1:23" ht="31" x14ac:dyDescent="0.35">
      <c r="A2003" s="257"/>
      <c r="B2003" s="257"/>
      <c r="C2003" s="260"/>
      <c r="D2003" s="263"/>
      <c r="E2003" s="269"/>
      <c r="F2003" s="269"/>
      <c r="G2003" s="120" t="s">
        <v>90</v>
      </c>
      <c r="H2003" s="159" t="s">
        <v>666</v>
      </c>
      <c r="I2003" s="158">
        <f>D2001*K2003</f>
        <v>17278</v>
      </c>
      <c r="J2003" s="158">
        <f>I2003/D2001</f>
        <v>20</v>
      </c>
      <c r="K2003" s="158">
        <f>18+2</f>
        <v>20</v>
      </c>
      <c r="L2003" s="7"/>
      <c r="M2003" s="7"/>
      <c r="N2003" s="7"/>
      <c r="O2003" s="7"/>
      <c r="P2003" s="7"/>
      <c r="Q2003" s="7"/>
      <c r="R2003" s="7"/>
      <c r="S2003" s="7"/>
      <c r="T2003" s="7"/>
      <c r="U2003" s="7"/>
      <c r="V2003" s="7"/>
      <c r="W2003" s="7"/>
    </row>
    <row r="2004" spans="1:23" ht="15.75" customHeight="1" x14ac:dyDescent="0.35">
      <c r="A2004" s="251">
        <f>A2001+1</f>
        <v>119</v>
      </c>
      <c r="B2004" s="251">
        <v>1473</v>
      </c>
      <c r="C2004" s="252" t="s">
        <v>756</v>
      </c>
      <c r="D2004" s="253">
        <v>16898</v>
      </c>
      <c r="E2004" s="254" t="s">
        <v>75</v>
      </c>
      <c r="F2004" s="254">
        <v>10</v>
      </c>
      <c r="G2004" s="251" t="s">
        <v>72</v>
      </c>
      <c r="H2004" s="159" t="s">
        <v>73</v>
      </c>
      <c r="I2004" s="158">
        <f>I2005</f>
        <v>2771272</v>
      </c>
      <c r="J2004" s="158">
        <f>J2005</f>
        <v>164</v>
      </c>
      <c r="K2004" s="158">
        <f>K2005</f>
        <v>164</v>
      </c>
      <c r="L2004" s="7"/>
      <c r="M2004" s="7"/>
      <c r="N2004" s="7"/>
      <c r="O2004" s="7"/>
      <c r="P2004" s="7"/>
      <c r="Q2004" s="7"/>
      <c r="R2004" s="7"/>
      <c r="S2004" s="7"/>
      <c r="T2004" s="7"/>
      <c r="U2004" s="7"/>
      <c r="V2004" s="7"/>
      <c r="W2004" s="7"/>
    </row>
    <row r="2005" spans="1:23" ht="46.5" x14ac:dyDescent="0.35">
      <c r="A2005" s="251"/>
      <c r="B2005" s="251"/>
      <c r="C2005" s="252"/>
      <c r="D2005" s="253"/>
      <c r="E2005" s="254"/>
      <c r="F2005" s="254"/>
      <c r="G2005" s="251"/>
      <c r="H2005" s="159" t="s">
        <v>705</v>
      </c>
      <c r="I2005" s="158">
        <f>D2004*K2005</f>
        <v>2771272</v>
      </c>
      <c r="J2005" s="158">
        <f>I2005/D2004</f>
        <v>164</v>
      </c>
      <c r="K2005" s="158">
        <f>151+13</f>
        <v>164</v>
      </c>
      <c r="L2005" s="7"/>
      <c r="M2005" s="7"/>
      <c r="N2005" s="7"/>
      <c r="O2005" s="7"/>
      <c r="P2005" s="7"/>
      <c r="Q2005" s="7"/>
      <c r="R2005" s="7"/>
      <c r="S2005" s="7"/>
      <c r="T2005" s="7"/>
      <c r="U2005" s="7"/>
      <c r="V2005" s="7"/>
      <c r="W2005" s="7"/>
    </row>
    <row r="2006" spans="1:23" ht="15.75" customHeight="1" x14ac:dyDescent="0.35">
      <c r="A2006" s="251">
        <f>A2004+1</f>
        <v>120</v>
      </c>
      <c r="B2006" s="251">
        <v>1475</v>
      </c>
      <c r="C2006" s="252" t="s">
        <v>757</v>
      </c>
      <c r="D2006" s="253">
        <v>3125</v>
      </c>
      <c r="E2006" s="254" t="s">
        <v>75</v>
      </c>
      <c r="F2006" s="254">
        <v>5</v>
      </c>
      <c r="G2006" s="251" t="s">
        <v>72</v>
      </c>
      <c r="H2006" s="159" t="s">
        <v>73</v>
      </c>
      <c r="I2006" s="158">
        <f>I2007</f>
        <v>512500</v>
      </c>
      <c r="J2006" s="158">
        <f>J2007</f>
        <v>164</v>
      </c>
      <c r="K2006" s="158">
        <f>K2007</f>
        <v>164</v>
      </c>
      <c r="L2006" s="7"/>
      <c r="M2006" s="7"/>
      <c r="N2006" s="7"/>
      <c r="O2006" s="7"/>
      <c r="P2006" s="7"/>
      <c r="Q2006" s="7"/>
      <c r="R2006" s="7"/>
      <c r="S2006" s="7"/>
      <c r="T2006" s="7"/>
      <c r="U2006" s="7"/>
      <c r="V2006" s="7"/>
      <c r="W2006" s="7"/>
    </row>
    <row r="2007" spans="1:23" ht="46.5" x14ac:dyDescent="0.35">
      <c r="A2007" s="251"/>
      <c r="B2007" s="251"/>
      <c r="C2007" s="252"/>
      <c r="D2007" s="253"/>
      <c r="E2007" s="254"/>
      <c r="F2007" s="254"/>
      <c r="G2007" s="251"/>
      <c r="H2007" s="159" t="s">
        <v>705</v>
      </c>
      <c r="I2007" s="158">
        <f>D2006*K2007</f>
        <v>512500</v>
      </c>
      <c r="J2007" s="158">
        <f>I2007/D2006</f>
        <v>164</v>
      </c>
      <c r="K2007" s="158">
        <f>151+13</f>
        <v>164</v>
      </c>
      <c r="L2007" s="7"/>
      <c r="M2007" s="7"/>
      <c r="N2007" s="7"/>
      <c r="O2007" s="7"/>
      <c r="P2007" s="7"/>
      <c r="Q2007" s="7"/>
      <c r="R2007" s="7"/>
      <c r="S2007" s="7"/>
      <c r="T2007" s="7"/>
      <c r="U2007" s="7"/>
      <c r="V2007" s="7"/>
      <c r="W2007" s="7"/>
    </row>
    <row r="2008" spans="1:23" ht="15.75" customHeight="1" x14ac:dyDescent="0.35">
      <c r="A2008" s="251">
        <f>A2006+1</f>
        <v>121</v>
      </c>
      <c r="B2008" s="251">
        <v>1484</v>
      </c>
      <c r="C2008" s="252" t="s">
        <v>577</v>
      </c>
      <c r="D2008" s="253">
        <v>4340.5</v>
      </c>
      <c r="E2008" s="254" t="s">
        <v>71</v>
      </c>
      <c r="F2008" s="254">
        <v>5</v>
      </c>
      <c r="G2008" s="251" t="s">
        <v>72</v>
      </c>
      <c r="H2008" s="159" t="s">
        <v>73</v>
      </c>
      <c r="I2008" s="158">
        <f>I2009</f>
        <v>711842</v>
      </c>
      <c r="J2008" s="158">
        <f>J2009</f>
        <v>164</v>
      </c>
      <c r="K2008" s="158">
        <f>K2009</f>
        <v>164</v>
      </c>
      <c r="L2008" s="7"/>
      <c r="M2008" s="7"/>
      <c r="N2008" s="7"/>
      <c r="O2008" s="7"/>
      <c r="P2008" s="7"/>
      <c r="Q2008" s="7"/>
      <c r="R2008" s="7"/>
      <c r="S2008" s="7"/>
      <c r="T2008" s="7"/>
      <c r="U2008" s="7"/>
      <c r="V2008" s="7"/>
      <c r="W2008" s="7"/>
    </row>
    <row r="2009" spans="1:23" ht="46.5" x14ac:dyDescent="0.35">
      <c r="A2009" s="251"/>
      <c r="B2009" s="251"/>
      <c r="C2009" s="252"/>
      <c r="D2009" s="253"/>
      <c r="E2009" s="254"/>
      <c r="F2009" s="254"/>
      <c r="G2009" s="251"/>
      <c r="H2009" s="159" t="s">
        <v>705</v>
      </c>
      <c r="I2009" s="158">
        <f>D2008*K2009</f>
        <v>711842</v>
      </c>
      <c r="J2009" s="158">
        <f>I2009/D2008</f>
        <v>164</v>
      </c>
      <c r="K2009" s="158">
        <f>151+13</f>
        <v>164</v>
      </c>
      <c r="L2009" s="7"/>
      <c r="M2009" s="7"/>
      <c r="N2009" s="7"/>
      <c r="O2009" s="7"/>
      <c r="P2009" s="7"/>
      <c r="Q2009" s="7"/>
      <c r="R2009" s="7"/>
      <c r="S2009" s="7"/>
      <c r="T2009" s="7"/>
      <c r="U2009" s="7"/>
      <c r="V2009" s="7"/>
      <c r="W2009" s="7"/>
    </row>
    <row r="2010" spans="1:23" ht="15.75" customHeight="1" x14ac:dyDescent="0.35">
      <c r="A2010" s="251">
        <f>A2008+1</f>
        <v>122</v>
      </c>
      <c r="B2010" s="251">
        <v>1079</v>
      </c>
      <c r="C2010" s="252" t="s">
        <v>116</v>
      </c>
      <c r="D2010" s="253">
        <v>278.60000000000002</v>
      </c>
      <c r="E2010" s="254" t="s">
        <v>75</v>
      </c>
      <c r="F2010" s="254">
        <v>2</v>
      </c>
      <c r="G2010" s="251" t="s">
        <v>72</v>
      </c>
      <c r="H2010" s="159" t="s">
        <v>73</v>
      </c>
      <c r="I2010" s="158">
        <f>I2011</f>
        <v>45690.400000000001</v>
      </c>
      <c r="J2010" s="158">
        <f>J2011</f>
        <v>164</v>
      </c>
      <c r="K2010" s="158">
        <f>K2011</f>
        <v>164</v>
      </c>
      <c r="L2010" s="7"/>
      <c r="M2010" s="7"/>
      <c r="N2010" s="7"/>
      <c r="O2010" s="7"/>
      <c r="P2010" s="7"/>
      <c r="Q2010" s="7"/>
      <c r="R2010" s="7"/>
      <c r="S2010" s="7"/>
      <c r="T2010" s="7"/>
      <c r="U2010" s="7"/>
      <c r="V2010" s="7"/>
      <c r="W2010" s="7"/>
    </row>
    <row r="2011" spans="1:23" ht="46.5" x14ac:dyDescent="0.35">
      <c r="A2011" s="251"/>
      <c r="B2011" s="251"/>
      <c r="C2011" s="252"/>
      <c r="D2011" s="253"/>
      <c r="E2011" s="254"/>
      <c r="F2011" s="254"/>
      <c r="G2011" s="251"/>
      <c r="H2011" s="159" t="s">
        <v>705</v>
      </c>
      <c r="I2011" s="158">
        <f>D2010*K2011</f>
        <v>45690.400000000001</v>
      </c>
      <c r="J2011" s="158">
        <f>I2011/D2010</f>
        <v>164</v>
      </c>
      <c r="K2011" s="158">
        <f>151+13</f>
        <v>164</v>
      </c>
      <c r="L2011" s="7"/>
      <c r="M2011" s="7"/>
      <c r="N2011" s="7"/>
      <c r="O2011" s="7"/>
      <c r="P2011" s="7"/>
      <c r="Q2011" s="7"/>
      <c r="R2011" s="7"/>
      <c r="S2011" s="7"/>
      <c r="T2011" s="7"/>
      <c r="U2011" s="7"/>
      <c r="V2011" s="7"/>
      <c r="W2011" s="7"/>
    </row>
    <row r="2012" spans="1:23" ht="15.75" customHeight="1" x14ac:dyDescent="0.35">
      <c r="A2012" s="251">
        <f>A2010+1</f>
        <v>123</v>
      </c>
      <c r="B2012" s="251">
        <v>4241</v>
      </c>
      <c r="C2012" s="252" t="s">
        <v>578</v>
      </c>
      <c r="D2012" s="253">
        <v>4547.7</v>
      </c>
      <c r="E2012" s="254" t="s">
        <v>71</v>
      </c>
      <c r="F2012" s="268">
        <v>10</v>
      </c>
      <c r="G2012" s="123"/>
      <c r="H2012" s="159" t="s">
        <v>73</v>
      </c>
      <c r="I2012" s="158">
        <f>SUM(I2013:I2018)</f>
        <v>3539944</v>
      </c>
      <c r="J2012" s="158">
        <f>SUM(J2013:J2018)</f>
        <v>778.4</v>
      </c>
      <c r="K2012" s="158">
        <f>SUM(K2013:K2018)</f>
        <v>778.4</v>
      </c>
      <c r="L2012" s="7"/>
      <c r="M2012" s="7"/>
      <c r="N2012" s="7"/>
      <c r="O2012" s="7"/>
      <c r="P2012" s="7"/>
      <c r="Q2012" s="7"/>
      <c r="R2012" s="7"/>
      <c r="S2012" s="7"/>
      <c r="T2012" s="7"/>
      <c r="U2012" s="7"/>
      <c r="V2012" s="7"/>
      <c r="W2012" s="7"/>
    </row>
    <row r="2013" spans="1:23" ht="31" x14ac:dyDescent="0.35">
      <c r="A2013" s="251"/>
      <c r="B2013" s="251"/>
      <c r="C2013" s="252"/>
      <c r="D2013" s="253"/>
      <c r="E2013" s="254"/>
      <c r="F2013" s="269"/>
      <c r="G2013" s="256" t="s">
        <v>673</v>
      </c>
      <c r="H2013" s="159" t="s">
        <v>666</v>
      </c>
      <c r="I2013" s="158">
        <v>24580</v>
      </c>
      <c r="J2013" s="158">
        <f>I2013/D2012</f>
        <v>5.4</v>
      </c>
      <c r="K2013" s="158">
        <f>24580/D2012</f>
        <v>5.4</v>
      </c>
      <c r="L2013" s="7"/>
      <c r="M2013" s="7"/>
      <c r="N2013" s="7"/>
      <c r="O2013" s="7"/>
      <c r="P2013" s="7"/>
      <c r="Q2013" s="7"/>
      <c r="R2013" s="7"/>
      <c r="S2013" s="7"/>
      <c r="T2013" s="7"/>
      <c r="U2013" s="7"/>
      <c r="V2013" s="7"/>
      <c r="W2013" s="7"/>
    </row>
    <row r="2014" spans="1:23" x14ac:dyDescent="0.35">
      <c r="A2014" s="251">
        <v>756</v>
      </c>
      <c r="B2014" s="251"/>
      <c r="C2014" s="252"/>
      <c r="D2014" s="253"/>
      <c r="E2014" s="254"/>
      <c r="F2014" s="269"/>
      <c r="G2014" s="257"/>
      <c r="H2014" s="159" t="s">
        <v>674</v>
      </c>
      <c r="I2014" s="158">
        <v>1708823</v>
      </c>
      <c r="J2014" s="158">
        <f>I2014/D2012</f>
        <v>375.76</v>
      </c>
      <c r="K2014" s="158">
        <f>1708823/D2012</f>
        <v>375.76</v>
      </c>
      <c r="L2014" s="7"/>
      <c r="M2014" s="7"/>
      <c r="N2014" s="7"/>
      <c r="O2014" s="7"/>
      <c r="P2014" s="7"/>
      <c r="Q2014" s="7"/>
      <c r="R2014" s="7"/>
      <c r="S2014" s="7"/>
      <c r="T2014" s="7"/>
      <c r="U2014" s="7"/>
      <c r="V2014" s="7"/>
      <c r="W2014" s="7"/>
    </row>
    <row r="2015" spans="1:23" x14ac:dyDescent="0.35">
      <c r="A2015" s="251">
        <v>757</v>
      </c>
      <c r="B2015" s="251"/>
      <c r="C2015" s="252"/>
      <c r="D2015" s="253"/>
      <c r="E2015" s="254"/>
      <c r="F2015" s="269"/>
      <c r="G2015" s="258"/>
      <c r="H2015" s="159" t="s">
        <v>76</v>
      </c>
      <c r="I2015" s="158">
        <v>36569</v>
      </c>
      <c r="J2015" s="158">
        <f>I2015/D2012</f>
        <v>8.0399999999999991</v>
      </c>
      <c r="K2015" s="158">
        <f>36569/D2012</f>
        <v>8.0399999999999991</v>
      </c>
      <c r="L2015" s="7"/>
      <c r="M2015" s="7"/>
      <c r="N2015" s="7"/>
      <c r="O2015" s="7"/>
      <c r="P2015" s="7"/>
      <c r="Q2015" s="7"/>
      <c r="R2015" s="7"/>
      <c r="S2015" s="7"/>
      <c r="T2015" s="7"/>
      <c r="U2015" s="7"/>
      <c r="V2015" s="7"/>
      <c r="W2015" s="7"/>
    </row>
    <row r="2016" spans="1:23" ht="31" x14ac:dyDescent="0.35">
      <c r="A2016" s="251"/>
      <c r="B2016" s="251"/>
      <c r="C2016" s="252"/>
      <c r="D2016" s="253"/>
      <c r="E2016" s="254"/>
      <c r="F2016" s="269"/>
      <c r="G2016" s="256" t="s">
        <v>679</v>
      </c>
      <c r="H2016" s="159" t="s">
        <v>666</v>
      </c>
      <c r="I2016" s="158">
        <v>24580</v>
      </c>
      <c r="J2016" s="158">
        <f>I2016/D2012</f>
        <v>5.4</v>
      </c>
      <c r="K2016" s="158">
        <f>24580/D2012</f>
        <v>5.4</v>
      </c>
      <c r="L2016" s="7"/>
      <c r="M2016" s="7"/>
      <c r="N2016" s="7"/>
      <c r="O2016" s="7"/>
      <c r="P2016" s="7"/>
      <c r="Q2016" s="7"/>
      <c r="R2016" s="7"/>
      <c r="S2016" s="7"/>
      <c r="T2016" s="7"/>
      <c r="U2016" s="7"/>
      <c r="V2016" s="7"/>
      <c r="W2016" s="7"/>
    </row>
    <row r="2017" spans="1:23" x14ac:dyDescent="0.35">
      <c r="A2017" s="251"/>
      <c r="B2017" s="251"/>
      <c r="C2017" s="252"/>
      <c r="D2017" s="253"/>
      <c r="E2017" s="254"/>
      <c r="F2017" s="269"/>
      <c r="G2017" s="257"/>
      <c r="H2017" s="159" t="s">
        <v>674</v>
      </c>
      <c r="I2017" s="158">
        <v>1708823</v>
      </c>
      <c r="J2017" s="158">
        <f>I2017/D2012</f>
        <v>375.76</v>
      </c>
      <c r="K2017" s="158">
        <f>1708823/D2012</f>
        <v>375.76</v>
      </c>
      <c r="L2017" s="7"/>
      <c r="M2017" s="7"/>
      <c r="N2017" s="7"/>
      <c r="O2017" s="7"/>
      <c r="P2017" s="7"/>
      <c r="Q2017" s="7"/>
      <c r="R2017" s="7"/>
      <c r="S2017" s="7"/>
      <c r="T2017" s="7"/>
      <c r="U2017" s="7"/>
      <c r="V2017" s="7"/>
      <c r="W2017" s="7"/>
    </row>
    <row r="2018" spans="1:23" x14ac:dyDescent="0.35">
      <c r="A2018" s="251"/>
      <c r="B2018" s="251"/>
      <c r="C2018" s="252"/>
      <c r="D2018" s="253"/>
      <c r="E2018" s="254"/>
      <c r="F2018" s="273"/>
      <c r="G2018" s="258"/>
      <c r="H2018" s="159" t="s">
        <v>76</v>
      </c>
      <c r="I2018" s="158">
        <v>36569</v>
      </c>
      <c r="J2018" s="158">
        <f>I2018/D2012</f>
        <v>8.0399999999999991</v>
      </c>
      <c r="K2018" s="158">
        <f>36569/D2012</f>
        <v>8.0399999999999991</v>
      </c>
      <c r="L2018" s="7"/>
      <c r="M2018" s="7"/>
      <c r="N2018" s="7"/>
      <c r="O2018" s="7"/>
      <c r="P2018" s="7"/>
      <c r="Q2018" s="7"/>
      <c r="R2018" s="7"/>
      <c r="S2018" s="7"/>
      <c r="T2018" s="7"/>
      <c r="U2018" s="7"/>
      <c r="V2018" s="7"/>
      <c r="W2018" s="7"/>
    </row>
    <row r="2019" spans="1:23" ht="15.75" customHeight="1" x14ac:dyDescent="0.35">
      <c r="A2019" s="251">
        <f>A2012+1</f>
        <v>124</v>
      </c>
      <c r="B2019" s="251">
        <v>4281</v>
      </c>
      <c r="C2019" s="252" t="s">
        <v>579</v>
      </c>
      <c r="D2019" s="253">
        <v>9305.52</v>
      </c>
      <c r="E2019" s="253" t="s">
        <v>71</v>
      </c>
      <c r="F2019" s="255">
        <v>10</v>
      </c>
      <c r="G2019" s="123"/>
      <c r="H2019" s="159" t="s">
        <v>73</v>
      </c>
      <c r="I2019" s="158">
        <f>SUM(I2020:I2025)</f>
        <v>3539944</v>
      </c>
      <c r="J2019" s="158">
        <f>SUM(J2020:J2025)</f>
        <v>380.41</v>
      </c>
      <c r="K2019" s="158">
        <f>SUM(K2020:K2025)</f>
        <v>380.41</v>
      </c>
      <c r="L2019" s="7"/>
      <c r="M2019" s="7"/>
      <c r="N2019" s="7"/>
      <c r="O2019" s="7"/>
      <c r="P2019" s="7"/>
      <c r="Q2019" s="7"/>
      <c r="R2019" s="7"/>
      <c r="S2019" s="7"/>
      <c r="T2019" s="7"/>
      <c r="U2019" s="7"/>
      <c r="V2019" s="7"/>
      <c r="W2019" s="7"/>
    </row>
    <row r="2020" spans="1:23" ht="31" x14ac:dyDescent="0.35">
      <c r="A2020" s="251"/>
      <c r="B2020" s="251"/>
      <c r="C2020" s="252"/>
      <c r="D2020" s="253"/>
      <c r="E2020" s="253"/>
      <c r="F2020" s="255"/>
      <c r="G2020" s="256" t="s">
        <v>673</v>
      </c>
      <c r="H2020" s="159" t="s">
        <v>666</v>
      </c>
      <c r="I2020" s="158">
        <v>24580</v>
      </c>
      <c r="J2020" s="158">
        <f>I2020/D2019-0.01</f>
        <v>2.63</v>
      </c>
      <c r="K2020" s="158">
        <f>24580/D2019-0.01</f>
        <v>2.63</v>
      </c>
      <c r="L2020" s="7"/>
      <c r="M2020" s="7"/>
      <c r="N2020" s="7"/>
      <c r="O2020" s="7"/>
      <c r="P2020" s="7"/>
      <c r="Q2020" s="7"/>
      <c r="R2020" s="7"/>
      <c r="S2020" s="7"/>
      <c r="T2020" s="7"/>
      <c r="U2020" s="7"/>
      <c r="V2020" s="7"/>
      <c r="W2020" s="7"/>
    </row>
    <row r="2021" spans="1:23" x14ac:dyDescent="0.35">
      <c r="A2021" s="251">
        <v>756</v>
      </c>
      <c r="B2021" s="251"/>
      <c r="C2021" s="252"/>
      <c r="D2021" s="253"/>
      <c r="E2021" s="253"/>
      <c r="F2021" s="255"/>
      <c r="G2021" s="257"/>
      <c r="H2021" s="159" t="s">
        <v>674</v>
      </c>
      <c r="I2021" s="158">
        <v>1708823</v>
      </c>
      <c r="J2021" s="158">
        <f>I2021/D2019</f>
        <v>183.64</v>
      </c>
      <c r="K2021" s="158">
        <f>1708823/D2019</f>
        <v>183.64</v>
      </c>
      <c r="L2021" s="7"/>
      <c r="M2021" s="7"/>
      <c r="N2021" s="7"/>
      <c r="O2021" s="7"/>
      <c r="P2021" s="7"/>
      <c r="Q2021" s="7"/>
      <c r="R2021" s="7"/>
      <c r="S2021" s="7"/>
      <c r="T2021" s="7"/>
      <c r="U2021" s="7"/>
      <c r="V2021" s="7"/>
      <c r="W2021" s="7"/>
    </row>
    <row r="2022" spans="1:23" x14ac:dyDescent="0.35">
      <c r="A2022" s="251">
        <v>757</v>
      </c>
      <c r="B2022" s="251"/>
      <c r="C2022" s="252"/>
      <c r="D2022" s="253"/>
      <c r="E2022" s="253"/>
      <c r="F2022" s="255"/>
      <c r="G2022" s="258"/>
      <c r="H2022" s="159" t="s">
        <v>76</v>
      </c>
      <c r="I2022" s="158">
        <v>36569</v>
      </c>
      <c r="J2022" s="158">
        <f>I2022/D2019</f>
        <v>3.93</v>
      </c>
      <c r="K2022" s="158">
        <f>36569/D2019</f>
        <v>3.93</v>
      </c>
      <c r="L2022" s="7"/>
      <c r="M2022" s="7"/>
      <c r="N2022" s="7"/>
      <c r="O2022" s="7"/>
      <c r="P2022" s="7"/>
      <c r="Q2022" s="7"/>
      <c r="R2022" s="7"/>
      <c r="S2022" s="7"/>
      <c r="T2022" s="7"/>
      <c r="U2022" s="7"/>
      <c r="V2022" s="7"/>
      <c r="W2022" s="7"/>
    </row>
    <row r="2023" spans="1:23" ht="31" x14ac:dyDescent="0.35">
      <c r="A2023" s="251"/>
      <c r="B2023" s="251"/>
      <c r="C2023" s="252"/>
      <c r="D2023" s="253"/>
      <c r="E2023" s="253"/>
      <c r="F2023" s="255"/>
      <c r="G2023" s="256" t="s">
        <v>679</v>
      </c>
      <c r="H2023" s="159" t="s">
        <v>666</v>
      </c>
      <c r="I2023" s="158">
        <v>24580</v>
      </c>
      <c r="J2023" s="158">
        <f>I2023/D2019</f>
        <v>2.64</v>
      </c>
      <c r="K2023" s="158">
        <f>24580/D2019</f>
        <v>2.64</v>
      </c>
      <c r="L2023" s="7"/>
      <c r="M2023" s="7"/>
      <c r="N2023" s="7"/>
      <c r="O2023" s="7"/>
      <c r="P2023" s="7"/>
      <c r="Q2023" s="7"/>
      <c r="R2023" s="7"/>
      <c r="S2023" s="7"/>
      <c r="T2023" s="7"/>
      <c r="U2023" s="7"/>
      <c r="V2023" s="7"/>
      <c r="W2023" s="7"/>
    </row>
    <row r="2024" spans="1:23" x14ac:dyDescent="0.35">
      <c r="A2024" s="251"/>
      <c r="B2024" s="251"/>
      <c r="C2024" s="252"/>
      <c r="D2024" s="253"/>
      <c r="E2024" s="253"/>
      <c r="F2024" s="255"/>
      <c r="G2024" s="257"/>
      <c r="H2024" s="159" t="s">
        <v>674</v>
      </c>
      <c r="I2024" s="158">
        <v>1708823</v>
      </c>
      <c r="J2024" s="158">
        <f>I2024/D2019</f>
        <v>183.64</v>
      </c>
      <c r="K2024" s="158">
        <f>1708823/D2019</f>
        <v>183.64</v>
      </c>
      <c r="L2024" s="7"/>
      <c r="M2024" s="7"/>
      <c r="N2024" s="7"/>
      <c r="O2024" s="7"/>
      <c r="P2024" s="7"/>
      <c r="Q2024" s="7"/>
      <c r="R2024" s="7"/>
      <c r="S2024" s="7"/>
      <c r="T2024" s="7"/>
      <c r="U2024" s="7"/>
      <c r="V2024" s="7"/>
      <c r="W2024" s="7"/>
    </row>
    <row r="2025" spans="1:23" x14ac:dyDescent="0.35">
      <c r="A2025" s="251"/>
      <c r="B2025" s="251"/>
      <c r="C2025" s="252"/>
      <c r="D2025" s="253"/>
      <c r="E2025" s="253"/>
      <c r="F2025" s="255"/>
      <c r="G2025" s="258"/>
      <c r="H2025" s="159" t="s">
        <v>76</v>
      </c>
      <c r="I2025" s="158">
        <v>36569</v>
      </c>
      <c r="J2025" s="158">
        <f>I2025/D2019</f>
        <v>3.93</v>
      </c>
      <c r="K2025" s="158">
        <f>36569/D2019</f>
        <v>3.93</v>
      </c>
      <c r="L2025" s="7"/>
      <c r="M2025" s="7"/>
      <c r="N2025" s="7"/>
      <c r="O2025" s="7"/>
      <c r="P2025" s="7"/>
      <c r="Q2025" s="7"/>
      <c r="R2025" s="7"/>
      <c r="S2025" s="7"/>
      <c r="T2025" s="7"/>
      <c r="U2025" s="7"/>
      <c r="V2025" s="7"/>
      <c r="W2025" s="7"/>
    </row>
    <row r="2026" spans="1:23" ht="15.75" customHeight="1" x14ac:dyDescent="0.35">
      <c r="A2026" s="251">
        <f>A2019+1</f>
        <v>125</v>
      </c>
      <c r="B2026" s="251">
        <v>4073</v>
      </c>
      <c r="C2026" s="252" t="s">
        <v>758</v>
      </c>
      <c r="D2026" s="253">
        <v>8604.9</v>
      </c>
      <c r="E2026" s="254" t="s">
        <v>71</v>
      </c>
      <c r="F2026" s="268">
        <v>10</v>
      </c>
      <c r="G2026" s="123"/>
      <c r="H2026" s="159" t="s">
        <v>73</v>
      </c>
      <c r="I2026" s="158">
        <f>I2027+I2028+I2029+I2030</f>
        <v>98320</v>
      </c>
      <c r="J2026" s="158">
        <f>J2027+J2028+J2029+J2030</f>
        <v>11.43</v>
      </c>
      <c r="K2026" s="158">
        <f>K2027+K2028+K2029+K2030</f>
        <v>11.43</v>
      </c>
      <c r="L2026" s="7"/>
      <c r="M2026" s="7"/>
      <c r="N2026" s="7"/>
      <c r="O2026" s="7"/>
      <c r="P2026" s="7"/>
      <c r="Q2026" s="7"/>
      <c r="R2026" s="7"/>
      <c r="S2026" s="7"/>
      <c r="T2026" s="7"/>
      <c r="U2026" s="7"/>
      <c r="V2026" s="7"/>
      <c r="W2026" s="7"/>
    </row>
    <row r="2027" spans="1:23" ht="31" x14ac:dyDescent="0.35">
      <c r="A2027" s="251"/>
      <c r="B2027" s="251"/>
      <c r="C2027" s="252"/>
      <c r="D2027" s="253"/>
      <c r="E2027" s="254"/>
      <c r="F2027" s="269"/>
      <c r="G2027" s="120" t="s">
        <v>673</v>
      </c>
      <c r="H2027" s="159" t="s">
        <v>666</v>
      </c>
      <c r="I2027" s="158">
        <v>24580</v>
      </c>
      <c r="J2027" s="158">
        <f>I2027/D2026</f>
        <v>2.86</v>
      </c>
      <c r="K2027" s="158">
        <f>24580/D2026</f>
        <v>2.86</v>
      </c>
      <c r="L2027" s="7"/>
      <c r="M2027" s="7"/>
      <c r="N2027" s="7"/>
      <c r="O2027" s="7"/>
      <c r="P2027" s="7"/>
      <c r="Q2027" s="7"/>
      <c r="R2027" s="7"/>
      <c r="S2027" s="7"/>
      <c r="T2027" s="7"/>
      <c r="U2027" s="7"/>
      <c r="V2027" s="7"/>
      <c r="W2027" s="7"/>
    </row>
    <row r="2028" spans="1:23" ht="31" x14ac:dyDescent="0.35">
      <c r="A2028" s="251"/>
      <c r="B2028" s="251"/>
      <c r="C2028" s="252"/>
      <c r="D2028" s="253"/>
      <c r="E2028" s="254"/>
      <c r="F2028" s="269"/>
      <c r="G2028" s="120" t="s">
        <v>679</v>
      </c>
      <c r="H2028" s="159" t="s">
        <v>666</v>
      </c>
      <c r="I2028" s="158">
        <v>24580</v>
      </c>
      <c r="J2028" s="158">
        <f>I2028/D2026</f>
        <v>2.86</v>
      </c>
      <c r="K2028" s="158">
        <f>24580/D2026</f>
        <v>2.86</v>
      </c>
      <c r="L2028" s="7"/>
      <c r="M2028" s="7"/>
      <c r="N2028" s="7"/>
      <c r="O2028" s="7"/>
      <c r="P2028" s="7"/>
      <c r="Q2028" s="7"/>
      <c r="R2028" s="7"/>
      <c r="S2028" s="7"/>
      <c r="T2028" s="7"/>
      <c r="U2028" s="7"/>
      <c r="V2028" s="7"/>
      <c r="W2028" s="7"/>
    </row>
    <row r="2029" spans="1:23" ht="31" x14ac:dyDescent="0.35">
      <c r="A2029" s="251"/>
      <c r="B2029" s="251"/>
      <c r="C2029" s="252"/>
      <c r="D2029" s="253"/>
      <c r="E2029" s="254"/>
      <c r="F2029" s="269"/>
      <c r="G2029" s="120" t="s">
        <v>680</v>
      </c>
      <c r="H2029" s="159" t="s">
        <v>666</v>
      </c>
      <c r="I2029" s="158">
        <v>24580</v>
      </c>
      <c r="J2029" s="158">
        <f>I2029/D2026</f>
        <v>2.86</v>
      </c>
      <c r="K2029" s="158">
        <f>24580/D2026</f>
        <v>2.86</v>
      </c>
      <c r="L2029" s="7"/>
      <c r="M2029" s="7"/>
      <c r="N2029" s="7"/>
      <c r="O2029" s="7"/>
      <c r="P2029" s="7"/>
      <c r="Q2029" s="7"/>
      <c r="R2029" s="7"/>
      <c r="S2029" s="7"/>
      <c r="T2029" s="7"/>
      <c r="U2029" s="7"/>
      <c r="V2029" s="7"/>
      <c r="W2029" s="7"/>
    </row>
    <row r="2030" spans="1:23" ht="31" x14ac:dyDescent="0.35">
      <c r="A2030" s="251"/>
      <c r="B2030" s="251"/>
      <c r="C2030" s="252"/>
      <c r="D2030" s="253"/>
      <c r="E2030" s="254"/>
      <c r="F2030" s="269"/>
      <c r="G2030" s="120" t="s">
        <v>681</v>
      </c>
      <c r="H2030" s="159" t="s">
        <v>666</v>
      </c>
      <c r="I2030" s="158">
        <v>24580</v>
      </c>
      <c r="J2030" s="158">
        <f>I2030/D2026-0.01</f>
        <v>2.85</v>
      </c>
      <c r="K2030" s="158">
        <f>24580/D2026-0.01</f>
        <v>2.85</v>
      </c>
      <c r="L2030" s="7"/>
      <c r="M2030" s="7"/>
      <c r="N2030" s="7"/>
      <c r="O2030" s="7"/>
      <c r="P2030" s="7"/>
      <c r="Q2030" s="7"/>
      <c r="R2030" s="7"/>
      <c r="S2030" s="7"/>
      <c r="T2030" s="7"/>
      <c r="U2030" s="7"/>
      <c r="V2030" s="7"/>
      <c r="W2030" s="7"/>
    </row>
    <row r="2031" spans="1:23" ht="15.75" customHeight="1" x14ac:dyDescent="0.35">
      <c r="A2031" s="256">
        <f>A2026+1</f>
        <v>126</v>
      </c>
      <c r="B2031" s="256">
        <v>3120</v>
      </c>
      <c r="C2031" s="259" t="s">
        <v>580</v>
      </c>
      <c r="D2031" s="262">
        <v>2323</v>
      </c>
      <c r="E2031" s="268" t="s">
        <v>75</v>
      </c>
      <c r="F2031" s="268">
        <v>5</v>
      </c>
      <c r="G2031" s="256" t="s">
        <v>72</v>
      </c>
      <c r="H2031" s="159" t="s">
        <v>73</v>
      </c>
      <c r="I2031" s="158">
        <f>I2032</f>
        <v>380972</v>
      </c>
      <c r="J2031" s="158">
        <f>J2032</f>
        <v>164</v>
      </c>
      <c r="K2031" s="158">
        <f>K2032</f>
        <v>164</v>
      </c>
      <c r="L2031" s="7"/>
      <c r="M2031" s="7"/>
      <c r="N2031" s="7"/>
      <c r="O2031" s="7"/>
      <c r="P2031" s="7"/>
      <c r="Q2031" s="7"/>
      <c r="R2031" s="7"/>
      <c r="S2031" s="7"/>
      <c r="T2031" s="7"/>
      <c r="U2031" s="7"/>
      <c r="V2031" s="7"/>
      <c r="W2031" s="7"/>
    </row>
    <row r="2032" spans="1:23" ht="46.5" x14ac:dyDescent="0.35">
      <c r="A2032" s="257"/>
      <c r="B2032" s="257"/>
      <c r="C2032" s="260"/>
      <c r="D2032" s="263"/>
      <c r="E2032" s="269"/>
      <c r="F2032" s="273"/>
      <c r="G2032" s="257"/>
      <c r="H2032" s="159" t="s">
        <v>705</v>
      </c>
      <c r="I2032" s="158">
        <f>D2031*K2032</f>
        <v>380972</v>
      </c>
      <c r="J2032" s="158">
        <f>I2032/D2031</f>
        <v>164</v>
      </c>
      <c r="K2032" s="158">
        <f>151+13</f>
        <v>164</v>
      </c>
      <c r="L2032" s="7"/>
      <c r="M2032" s="7"/>
      <c r="N2032" s="7"/>
      <c r="O2032" s="7"/>
      <c r="P2032" s="7"/>
      <c r="Q2032" s="7"/>
      <c r="R2032" s="7"/>
      <c r="S2032" s="7"/>
      <c r="T2032" s="7"/>
      <c r="U2032" s="7"/>
      <c r="V2032" s="7"/>
      <c r="W2032" s="7"/>
    </row>
    <row r="2033" spans="1:23" ht="15.75" customHeight="1" x14ac:dyDescent="0.35">
      <c r="A2033" s="251">
        <f>A2031+1</f>
        <v>127</v>
      </c>
      <c r="B2033" s="251">
        <v>4286</v>
      </c>
      <c r="C2033" s="252" t="s">
        <v>581</v>
      </c>
      <c r="D2033" s="253">
        <v>5614.3</v>
      </c>
      <c r="E2033" s="253" t="s">
        <v>75</v>
      </c>
      <c r="F2033" s="255">
        <v>10</v>
      </c>
      <c r="G2033" s="123"/>
      <c r="H2033" s="159" t="s">
        <v>73</v>
      </c>
      <c r="I2033" s="158">
        <f>SUM(I2034:I2042)</f>
        <v>5309916</v>
      </c>
      <c r="J2033" s="158">
        <f>SUM(J2034:J2042)</f>
        <v>945.78</v>
      </c>
      <c r="K2033" s="158">
        <f>SUM(K2034:K2042)</f>
        <v>945.78</v>
      </c>
      <c r="L2033" s="7"/>
      <c r="M2033" s="7"/>
      <c r="N2033" s="7"/>
      <c r="O2033" s="7"/>
      <c r="P2033" s="7"/>
      <c r="Q2033" s="7"/>
      <c r="R2033" s="7"/>
      <c r="S2033" s="7"/>
      <c r="T2033" s="7"/>
      <c r="U2033" s="7"/>
      <c r="V2033" s="7"/>
      <c r="W2033" s="7"/>
    </row>
    <row r="2034" spans="1:23" ht="31" x14ac:dyDescent="0.35">
      <c r="A2034" s="251"/>
      <c r="B2034" s="251"/>
      <c r="C2034" s="252"/>
      <c r="D2034" s="253"/>
      <c r="E2034" s="253"/>
      <c r="F2034" s="255"/>
      <c r="G2034" s="256" t="s">
        <v>673</v>
      </c>
      <c r="H2034" s="159" t="s">
        <v>666</v>
      </c>
      <c r="I2034" s="158">
        <v>24580</v>
      </c>
      <c r="J2034" s="158">
        <f>I2034/D2033</f>
        <v>4.38</v>
      </c>
      <c r="K2034" s="158">
        <f>24580/D2033</f>
        <v>4.38</v>
      </c>
      <c r="L2034" s="7"/>
      <c r="M2034" s="7"/>
      <c r="N2034" s="7"/>
      <c r="O2034" s="7"/>
      <c r="P2034" s="7"/>
      <c r="Q2034" s="7"/>
      <c r="R2034" s="7"/>
      <c r="S2034" s="7"/>
      <c r="T2034" s="7"/>
      <c r="U2034" s="7"/>
      <c r="V2034" s="7"/>
      <c r="W2034" s="7"/>
    </row>
    <row r="2035" spans="1:23" x14ac:dyDescent="0.35">
      <c r="A2035" s="251">
        <v>756</v>
      </c>
      <c r="B2035" s="251"/>
      <c r="C2035" s="252"/>
      <c r="D2035" s="253"/>
      <c r="E2035" s="253"/>
      <c r="F2035" s="255"/>
      <c r="G2035" s="257"/>
      <c r="H2035" s="159" t="s">
        <v>674</v>
      </c>
      <c r="I2035" s="158">
        <v>1708823</v>
      </c>
      <c r="J2035" s="158">
        <f>I2035/D2033</f>
        <v>304.37</v>
      </c>
      <c r="K2035" s="158">
        <f>1708823/D2033</f>
        <v>304.37</v>
      </c>
      <c r="L2035" s="7"/>
      <c r="M2035" s="7"/>
      <c r="N2035" s="7"/>
      <c r="O2035" s="7"/>
      <c r="P2035" s="7"/>
      <c r="Q2035" s="7"/>
      <c r="R2035" s="7"/>
      <c r="S2035" s="7"/>
      <c r="T2035" s="7"/>
      <c r="U2035" s="7"/>
      <c r="V2035" s="7"/>
      <c r="W2035" s="7"/>
    </row>
    <row r="2036" spans="1:23" x14ac:dyDescent="0.35">
      <c r="A2036" s="251">
        <v>757</v>
      </c>
      <c r="B2036" s="251"/>
      <c r="C2036" s="252"/>
      <c r="D2036" s="253"/>
      <c r="E2036" s="253"/>
      <c r="F2036" s="255"/>
      <c r="G2036" s="258"/>
      <c r="H2036" s="159" t="s">
        <v>76</v>
      </c>
      <c r="I2036" s="158">
        <v>36569</v>
      </c>
      <c r="J2036" s="158">
        <f>I2036/D2033</f>
        <v>6.51</v>
      </c>
      <c r="K2036" s="158">
        <f>36569/D2033</f>
        <v>6.51</v>
      </c>
      <c r="L2036" s="7"/>
      <c r="M2036" s="7"/>
      <c r="N2036" s="7"/>
      <c r="O2036" s="7"/>
      <c r="P2036" s="7"/>
      <c r="Q2036" s="7"/>
      <c r="R2036" s="7"/>
      <c r="S2036" s="7"/>
      <c r="T2036" s="7"/>
      <c r="U2036" s="7"/>
      <c r="V2036" s="7"/>
      <c r="W2036" s="7"/>
    </row>
    <row r="2037" spans="1:23" ht="31" x14ac:dyDescent="0.35">
      <c r="A2037" s="251"/>
      <c r="B2037" s="251"/>
      <c r="C2037" s="252"/>
      <c r="D2037" s="253"/>
      <c r="E2037" s="253"/>
      <c r="F2037" s="255"/>
      <c r="G2037" s="256" t="s">
        <v>679</v>
      </c>
      <c r="H2037" s="159" t="s">
        <v>666</v>
      </c>
      <c r="I2037" s="158">
        <v>24580</v>
      </c>
      <c r="J2037" s="158">
        <f>I2037/D2033</f>
        <v>4.38</v>
      </c>
      <c r="K2037" s="158">
        <f>24580/D2033</f>
        <v>4.38</v>
      </c>
      <c r="L2037" s="7"/>
      <c r="M2037" s="7"/>
      <c r="N2037" s="7"/>
      <c r="O2037" s="7"/>
      <c r="P2037" s="7"/>
      <c r="Q2037" s="7"/>
      <c r="R2037" s="7"/>
      <c r="S2037" s="7"/>
      <c r="T2037" s="7"/>
      <c r="U2037" s="7"/>
      <c r="V2037" s="7"/>
      <c r="W2037" s="7"/>
    </row>
    <row r="2038" spans="1:23" x14ac:dyDescent="0.35">
      <c r="A2038" s="251"/>
      <c r="B2038" s="251"/>
      <c r="C2038" s="252"/>
      <c r="D2038" s="253"/>
      <c r="E2038" s="253"/>
      <c r="F2038" s="255"/>
      <c r="G2038" s="257"/>
      <c r="H2038" s="159" t="s">
        <v>674</v>
      </c>
      <c r="I2038" s="158">
        <v>1708823</v>
      </c>
      <c r="J2038" s="158">
        <f>I2038/D2033</f>
        <v>304.37</v>
      </c>
      <c r="K2038" s="158">
        <f>1708823/D2033</f>
        <v>304.37</v>
      </c>
      <c r="L2038" s="7"/>
      <c r="M2038" s="7"/>
      <c r="N2038" s="7"/>
      <c r="O2038" s="7"/>
      <c r="P2038" s="7"/>
      <c r="Q2038" s="7"/>
      <c r="R2038" s="7"/>
      <c r="S2038" s="7"/>
      <c r="T2038" s="7"/>
      <c r="U2038" s="7"/>
      <c r="V2038" s="7"/>
      <c r="W2038" s="7"/>
    </row>
    <row r="2039" spans="1:23" x14ac:dyDescent="0.35">
      <c r="A2039" s="251"/>
      <c r="B2039" s="251"/>
      <c r="C2039" s="252"/>
      <c r="D2039" s="253"/>
      <c r="E2039" s="253"/>
      <c r="F2039" s="255"/>
      <c r="G2039" s="258"/>
      <c r="H2039" s="159" t="s">
        <v>76</v>
      </c>
      <c r="I2039" s="158">
        <v>36569</v>
      </c>
      <c r="J2039" s="158">
        <f>I2039/D2033</f>
        <v>6.51</v>
      </c>
      <c r="K2039" s="158">
        <f>36569/D2033</f>
        <v>6.51</v>
      </c>
      <c r="L2039" s="7"/>
      <c r="M2039" s="7"/>
      <c r="N2039" s="7"/>
      <c r="O2039" s="7"/>
      <c r="P2039" s="7"/>
      <c r="Q2039" s="7"/>
      <c r="R2039" s="7"/>
      <c r="S2039" s="7"/>
      <c r="T2039" s="7"/>
      <c r="U2039" s="7"/>
      <c r="V2039" s="7"/>
      <c r="W2039" s="7"/>
    </row>
    <row r="2040" spans="1:23" ht="31" x14ac:dyDescent="0.35">
      <c r="A2040" s="251"/>
      <c r="B2040" s="251"/>
      <c r="C2040" s="252"/>
      <c r="D2040" s="253"/>
      <c r="E2040" s="253"/>
      <c r="F2040" s="255"/>
      <c r="G2040" s="256" t="s">
        <v>680</v>
      </c>
      <c r="H2040" s="159" t="s">
        <v>666</v>
      </c>
      <c r="I2040" s="158">
        <v>24580</v>
      </c>
      <c r="J2040" s="158">
        <f>I2040/D2033</f>
        <v>4.38</v>
      </c>
      <c r="K2040" s="158">
        <f>24580/D2033</f>
        <v>4.38</v>
      </c>
      <c r="L2040" s="7"/>
      <c r="M2040" s="7"/>
      <c r="N2040" s="7"/>
      <c r="O2040" s="7"/>
      <c r="P2040" s="7"/>
      <c r="Q2040" s="7"/>
      <c r="R2040" s="7"/>
      <c r="S2040" s="7"/>
      <c r="T2040" s="7"/>
      <c r="U2040" s="7"/>
      <c r="V2040" s="7"/>
      <c r="W2040" s="7"/>
    </row>
    <row r="2041" spans="1:23" x14ac:dyDescent="0.35">
      <c r="A2041" s="251"/>
      <c r="B2041" s="251"/>
      <c r="C2041" s="252"/>
      <c r="D2041" s="253"/>
      <c r="E2041" s="253"/>
      <c r="F2041" s="255"/>
      <c r="G2041" s="257"/>
      <c r="H2041" s="159" t="s">
        <v>674</v>
      </c>
      <c r="I2041" s="158">
        <v>1708823</v>
      </c>
      <c r="J2041" s="158">
        <f>I2041/D2033</f>
        <v>304.37</v>
      </c>
      <c r="K2041" s="158">
        <f>1708823/D2033</f>
        <v>304.37</v>
      </c>
      <c r="L2041" s="7"/>
      <c r="M2041" s="7"/>
      <c r="N2041" s="7"/>
      <c r="O2041" s="7"/>
      <c r="P2041" s="7"/>
      <c r="Q2041" s="7"/>
      <c r="R2041" s="7"/>
      <c r="S2041" s="7"/>
      <c r="T2041" s="7"/>
      <c r="U2041" s="7"/>
      <c r="V2041" s="7"/>
      <c r="W2041" s="7"/>
    </row>
    <row r="2042" spans="1:23" x14ac:dyDescent="0.35">
      <c r="A2042" s="251"/>
      <c r="B2042" s="251"/>
      <c r="C2042" s="252"/>
      <c r="D2042" s="253"/>
      <c r="E2042" s="253"/>
      <c r="F2042" s="255"/>
      <c r="G2042" s="258"/>
      <c r="H2042" s="159" t="s">
        <v>76</v>
      </c>
      <c r="I2042" s="158">
        <v>36569</v>
      </c>
      <c r="J2042" s="158">
        <f>I2042/D2033</f>
        <v>6.51</v>
      </c>
      <c r="K2042" s="158">
        <f>36569/D2033</f>
        <v>6.51</v>
      </c>
      <c r="L2042" s="7"/>
      <c r="M2042" s="7"/>
      <c r="N2042" s="7"/>
      <c r="O2042" s="7"/>
      <c r="P2042" s="7"/>
      <c r="Q2042" s="7"/>
      <c r="R2042" s="7"/>
      <c r="S2042" s="7"/>
      <c r="T2042" s="7"/>
      <c r="U2042" s="7"/>
      <c r="V2042" s="7"/>
      <c r="W2042" s="7"/>
    </row>
    <row r="2043" spans="1:23" ht="15.75" customHeight="1" x14ac:dyDescent="0.35">
      <c r="A2043" s="256">
        <f>A2033+1</f>
        <v>128</v>
      </c>
      <c r="B2043" s="256">
        <v>3445</v>
      </c>
      <c r="C2043" s="259" t="s">
        <v>582</v>
      </c>
      <c r="D2043" s="262">
        <v>5942.4</v>
      </c>
      <c r="E2043" s="262" t="s">
        <v>75</v>
      </c>
      <c r="F2043" s="265">
        <v>5</v>
      </c>
      <c r="G2043" s="256" t="s">
        <v>72</v>
      </c>
      <c r="H2043" s="159" t="s">
        <v>73</v>
      </c>
      <c r="I2043" s="158">
        <f>I2044</f>
        <v>974553.59999999998</v>
      </c>
      <c r="J2043" s="158">
        <f>J2044</f>
        <v>164</v>
      </c>
      <c r="K2043" s="158">
        <f>K2044</f>
        <v>164</v>
      </c>
      <c r="L2043" s="7"/>
      <c r="M2043" s="7"/>
      <c r="N2043" s="7"/>
      <c r="O2043" s="7"/>
      <c r="P2043" s="7"/>
      <c r="Q2043" s="7"/>
      <c r="R2043" s="7"/>
      <c r="S2043" s="7"/>
      <c r="T2043" s="7"/>
      <c r="U2043" s="7"/>
      <c r="V2043" s="7"/>
      <c r="W2043" s="7"/>
    </row>
    <row r="2044" spans="1:23" ht="46.5" x14ac:dyDescent="0.35">
      <c r="A2044" s="257"/>
      <c r="B2044" s="257"/>
      <c r="C2044" s="260"/>
      <c r="D2044" s="263"/>
      <c r="E2044" s="263"/>
      <c r="F2044" s="266"/>
      <c r="G2044" s="257"/>
      <c r="H2044" s="159" t="s">
        <v>705</v>
      </c>
      <c r="I2044" s="158">
        <f>D2043*K2044</f>
        <v>974553.59999999998</v>
      </c>
      <c r="J2044" s="158">
        <f>I2044/D2043</f>
        <v>164</v>
      </c>
      <c r="K2044" s="158">
        <f>151+13</f>
        <v>164</v>
      </c>
      <c r="L2044" s="7"/>
      <c r="M2044" s="7"/>
      <c r="N2044" s="7"/>
      <c r="O2044" s="7"/>
      <c r="P2044" s="7"/>
      <c r="Q2044" s="7"/>
      <c r="R2044" s="7"/>
      <c r="S2044" s="7"/>
      <c r="T2044" s="7"/>
      <c r="U2044" s="7"/>
      <c r="V2044" s="7"/>
      <c r="W2044" s="7"/>
    </row>
    <row r="2045" spans="1:23" ht="15.75" customHeight="1" x14ac:dyDescent="0.35">
      <c r="A2045" s="251">
        <f>A2043+1</f>
        <v>129</v>
      </c>
      <c r="B2045" s="251">
        <v>4290</v>
      </c>
      <c r="C2045" s="252" t="s">
        <v>759</v>
      </c>
      <c r="D2045" s="253">
        <v>3219.4</v>
      </c>
      <c r="E2045" s="254" t="s">
        <v>75</v>
      </c>
      <c r="F2045" s="254">
        <v>9</v>
      </c>
      <c r="G2045" s="251" t="s">
        <v>72</v>
      </c>
      <c r="H2045" s="159" t="s">
        <v>73</v>
      </c>
      <c r="I2045" s="158">
        <f>I2046</f>
        <v>527981.6</v>
      </c>
      <c r="J2045" s="158">
        <f>J2046</f>
        <v>164</v>
      </c>
      <c r="K2045" s="158">
        <f>K2046</f>
        <v>164</v>
      </c>
      <c r="L2045" s="7"/>
      <c r="M2045" s="7"/>
      <c r="N2045" s="7"/>
      <c r="O2045" s="7"/>
      <c r="P2045" s="7"/>
      <c r="Q2045" s="7"/>
      <c r="R2045" s="7"/>
      <c r="S2045" s="7"/>
      <c r="T2045" s="7"/>
      <c r="U2045" s="7"/>
      <c r="V2045" s="7"/>
      <c r="W2045" s="7"/>
    </row>
    <row r="2046" spans="1:23" ht="46.5" x14ac:dyDescent="0.35">
      <c r="A2046" s="251"/>
      <c r="B2046" s="251"/>
      <c r="C2046" s="252"/>
      <c r="D2046" s="253"/>
      <c r="E2046" s="254"/>
      <c r="F2046" s="254"/>
      <c r="G2046" s="251"/>
      <c r="H2046" s="159" t="s">
        <v>705</v>
      </c>
      <c r="I2046" s="158">
        <f>D2045*K2046</f>
        <v>527981.6</v>
      </c>
      <c r="J2046" s="158">
        <f>I2046/D2045</f>
        <v>164</v>
      </c>
      <c r="K2046" s="158">
        <f>151+13</f>
        <v>164</v>
      </c>
      <c r="L2046" s="7"/>
      <c r="M2046" s="7"/>
      <c r="N2046" s="7"/>
      <c r="O2046" s="7"/>
      <c r="P2046" s="7"/>
      <c r="Q2046" s="7"/>
      <c r="R2046" s="7"/>
      <c r="S2046" s="7"/>
      <c r="T2046" s="7"/>
      <c r="U2046" s="7"/>
      <c r="V2046" s="7"/>
      <c r="W2046" s="7"/>
    </row>
    <row r="2047" spans="1:23" ht="15.75" customHeight="1" x14ac:dyDescent="0.35">
      <c r="A2047" s="256">
        <f>A2045+1</f>
        <v>130</v>
      </c>
      <c r="B2047" s="256">
        <v>4081</v>
      </c>
      <c r="C2047" s="259" t="s">
        <v>365</v>
      </c>
      <c r="D2047" s="262">
        <v>7296.4</v>
      </c>
      <c r="E2047" s="268" t="s">
        <v>75</v>
      </c>
      <c r="F2047" s="268">
        <v>10</v>
      </c>
      <c r="G2047" s="256" t="s">
        <v>84</v>
      </c>
      <c r="H2047" s="159" t="s">
        <v>73</v>
      </c>
      <c r="I2047" s="158">
        <f>I2048</f>
        <v>58371.199999999997</v>
      </c>
      <c r="J2047" s="158">
        <f>J2048</f>
        <v>8</v>
      </c>
      <c r="K2047" s="158">
        <f>K2048</f>
        <v>8</v>
      </c>
      <c r="L2047" s="7"/>
      <c r="M2047" s="7"/>
      <c r="N2047" s="7"/>
      <c r="O2047" s="7"/>
      <c r="P2047" s="7"/>
      <c r="Q2047" s="7"/>
      <c r="R2047" s="7"/>
      <c r="S2047" s="7"/>
      <c r="T2047" s="7"/>
      <c r="U2047" s="7"/>
      <c r="V2047" s="7"/>
      <c r="W2047" s="7"/>
    </row>
    <row r="2048" spans="1:23" ht="31" x14ac:dyDescent="0.35">
      <c r="A2048" s="257"/>
      <c r="B2048" s="257"/>
      <c r="C2048" s="260"/>
      <c r="D2048" s="263"/>
      <c r="E2048" s="269"/>
      <c r="F2048" s="269"/>
      <c r="G2048" s="257"/>
      <c r="H2048" s="159" t="s">
        <v>666</v>
      </c>
      <c r="I2048" s="158">
        <f>K2048*D2047</f>
        <v>58371.199999999997</v>
      </c>
      <c r="J2048" s="158">
        <f>I2048/D2047</f>
        <v>8</v>
      </c>
      <c r="K2048" s="158">
        <f>7+1</f>
        <v>8</v>
      </c>
      <c r="L2048" s="7"/>
      <c r="M2048" s="7"/>
      <c r="N2048" s="7"/>
      <c r="O2048" s="7"/>
      <c r="P2048" s="7"/>
      <c r="Q2048" s="7"/>
      <c r="R2048" s="7"/>
      <c r="S2048" s="7"/>
      <c r="T2048" s="7"/>
      <c r="U2048" s="7"/>
      <c r="V2048" s="7"/>
      <c r="W2048" s="7"/>
    </row>
    <row r="2049" spans="1:23" ht="15.75" customHeight="1" x14ac:dyDescent="0.35">
      <c r="A2049" s="251">
        <f>A2047+1</f>
        <v>131</v>
      </c>
      <c r="B2049" s="251">
        <v>3304</v>
      </c>
      <c r="C2049" s="252" t="s">
        <v>760</v>
      </c>
      <c r="D2049" s="253">
        <v>4426.3999999999996</v>
      </c>
      <c r="E2049" s="254" t="s">
        <v>75</v>
      </c>
      <c r="F2049" s="254">
        <v>10</v>
      </c>
      <c r="G2049" s="251" t="s">
        <v>85</v>
      </c>
      <c r="H2049" s="159" t="s">
        <v>73</v>
      </c>
      <c r="I2049" s="158">
        <f>I2050+I2051</f>
        <v>942823.2</v>
      </c>
      <c r="J2049" s="158">
        <f>J2050+J2051</f>
        <v>213</v>
      </c>
      <c r="K2049" s="158">
        <f>K2050+K2051</f>
        <v>213</v>
      </c>
      <c r="L2049" s="7"/>
      <c r="M2049" s="7"/>
      <c r="N2049" s="7"/>
      <c r="O2049" s="7"/>
      <c r="P2049" s="7"/>
      <c r="Q2049" s="7"/>
      <c r="R2049" s="7"/>
      <c r="S2049" s="7"/>
      <c r="T2049" s="7"/>
      <c r="U2049" s="7"/>
      <c r="V2049" s="7"/>
      <c r="W2049" s="7"/>
    </row>
    <row r="2050" spans="1:23" ht="46.5" x14ac:dyDescent="0.35">
      <c r="A2050" s="251"/>
      <c r="B2050" s="251"/>
      <c r="C2050" s="252"/>
      <c r="D2050" s="253"/>
      <c r="E2050" s="254"/>
      <c r="F2050" s="254"/>
      <c r="G2050" s="251"/>
      <c r="H2050" s="159" t="s">
        <v>705</v>
      </c>
      <c r="I2050" s="158">
        <f>D2049*K2050</f>
        <v>194761.60000000001</v>
      </c>
      <c r="J2050" s="158">
        <f>I2050/D2049</f>
        <v>44</v>
      </c>
      <c r="K2050" s="158">
        <f>41+3</f>
        <v>44</v>
      </c>
      <c r="L2050" s="7"/>
      <c r="M2050" s="7"/>
      <c r="N2050" s="7"/>
      <c r="O2050" s="7"/>
      <c r="P2050" s="7"/>
      <c r="Q2050" s="7"/>
      <c r="R2050" s="7"/>
      <c r="S2050" s="7"/>
      <c r="T2050" s="7"/>
      <c r="U2050" s="7"/>
      <c r="V2050" s="7"/>
      <c r="W2050" s="7"/>
    </row>
    <row r="2051" spans="1:23" ht="46.5" x14ac:dyDescent="0.35">
      <c r="A2051" s="251"/>
      <c r="B2051" s="251"/>
      <c r="C2051" s="252"/>
      <c r="D2051" s="253"/>
      <c r="E2051" s="254"/>
      <c r="F2051" s="254"/>
      <c r="G2051" s="251"/>
      <c r="H2051" s="159" t="s">
        <v>706</v>
      </c>
      <c r="I2051" s="158">
        <f>D2049*K2051</f>
        <v>748061.6</v>
      </c>
      <c r="J2051" s="158">
        <f>I2051/D2049</f>
        <v>169</v>
      </c>
      <c r="K2051" s="158">
        <f>156+13</f>
        <v>169</v>
      </c>
      <c r="L2051" s="7"/>
      <c r="M2051" s="7"/>
      <c r="N2051" s="7"/>
      <c r="O2051" s="7"/>
      <c r="P2051" s="7"/>
      <c r="Q2051" s="7"/>
      <c r="R2051" s="7"/>
      <c r="S2051" s="7"/>
      <c r="T2051" s="7"/>
      <c r="U2051" s="7"/>
      <c r="V2051" s="7"/>
      <c r="W2051" s="7"/>
    </row>
    <row r="2052" spans="1:23" ht="15.75" customHeight="1" x14ac:dyDescent="0.35">
      <c r="A2052" s="256">
        <f>A2049+1</f>
        <v>132</v>
      </c>
      <c r="B2052" s="256">
        <v>4054</v>
      </c>
      <c r="C2052" s="259" t="s">
        <v>583</v>
      </c>
      <c r="D2052" s="262">
        <v>2654.1</v>
      </c>
      <c r="E2052" s="268" t="s">
        <v>71</v>
      </c>
      <c r="F2052" s="268">
        <v>5</v>
      </c>
      <c r="G2052" s="256" t="s">
        <v>72</v>
      </c>
      <c r="H2052" s="159" t="s">
        <v>73</v>
      </c>
      <c r="I2052" s="158">
        <f>I2053</f>
        <v>435272.4</v>
      </c>
      <c r="J2052" s="158">
        <f>J2053</f>
        <v>164</v>
      </c>
      <c r="K2052" s="158">
        <f>K2053</f>
        <v>164</v>
      </c>
      <c r="L2052" s="7"/>
      <c r="M2052" s="7"/>
      <c r="N2052" s="7"/>
      <c r="O2052" s="7"/>
      <c r="P2052" s="7"/>
      <c r="Q2052" s="7"/>
      <c r="R2052" s="7"/>
      <c r="S2052" s="7"/>
      <c r="T2052" s="7"/>
      <c r="U2052" s="7"/>
      <c r="V2052" s="7"/>
      <c r="W2052" s="7"/>
    </row>
    <row r="2053" spans="1:23" ht="46.5" x14ac:dyDescent="0.35">
      <c r="A2053" s="257"/>
      <c r="B2053" s="257"/>
      <c r="C2053" s="260"/>
      <c r="D2053" s="263"/>
      <c r="E2053" s="269"/>
      <c r="F2053" s="273"/>
      <c r="G2053" s="257"/>
      <c r="H2053" s="159" t="s">
        <v>705</v>
      </c>
      <c r="I2053" s="158">
        <f>D2052*K2053</f>
        <v>435272.4</v>
      </c>
      <c r="J2053" s="158">
        <f>I2053/D2052</f>
        <v>164</v>
      </c>
      <c r="K2053" s="158">
        <f>151+13</f>
        <v>164</v>
      </c>
      <c r="L2053" s="7"/>
      <c r="M2053" s="7"/>
      <c r="N2053" s="7"/>
      <c r="O2053" s="7"/>
      <c r="P2053" s="7"/>
      <c r="Q2053" s="7"/>
      <c r="R2053" s="7"/>
      <c r="S2053" s="7"/>
      <c r="T2053" s="7"/>
      <c r="U2053" s="7"/>
      <c r="V2053" s="7"/>
      <c r="W2053" s="7"/>
    </row>
    <row r="2054" spans="1:23" ht="15.75" customHeight="1" x14ac:dyDescent="0.35">
      <c r="A2054" s="256">
        <f>A2052+1</f>
        <v>133</v>
      </c>
      <c r="B2054" s="256">
        <v>3305</v>
      </c>
      <c r="C2054" s="259" t="s">
        <v>584</v>
      </c>
      <c r="D2054" s="262">
        <v>2891.1</v>
      </c>
      <c r="E2054" s="268" t="s">
        <v>71</v>
      </c>
      <c r="F2054" s="268">
        <v>5</v>
      </c>
      <c r="G2054" s="256" t="s">
        <v>72</v>
      </c>
      <c r="H2054" s="159" t="s">
        <v>73</v>
      </c>
      <c r="I2054" s="158">
        <f>I2055</f>
        <v>474140.4</v>
      </c>
      <c r="J2054" s="158">
        <f>J2055</f>
        <v>164</v>
      </c>
      <c r="K2054" s="158">
        <f>K2055</f>
        <v>164</v>
      </c>
      <c r="L2054" s="7"/>
      <c r="M2054" s="7"/>
      <c r="N2054" s="7"/>
      <c r="O2054" s="7"/>
      <c r="P2054" s="7"/>
      <c r="Q2054" s="7"/>
      <c r="R2054" s="7"/>
      <c r="S2054" s="7"/>
      <c r="T2054" s="7"/>
      <c r="U2054" s="7"/>
      <c r="V2054" s="7"/>
      <c r="W2054" s="7"/>
    </row>
    <row r="2055" spans="1:23" ht="46.5" x14ac:dyDescent="0.35">
      <c r="A2055" s="257"/>
      <c r="B2055" s="257"/>
      <c r="C2055" s="260"/>
      <c r="D2055" s="263"/>
      <c r="E2055" s="269"/>
      <c r="F2055" s="273"/>
      <c r="G2055" s="257"/>
      <c r="H2055" s="159" t="s">
        <v>705</v>
      </c>
      <c r="I2055" s="158">
        <f>D2054*K2055</f>
        <v>474140.4</v>
      </c>
      <c r="J2055" s="158">
        <f>I2055/D2054</f>
        <v>164</v>
      </c>
      <c r="K2055" s="158">
        <f>151+13</f>
        <v>164</v>
      </c>
      <c r="L2055" s="7"/>
      <c r="M2055" s="7"/>
      <c r="N2055" s="7"/>
      <c r="O2055" s="7"/>
      <c r="P2055" s="7"/>
      <c r="Q2055" s="7"/>
      <c r="R2055" s="7"/>
      <c r="S2055" s="7"/>
      <c r="T2055" s="7"/>
      <c r="U2055" s="7"/>
      <c r="V2055" s="7"/>
      <c r="W2055" s="7"/>
    </row>
    <row r="2056" spans="1:23" ht="15.75" customHeight="1" x14ac:dyDescent="0.35">
      <c r="A2056" s="256">
        <f>A2054+1</f>
        <v>134</v>
      </c>
      <c r="B2056" s="256">
        <v>3306</v>
      </c>
      <c r="C2056" s="259" t="s">
        <v>117</v>
      </c>
      <c r="D2056" s="262">
        <v>2855.9</v>
      </c>
      <c r="E2056" s="268" t="s">
        <v>71</v>
      </c>
      <c r="F2056" s="268">
        <v>5</v>
      </c>
      <c r="G2056" s="256" t="s">
        <v>72</v>
      </c>
      <c r="H2056" s="159" t="s">
        <v>73</v>
      </c>
      <c r="I2056" s="158">
        <f>I2057</f>
        <v>468367.6</v>
      </c>
      <c r="J2056" s="158">
        <f>J2057</f>
        <v>164</v>
      </c>
      <c r="K2056" s="158">
        <f>K2057</f>
        <v>164</v>
      </c>
      <c r="L2056" s="7"/>
      <c r="M2056" s="7"/>
      <c r="N2056" s="7"/>
      <c r="O2056" s="7"/>
      <c r="P2056" s="7"/>
      <c r="Q2056" s="7"/>
      <c r="R2056" s="7"/>
      <c r="S2056" s="7"/>
      <c r="T2056" s="7"/>
      <c r="U2056" s="7"/>
      <c r="V2056" s="7"/>
      <c r="W2056" s="7"/>
    </row>
    <row r="2057" spans="1:23" ht="46.5" x14ac:dyDescent="0.35">
      <c r="A2057" s="257"/>
      <c r="B2057" s="257"/>
      <c r="C2057" s="260"/>
      <c r="D2057" s="263"/>
      <c r="E2057" s="269"/>
      <c r="F2057" s="273"/>
      <c r="G2057" s="257"/>
      <c r="H2057" s="159" t="s">
        <v>705</v>
      </c>
      <c r="I2057" s="158">
        <f>D2056*K2057</f>
        <v>468367.6</v>
      </c>
      <c r="J2057" s="158">
        <f>I2057/D2056</f>
        <v>164</v>
      </c>
      <c r="K2057" s="158">
        <f>151+13</f>
        <v>164</v>
      </c>
      <c r="L2057" s="7"/>
      <c r="M2057" s="7"/>
      <c r="N2057" s="7"/>
      <c r="O2057" s="7"/>
      <c r="P2057" s="7"/>
      <c r="Q2057" s="7"/>
      <c r="R2057" s="7"/>
      <c r="S2057" s="7"/>
      <c r="T2057" s="7"/>
      <c r="U2057" s="7"/>
      <c r="V2057" s="7"/>
      <c r="W2057" s="7"/>
    </row>
    <row r="2058" spans="1:23" ht="15.75" customHeight="1" x14ac:dyDescent="0.35">
      <c r="A2058" s="256">
        <f>A2056+1</f>
        <v>135</v>
      </c>
      <c r="B2058" s="256">
        <v>3307</v>
      </c>
      <c r="C2058" s="259" t="s">
        <v>118</v>
      </c>
      <c r="D2058" s="262">
        <v>2885.4</v>
      </c>
      <c r="E2058" s="268" t="s">
        <v>71</v>
      </c>
      <c r="F2058" s="268">
        <v>5</v>
      </c>
      <c r="G2058" s="256" t="s">
        <v>72</v>
      </c>
      <c r="H2058" s="159" t="s">
        <v>73</v>
      </c>
      <c r="I2058" s="158">
        <f>I2059</f>
        <v>473205.6</v>
      </c>
      <c r="J2058" s="158">
        <f>J2059</f>
        <v>164</v>
      </c>
      <c r="K2058" s="158">
        <f>K2059</f>
        <v>164</v>
      </c>
      <c r="L2058" s="7"/>
      <c r="M2058" s="7"/>
      <c r="N2058" s="7"/>
      <c r="O2058" s="7"/>
      <c r="P2058" s="7"/>
      <c r="Q2058" s="7"/>
      <c r="R2058" s="7"/>
      <c r="S2058" s="7"/>
      <c r="T2058" s="7"/>
      <c r="U2058" s="7"/>
      <c r="V2058" s="7"/>
      <c r="W2058" s="7"/>
    </row>
    <row r="2059" spans="1:23" ht="46.5" x14ac:dyDescent="0.35">
      <c r="A2059" s="257"/>
      <c r="B2059" s="257"/>
      <c r="C2059" s="260"/>
      <c r="D2059" s="263"/>
      <c r="E2059" s="269"/>
      <c r="F2059" s="273"/>
      <c r="G2059" s="257"/>
      <c r="H2059" s="159" t="s">
        <v>705</v>
      </c>
      <c r="I2059" s="158">
        <f>D2058*K2059</f>
        <v>473205.6</v>
      </c>
      <c r="J2059" s="158">
        <f>I2059/D2058</f>
        <v>164</v>
      </c>
      <c r="K2059" s="158">
        <f>151+13</f>
        <v>164</v>
      </c>
      <c r="L2059" s="7"/>
      <c r="M2059" s="7"/>
      <c r="N2059" s="7"/>
      <c r="O2059" s="7"/>
      <c r="P2059" s="7"/>
      <c r="Q2059" s="7"/>
      <c r="R2059" s="7"/>
      <c r="S2059" s="7"/>
      <c r="T2059" s="7"/>
      <c r="U2059" s="7"/>
      <c r="V2059" s="7"/>
      <c r="W2059" s="7"/>
    </row>
    <row r="2060" spans="1:23" ht="15.75" customHeight="1" x14ac:dyDescent="0.35">
      <c r="A2060" s="256">
        <f>A2058+1</f>
        <v>136</v>
      </c>
      <c r="B2060" s="256">
        <v>3309</v>
      </c>
      <c r="C2060" s="259" t="s">
        <v>585</v>
      </c>
      <c r="D2060" s="262">
        <v>7883.8</v>
      </c>
      <c r="E2060" s="268" t="s">
        <v>75</v>
      </c>
      <c r="F2060" s="268">
        <v>9</v>
      </c>
      <c r="G2060" s="256" t="s">
        <v>77</v>
      </c>
      <c r="H2060" s="159" t="s">
        <v>73</v>
      </c>
      <c r="I2060" s="158">
        <f>I2061</f>
        <v>725309.6</v>
      </c>
      <c r="J2060" s="158">
        <f>J2061</f>
        <v>92</v>
      </c>
      <c r="K2060" s="158">
        <f>K2061</f>
        <v>92</v>
      </c>
      <c r="L2060" s="7"/>
      <c r="M2060" s="7"/>
      <c r="N2060" s="7"/>
      <c r="O2060" s="7"/>
      <c r="P2060" s="7"/>
      <c r="Q2060" s="7"/>
      <c r="R2060" s="7"/>
      <c r="S2060" s="7"/>
      <c r="T2060" s="7"/>
      <c r="U2060" s="7"/>
      <c r="V2060" s="7"/>
      <c r="W2060" s="7"/>
    </row>
    <row r="2061" spans="1:23" ht="31" x14ac:dyDescent="0.35">
      <c r="A2061" s="257"/>
      <c r="B2061" s="257"/>
      <c r="C2061" s="260"/>
      <c r="D2061" s="263"/>
      <c r="E2061" s="269"/>
      <c r="F2061" s="273"/>
      <c r="G2061" s="257"/>
      <c r="H2061" s="159" t="s">
        <v>666</v>
      </c>
      <c r="I2061" s="158">
        <f>D2060*K2061</f>
        <v>725309.6</v>
      </c>
      <c r="J2061" s="158">
        <f>I2061/D2060</f>
        <v>92</v>
      </c>
      <c r="K2061" s="158">
        <f>85+7</f>
        <v>92</v>
      </c>
      <c r="L2061" s="7"/>
      <c r="M2061" s="7"/>
      <c r="N2061" s="7"/>
      <c r="O2061" s="7"/>
      <c r="P2061" s="7"/>
      <c r="Q2061" s="7"/>
      <c r="R2061" s="7"/>
      <c r="S2061" s="7"/>
      <c r="T2061" s="7"/>
      <c r="U2061" s="7"/>
      <c r="V2061" s="7"/>
      <c r="W2061" s="7"/>
    </row>
    <row r="2062" spans="1:23" ht="15.75" customHeight="1" x14ac:dyDescent="0.35">
      <c r="A2062" s="251">
        <f>A2060+1</f>
        <v>137</v>
      </c>
      <c r="B2062" s="251">
        <v>4242</v>
      </c>
      <c r="C2062" s="252" t="s">
        <v>761</v>
      </c>
      <c r="D2062" s="253">
        <v>8994.61</v>
      </c>
      <c r="E2062" s="254" t="s">
        <v>71</v>
      </c>
      <c r="F2062" s="268">
        <v>10</v>
      </c>
      <c r="G2062" s="123"/>
      <c r="H2062" s="159" t="s">
        <v>73</v>
      </c>
      <c r="I2062" s="158">
        <f>I2063+I2064+I2065+I2066</f>
        <v>98320</v>
      </c>
      <c r="J2062" s="158">
        <f>J2063+J2064+J2065+J2066</f>
        <v>10.93</v>
      </c>
      <c r="K2062" s="158">
        <f>K2063+K2064+K2065+K2066</f>
        <v>10.93</v>
      </c>
      <c r="L2062" s="7"/>
      <c r="M2062" s="7"/>
      <c r="N2062" s="7"/>
      <c r="O2062" s="7"/>
      <c r="P2062" s="7"/>
      <c r="Q2062" s="7"/>
      <c r="R2062" s="7"/>
      <c r="S2062" s="7"/>
      <c r="T2062" s="7"/>
      <c r="U2062" s="7"/>
      <c r="V2062" s="7"/>
      <c r="W2062" s="7"/>
    </row>
    <row r="2063" spans="1:23" ht="31" x14ac:dyDescent="0.35">
      <c r="A2063" s="251"/>
      <c r="B2063" s="251"/>
      <c r="C2063" s="252"/>
      <c r="D2063" s="253"/>
      <c r="E2063" s="254"/>
      <c r="F2063" s="269"/>
      <c r="G2063" s="120" t="s">
        <v>673</v>
      </c>
      <c r="H2063" s="159" t="s">
        <v>666</v>
      </c>
      <c r="I2063" s="158">
        <v>24580</v>
      </c>
      <c r="J2063" s="158">
        <f>I2063/D2062</f>
        <v>2.73</v>
      </c>
      <c r="K2063" s="158">
        <f>24580/D2062</f>
        <v>2.73</v>
      </c>
      <c r="L2063" s="7"/>
      <c r="M2063" s="7"/>
      <c r="N2063" s="7"/>
      <c r="O2063" s="7"/>
      <c r="P2063" s="7"/>
      <c r="Q2063" s="7"/>
      <c r="R2063" s="7"/>
      <c r="S2063" s="7"/>
      <c r="T2063" s="7"/>
      <c r="U2063" s="7"/>
      <c r="V2063" s="7"/>
      <c r="W2063" s="7"/>
    </row>
    <row r="2064" spans="1:23" ht="31" x14ac:dyDescent="0.35">
      <c r="A2064" s="251"/>
      <c r="B2064" s="251"/>
      <c r="C2064" s="252"/>
      <c r="D2064" s="253"/>
      <c r="E2064" s="254"/>
      <c r="F2064" s="269"/>
      <c r="G2064" s="120" t="s">
        <v>679</v>
      </c>
      <c r="H2064" s="159" t="s">
        <v>666</v>
      </c>
      <c r="I2064" s="158">
        <v>24580</v>
      </c>
      <c r="J2064" s="158">
        <f>I2064/D2062</f>
        <v>2.73</v>
      </c>
      <c r="K2064" s="158">
        <f>24580/D2062</f>
        <v>2.73</v>
      </c>
      <c r="L2064" s="7"/>
      <c r="M2064" s="7"/>
      <c r="N2064" s="7"/>
      <c r="O2064" s="7"/>
      <c r="P2064" s="7"/>
      <c r="Q2064" s="7"/>
      <c r="R2064" s="7"/>
      <c r="S2064" s="7"/>
      <c r="T2064" s="7"/>
      <c r="U2064" s="7"/>
      <c r="V2064" s="7"/>
      <c r="W2064" s="7"/>
    </row>
    <row r="2065" spans="1:23" ht="31" x14ac:dyDescent="0.35">
      <c r="A2065" s="251"/>
      <c r="B2065" s="251"/>
      <c r="C2065" s="252"/>
      <c r="D2065" s="253"/>
      <c r="E2065" s="254"/>
      <c r="F2065" s="269"/>
      <c r="G2065" s="120" t="s">
        <v>680</v>
      </c>
      <c r="H2065" s="159" t="s">
        <v>666</v>
      </c>
      <c r="I2065" s="158">
        <v>24580</v>
      </c>
      <c r="J2065" s="158">
        <f>I2065/D2062</f>
        <v>2.73</v>
      </c>
      <c r="K2065" s="158">
        <f>24580/D2062</f>
        <v>2.73</v>
      </c>
      <c r="L2065" s="7"/>
      <c r="M2065" s="7"/>
      <c r="N2065" s="7"/>
      <c r="O2065" s="7"/>
      <c r="P2065" s="7"/>
      <c r="Q2065" s="7"/>
      <c r="R2065" s="7"/>
      <c r="S2065" s="7"/>
      <c r="T2065" s="7"/>
      <c r="U2065" s="7"/>
      <c r="V2065" s="7"/>
      <c r="W2065" s="7"/>
    </row>
    <row r="2066" spans="1:23" ht="31" x14ac:dyDescent="0.35">
      <c r="A2066" s="251"/>
      <c r="B2066" s="251"/>
      <c r="C2066" s="252"/>
      <c r="D2066" s="253"/>
      <c r="E2066" s="254"/>
      <c r="F2066" s="269"/>
      <c r="G2066" s="120" t="s">
        <v>681</v>
      </c>
      <c r="H2066" s="159" t="s">
        <v>666</v>
      </c>
      <c r="I2066" s="158">
        <v>24580</v>
      </c>
      <c r="J2066" s="158">
        <f>I2066/D2062+0.01</f>
        <v>2.74</v>
      </c>
      <c r="K2066" s="158">
        <f>24580/D2062+0.01</f>
        <v>2.74</v>
      </c>
      <c r="L2066" s="7"/>
      <c r="M2066" s="7"/>
      <c r="N2066" s="7"/>
      <c r="O2066" s="7"/>
      <c r="P2066" s="7"/>
      <c r="Q2066" s="7"/>
      <c r="R2066" s="7"/>
      <c r="S2066" s="7"/>
      <c r="T2066" s="7"/>
      <c r="U2066" s="7"/>
      <c r="V2066" s="7"/>
      <c r="W2066" s="7"/>
    </row>
    <row r="2067" spans="1:23" ht="15.75" customHeight="1" x14ac:dyDescent="0.35">
      <c r="A2067" s="251">
        <f>A2062+1</f>
        <v>138</v>
      </c>
      <c r="B2067" s="251">
        <v>4292</v>
      </c>
      <c r="C2067" s="252" t="s">
        <v>119</v>
      </c>
      <c r="D2067" s="253">
        <v>3198.2</v>
      </c>
      <c r="E2067" s="254" t="s">
        <v>75</v>
      </c>
      <c r="F2067" s="268">
        <v>5</v>
      </c>
      <c r="G2067" s="251" t="s">
        <v>72</v>
      </c>
      <c r="H2067" s="159" t="s">
        <v>73</v>
      </c>
      <c r="I2067" s="158">
        <f>I2068</f>
        <v>524504.80000000005</v>
      </c>
      <c r="J2067" s="158">
        <f>J2068</f>
        <v>164</v>
      </c>
      <c r="K2067" s="158">
        <f>K2068</f>
        <v>164</v>
      </c>
      <c r="L2067" s="7"/>
      <c r="M2067" s="7"/>
      <c r="N2067" s="7"/>
      <c r="O2067" s="7"/>
      <c r="P2067" s="7"/>
      <c r="Q2067" s="7"/>
      <c r="R2067" s="7"/>
      <c r="S2067" s="7"/>
      <c r="T2067" s="7"/>
      <c r="U2067" s="7"/>
      <c r="V2067" s="7"/>
      <c r="W2067" s="7"/>
    </row>
    <row r="2068" spans="1:23" ht="46.5" x14ac:dyDescent="0.35">
      <c r="A2068" s="251"/>
      <c r="B2068" s="251"/>
      <c r="C2068" s="252"/>
      <c r="D2068" s="253"/>
      <c r="E2068" s="254"/>
      <c r="F2068" s="273"/>
      <c r="G2068" s="251"/>
      <c r="H2068" s="159" t="s">
        <v>705</v>
      </c>
      <c r="I2068" s="158">
        <f>D2067*K2068</f>
        <v>524504.80000000005</v>
      </c>
      <c r="J2068" s="158">
        <f>I2068/D2067</f>
        <v>164</v>
      </c>
      <c r="K2068" s="158">
        <f>151+13</f>
        <v>164</v>
      </c>
      <c r="L2068" s="7"/>
      <c r="M2068" s="7"/>
      <c r="N2068" s="7"/>
      <c r="O2068" s="7"/>
      <c r="P2068" s="7"/>
      <c r="Q2068" s="7"/>
      <c r="R2068" s="7"/>
      <c r="S2068" s="7"/>
      <c r="T2068" s="7"/>
      <c r="U2068" s="7"/>
      <c r="V2068" s="7"/>
      <c r="W2068" s="7"/>
    </row>
    <row r="2069" spans="1:23" ht="15.75" customHeight="1" x14ac:dyDescent="0.35">
      <c r="A2069" s="251">
        <f>A2067+1</f>
        <v>139</v>
      </c>
      <c r="B2069" s="251">
        <v>4347</v>
      </c>
      <c r="C2069" s="252" t="s">
        <v>120</v>
      </c>
      <c r="D2069" s="253">
        <v>4495.8999999999996</v>
      </c>
      <c r="E2069" s="254" t="s">
        <v>75</v>
      </c>
      <c r="F2069" s="268">
        <v>5</v>
      </c>
      <c r="G2069" s="251" t="s">
        <v>72</v>
      </c>
      <c r="H2069" s="159" t="s">
        <v>73</v>
      </c>
      <c r="I2069" s="158">
        <f>I2070</f>
        <v>312205.44</v>
      </c>
      <c r="J2069" s="158">
        <f>J2070</f>
        <v>69.44</v>
      </c>
      <c r="K2069" s="158">
        <f>K2070</f>
        <v>164</v>
      </c>
      <c r="L2069" s="7"/>
      <c r="M2069" s="7"/>
      <c r="N2069" s="7"/>
      <c r="O2069" s="7"/>
      <c r="P2069" s="7"/>
      <c r="Q2069" s="7"/>
      <c r="R2069" s="7"/>
      <c r="S2069" s="7"/>
      <c r="T2069" s="7"/>
      <c r="U2069" s="7"/>
      <c r="V2069" s="7"/>
      <c r="W2069" s="7"/>
    </row>
    <row r="2070" spans="1:23" ht="46.5" x14ac:dyDescent="0.35">
      <c r="A2070" s="251"/>
      <c r="B2070" s="251"/>
      <c r="C2070" s="252"/>
      <c r="D2070" s="253"/>
      <c r="E2070" s="254"/>
      <c r="F2070" s="273"/>
      <c r="G2070" s="251"/>
      <c r="H2070" s="159" t="s">
        <v>705</v>
      </c>
      <c r="I2070" s="158">
        <f>253758.74+D2069*13</f>
        <v>312205.44</v>
      </c>
      <c r="J2070" s="158">
        <f>I2070/D2069</f>
        <v>69.44</v>
      </c>
      <c r="K2070" s="158">
        <f>151+13</f>
        <v>164</v>
      </c>
      <c r="L2070" s="7"/>
      <c r="M2070" s="7"/>
      <c r="N2070" s="7"/>
      <c r="O2070" s="7"/>
      <c r="P2070" s="7"/>
      <c r="Q2070" s="7"/>
      <c r="R2070" s="7"/>
      <c r="S2070" s="7"/>
      <c r="T2070" s="7"/>
      <c r="U2070" s="7"/>
      <c r="V2070" s="7"/>
      <c r="W2070" s="7"/>
    </row>
    <row r="2071" spans="1:23" ht="15.75" customHeight="1" x14ac:dyDescent="0.35">
      <c r="A2071" s="256">
        <f>A2069+1</f>
        <v>140</v>
      </c>
      <c r="B2071" s="256">
        <v>3198</v>
      </c>
      <c r="C2071" s="259" t="s">
        <v>586</v>
      </c>
      <c r="D2071" s="262">
        <v>2619.1</v>
      </c>
      <c r="E2071" s="262" t="s">
        <v>71</v>
      </c>
      <c r="F2071" s="265">
        <v>5</v>
      </c>
      <c r="G2071" s="256" t="s">
        <v>72</v>
      </c>
      <c r="H2071" s="159" t="s">
        <v>73</v>
      </c>
      <c r="I2071" s="158">
        <f>I2072</f>
        <v>429532.4</v>
      </c>
      <c r="J2071" s="158">
        <f>J2072</f>
        <v>164</v>
      </c>
      <c r="K2071" s="158">
        <f>K2072</f>
        <v>164</v>
      </c>
      <c r="L2071" s="7"/>
      <c r="M2071" s="7"/>
      <c r="N2071" s="7"/>
      <c r="O2071" s="7"/>
      <c r="P2071" s="7"/>
      <c r="Q2071" s="7"/>
      <c r="R2071" s="7"/>
      <c r="S2071" s="7"/>
      <c r="T2071" s="7"/>
      <c r="U2071" s="7"/>
      <c r="V2071" s="7"/>
      <c r="W2071" s="7"/>
    </row>
    <row r="2072" spans="1:23" ht="46.5" x14ac:dyDescent="0.35">
      <c r="A2072" s="257"/>
      <c r="B2072" s="257"/>
      <c r="C2072" s="260"/>
      <c r="D2072" s="263"/>
      <c r="E2072" s="263"/>
      <c r="F2072" s="266"/>
      <c r="G2072" s="257"/>
      <c r="H2072" s="159" t="s">
        <v>705</v>
      </c>
      <c r="I2072" s="158">
        <f>D2071*K2072</f>
        <v>429532.4</v>
      </c>
      <c r="J2072" s="158">
        <f>I2072/D2071</f>
        <v>164</v>
      </c>
      <c r="K2072" s="158">
        <f>151+13</f>
        <v>164</v>
      </c>
      <c r="L2072" s="7"/>
      <c r="M2072" s="7"/>
      <c r="N2072" s="7"/>
      <c r="O2072" s="7"/>
      <c r="P2072" s="7"/>
      <c r="Q2072" s="7"/>
      <c r="R2072" s="7"/>
      <c r="S2072" s="7"/>
      <c r="T2072" s="7"/>
      <c r="U2072" s="7"/>
      <c r="V2072" s="7"/>
      <c r="W2072" s="7"/>
    </row>
    <row r="2073" spans="1:23" ht="15.75" customHeight="1" x14ac:dyDescent="0.35">
      <c r="A2073" s="251">
        <f>A2071+1</f>
        <v>141</v>
      </c>
      <c r="B2073" s="251">
        <v>3200</v>
      </c>
      <c r="C2073" s="252" t="s">
        <v>121</v>
      </c>
      <c r="D2073" s="253">
        <v>1603.2</v>
      </c>
      <c r="E2073" s="254" t="s">
        <v>75</v>
      </c>
      <c r="F2073" s="268">
        <v>5</v>
      </c>
      <c r="G2073" s="251" t="s">
        <v>72</v>
      </c>
      <c r="H2073" s="159" t="s">
        <v>73</v>
      </c>
      <c r="I2073" s="158">
        <f>I2074</f>
        <v>262924.79999999999</v>
      </c>
      <c r="J2073" s="158">
        <f>J2074</f>
        <v>164</v>
      </c>
      <c r="K2073" s="158">
        <f>K2074</f>
        <v>164</v>
      </c>
      <c r="L2073" s="7"/>
      <c r="M2073" s="7"/>
      <c r="N2073" s="7"/>
      <c r="O2073" s="7"/>
      <c r="P2073" s="7"/>
      <c r="Q2073" s="7"/>
      <c r="R2073" s="7"/>
      <c r="S2073" s="7"/>
      <c r="T2073" s="7"/>
      <c r="U2073" s="7"/>
      <c r="V2073" s="7"/>
      <c r="W2073" s="7"/>
    </row>
    <row r="2074" spans="1:23" ht="46.5" x14ac:dyDescent="0.35">
      <c r="A2074" s="251"/>
      <c r="B2074" s="251"/>
      <c r="C2074" s="252"/>
      <c r="D2074" s="253"/>
      <c r="E2074" s="254"/>
      <c r="F2074" s="273"/>
      <c r="G2074" s="251"/>
      <c r="H2074" s="159" t="s">
        <v>705</v>
      </c>
      <c r="I2074" s="158">
        <f>D2073*K2074</f>
        <v>262924.79999999999</v>
      </c>
      <c r="J2074" s="158">
        <f>I2074/D2073</f>
        <v>164</v>
      </c>
      <c r="K2074" s="158">
        <f>151+13</f>
        <v>164</v>
      </c>
      <c r="L2074" s="7"/>
      <c r="M2074" s="7"/>
      <c r="N2074" s="7"/>
      <c r="O2074" s="7"/>
      <c r="P2074" s="7"/>
      <c r="Q2074" s="7"/>
      <c r="R2074" s="7"/>
      <c r="S2074" s="7"/>
      <c r="T2074" s="7"/>
      <c r="U2074" s="7"/>
      <c r="V2074" s="7"/>
      <c r="W2074" s="7"/>
    </row>
    <row r="2075" spans="1:23" ht="15.75" customHeight="1" x14ac:dyDescent="0.35">
      <c r="A2075" s="256">
        <f>A2073+1</f>
        <v>142</v>
      </c>
      <c r="B2075" s="256">
        <v>3204</v>
      </c>
      <c r="C2075" s="259" t="s">
        <v>587</v>
      </c>
      <c r="D2075" s="262">
        <v>2626.3</v>
      </c>
      <c r="E2075" s="268" t="s">
        <v>71</v>
      </c>
      <c r="F2075" s="268">
        <v>5</v>
      </c>
      <c r="G2075" s="256" t="s">
        <v>72</v>
      </c>
      <c r="H2075" s="159" t="s">
        <v>73</v>
      </c>
      <c r="I2075" s="158">
        <f>I2076</f>
        <v>430713.2</v>
      </c>
      <c r="J2075" s="158">
        <f>J2076</f>
        <v>164</v>
      </c>
      <c r="K2075" s="158">
        <f>K2076</f>
        <v>164</v>
      </c>
      <c r="L2075" s="7"/>
      <c r="M2075" s="7"/>
      <c r="N2075" s="7"/>
      <c r="O2075" s="7"/>
      <c r="P2075" s="7"/>
      <c r="Q2075" s="7"/>
      <c r="R2075" s="7"/>
      <c r="S2075" s="7"/>
      <c r="T2075" s="7"/>
      <c r="U2075" s="7"/>
      <c r="V2075" s="7"/>
      <c r="W2075" s="7"/>
    </row>
    <row r="2076" spans="1:23" ht="46.5" x14ac:dyDescent="0.35">
      <c r="A2076" s="257"/>
      <c r="B2076" s="257"/>
      <c r="C2076" s="260"/>
      <c r="D2076" s="263"/>
      <c r="E2076" s="269"/>
      <c r="F2076" s="273"/>
      <c r="G2076" s="257"/>
      <c r="H2076" s="159" t="s">
        <v>705</v>
      </c>
      <c r="I2076" s="158">
        <f>D2075*K2076</f>
        <v>430713.2</v>
      </c>
      <c r="J2076" s="158">
        <f>I2076/D2075</f>
        <v>164</v>
      </c>
      <c r="K2076" s="158">
        <f>151+13</f>
        <v>164</v>
      </c>
      <c r="L2076" s="7"/>
      <c r="M2076" s="7"/>
      <c r="N2076" s="7"/>
      <c r="O2076" s="7"/>
      <c r="P2076" s="7"/>
      <c r="Q2076" s="7"/>
      <c r="R2076" s="7"/>
      <c r="S2076" s="7"/>
      <c r="T2076" s="7"/>
      <c r="U2076" s="7"/>
      <c r="V2076" s="7"/>
      <c r="W2076" s="7"/>
    </row>
    <row r="2077" spans="1:23" ht="15.75" customHeight="1" x14ac:dyDescent="0.35">
      <c r="A2077" s="256">
        <f>A2075+1</f>
        <v>143</v>
      </c>
      <c r="B2077" s="256">
        <v>3340</v>
      </c>
      <c r="C2077" s="259" t="s">
        <v>762</v>
      </c>
      <c r="D2077" s="262">
        <v>6156.86</v>
      </c>
      <c r="E2077" s="268" t="s">
        <v>71</v>
      </c>
      <c r="F2077" s="268">
        <v>9</v>
      </c>
      <c r="G2077" s="144"/>
      <c r="H2077" s="159" t="s">
        <v>73</v>
      </c>
      <c r="I2077" s="158">
        <f>I2078+I2079+I2080</f>
        <v>357097.88</v>
      </c>
      <c r="J2077" s="158">
        <f>J2078+J2079+J2080</f>
        <v>58</v>
      </c>
      <c r="K2077" s="158">
        <f>K2078+K2079+K2080</f>
        <v>58</v>
      </c>
      <c r="L2077" s="7"/>
      <c r="M2077" s="7"/>
      <c r="N2077" s="7"/>
      <c r="O2077" s="7"/>
      <c r="P2077" s="7"/>
      <c r="Q2077" s="7"/>
      <c r="R2077" s="7"/>
      <c r="S2077" s="7"/>
      <c r="T2077" s="7"/>
      <c r="U2077" s="7"/>
      <c r="V2077" s="7"/>
      <c r="W2077" s="7"/>
    </row>
    <row r="2078" spans="1:23" ht="31" x14ac:dyDescent="0.35">
      <c r="A2078" s="257"/>
      <c r="B2078" s="257"/>
      <c r="C2078" s="260"/>
      <c r="D2078" s="263"/>
      <c r="E2078" s="269"/>
      <c r="F2078" s="269"/>
      <c r="G2078" s="120" t="s">
        <v>90</v>
      </c>
      <c r="H2078" s="159" t="s">
        <v>666</v>
      </c>
      <c r="I2078" s="158">
        <f>D2077*K2078</f>
        <v>123137.2</v>
      </c>
      <c r="J2078" s="158">
        <f>I2078/D2077</f>
        <v>20</v>
      </c>
      <c r="K2078" s="158">
        <f>18+2</f>
        <v>20</v>
      </c>
      <c r="L2078" s="7"/>
      <c r="M2078" s="7"/>
      <c r="N2078" s="7"/>
      <c r="O2078" s="7"/>
      <c r="P2078" s="7"/>
      <c r="Q2078" s="7"/>
      <c r="R2078" s="7"/>
      <c r="S2078" s="7"/>
      <c r="T2078" s="7"/>
      <c r="U2078" s="7"/>
      <c r="V2078" s="7"/>
      <c r="W2078" s="7"/>
    </row>
    <row r="2079" spans="1:23" ht="46.5" x14ac:dyDescent="0.35">
      <c r="A2079" s="257"/>
      <c r="B2079" s="257"/>
      <c r="C2079" s="260"/>
      <c r="D2079" s="263"/>
      <c r="E2079" s="269"/>
      <c r="F2079" s="269"/>
      <c r="G2079" s="120" t="s">
        <v>78</v>
      </c>
      <c r="H2079" s="159" t="s">
        <v>666</v>
      </c>
      <c r="I2079" s="158">
        <f>D2077*K2079</f>
        <v>129294.06</v>
      </c>
      <c r="J2079" s="158">
        <f>I2079/D2077</f>
        <v>21</v>
      </c>
      <c r="K2079" s="158">
        <f>19+2</f>
        <v>21</v>
      </c>
      <c r="L2079" s="7"/>
      <c r="M2079" s="7"/>
      <c r="N2079" s="7"/>
      <c r="O2079" s="7"/>
      <c r="P2079" s="7"/>
      <c r="Q2079" s="7"/>
      <c r="R2079" s="7"/>
      <c r="S2079" s="7"/>
      <c r="T2079" s="7"/>
      <c r="U2079" s="7"/>
      <c r="V2079" s="7"/>
      <c r="W2079" s="7"/>
    </row>
    <row r="2080" spans="1:23" ht="34.5" customHeight="1" x14ac:dyDescent="0.35">
      <c r="A2080" s="257"/>
      <c r="B2080" s="257"/>
      <c r="C2080" s="260"/>
      <c r="D2080" s="263"/>
      <c r="E2080" s="269"/>
      <c r="F2080" s="269"/>
      <c r="G2080" s="120" t="s">
        <v>79</v>
      </c>
      <c r="H2080" s="159" t="s">
        <v>666</v>
      </c>
      <c r="I2080" s="158">
        <f>D2077*K2080</f>
        <v>104666.62</v>
      </c>
      <c r="J2080" s="158">
        <f>I2080/D2077</f>
        <v>17</v>
      </c>
      <c r="K2080" s="158">
        <f>16+1</f>
        <v>17</v>
      </c>
      <c r="L2080" s="7"/>
      <c r="M2080" s="7"/>
      <c r="N2080" s="7"/>
      <c r="O2080" s="7"/>
      <c r="P2080" s="7"/>
      <c r="Q2080" s="7"/>
      <c r="R2080" s="7"/>
      <c r="S2080" s="7"/>
      <c r="T2080" s="7"/>
      <c r="U2080" s="7"/>
      <c r="V2080" s="7"/>
      <c r="W2080" s="7"/>
    </row>
    <row r="2081" spans="1:23" ht="15.75" customHeight="1" x14ac:dyDescent="0.35">
      <c r="A2081" s="256">
        <f>A2077+1</f>
        <v>144</v>
      </c>
      <c r="B2081" s="256">
        <v>3359</v>
      </c>
      <c r="C2081" s="259" t="s">
        <v>588</v>
      </c>
      <c r="D2081" s="262">
        <v>3598</v>
      </c>
      <c r="E2081" s="268" t="s">
        <v>75</v>
      </c>
      <c r="F2081" s="268">
        <v>5</v>
      </c>
      <c r="G2081" s="256" t="s">
        <v>72</v>
      </c>
      <c r="H2081" s="159" t="s">
        <v>73</v>
      </c>
      <c r="I2081" s="158">
        <f>I2082</f>
        <v>590072</v>
      </c>
      <c r="J2081" s="158">
        <f>J2082</f>
        <v>164</v>
      </c>
      <c r="K2081" s="158">
        <f>K2082</f>
        <v>164</v>
      </c>
      <c r="L2081" s="7"/>
      <c r="M2081" s="7"/>
      <c r="N2081" s="7"/>
      <c r="O2081" s="7"/>
      <c r="P2081" s="7"/>
      <c r="Q2081" s="7"/>
      <c r="R2081" s="7"/>
      <c r="S2081" s="7"/>
      <c r="T2081" s="7"/>
      <c r="U2081" s="7"/>
      <c r="V2081" s="7"/>
      <c r="W2081" s="7"/>
    </row>
    <row r="2082" spans="1:23" ht="46.5" x14ac:dyDescent="0.35">
      <c r="A2082" s="257"/>
      <c r="B2082" s="257"/>
      <c r="C2082" s="260"/>
      <c r="D2082" s="263"/>
      <c r="E2082" s="269"/>
      <c r="F2082" s="269"/>
      <c r="G2082" s="257"/>
      <c r="H2082" s="159" t="s">
        <v>705</v>
      </c>
      <c r="I2082" s="158">
        <f>D2081*K2082</f>
        <v>590072</v>
      </c>
      <c r="J2082" s="158">
        <f>I2082/D2081</f>
        <v>164</v>
      </c>
      <c r="K2082" s="158">
        <f>151+13</f>
        <v>164</v>
      </c>
      <c r="L2082" s="7"/>
      <c r="M2082" s="7"/>
      <c r="N2082" s="7"/>
      <c r="O2082" s="7"/>
      <c r="P2082" s="7"/>
      <c r="Q2082" s="7"/>
      <c r="R2082" s="7"/>
      <c r="S2082" s="7"/>
      <c r="T2082" s="7"/>
      <c r="U2082" s="7"/>
      <c r="V2082" s="7"/>
      <c r="W2082" s="7"/>
    </row>
    <row r="2083" spans="1:23" ht="15.75" customHeight="1" x14ac:dyDescent="0.35">
      <c r="A2083" s="251">
        <f>A2081+1</f>
        <v>145</v>
      </c>
      <c r="B2083" s="251">
        <v>3091</v>
      </c>
      <c r="C2083" s="252" t="s">
        <v>122</v>
      </c>
      <c r="D2083" s="253">
        <v>2709.9</v>
      </c>
      <c r="E2083" s="254" t="s">
        <v>71</v>
      </c>
      <c r="F2083" s="268">
        <v>5</v>
      </c>
      <c r="G2083" s="251" t="s">
        <v>72</v>
      </c>
      <c r="H2083" s="159" t="s">
        <v>73</v>
      </c>
      <c r="I2083" s="158">
        <f>I2084</f>
        <v>444423.6</v>
      </c>
      <c r="J2083" s="158">
        <f>J2084</f>
        <v>164</v>
      </c>
      <c r="K2083" s="158">
        <f>K2084</f>
        <v>164</v>
      </c>
      <c r="L2083" s="7"/>
      <c r="M2083" s="7"/>
      <c r="N2083" s="7"/>
      <c r="O2083" s="7"/>
      <c r="P2083" s="7"/>
      <c r="Q2083" s="7"/>
      <c r="R2083" s="7"/>
      <c r="S2083" s="7"/>
      <c r="T2083" s="7"/>
      <c r="U2083" s="7"/>
      <c r="V2083" s="7"/>
      <c r="W2083" s="7"/>
    </row>
    <row r="2084" spans="1:23" ht="46.5" x14ac:dyDescent="0.35">
      <c r="A2084" s="251"/>
      <c r="B2084" s="251"/>
      <c r="C2084" s="252"/>
      <c r="D2084" s="253"/>
      <c r="E2084" s="254"/>
      <c r="F2084" s="273"/>
      <c r="G2084" s="251"/>
      <c r="H2084" s="159" t="s">
        <v>705</v>
      </c>
      <c r="I2084" s="158">
        <f>D2083*K2084</f>
        <v>444423.6</v>
      </c>
      <c r="J2084" s="158">
        <f>I2084/D2083</f>
        <v>164</v>
      </c>
      <c r="K2084" s="158">
        <f>151+13</f>
        <v>164</v>
      </c>
      <c r="L2084" s="7"/>
      <c r="M2084" s="7"/>
      <c r="N2084" s="7"/>
      <c r="O2084" s="7"/>
      <c r="P2084" s="7"/>
      <c r="Q2084" s="7"/>
      <c r="R2084" s="7"/>
      <c r="S2084" s="7"/>
      <c r="T2084" s="7"/>
      <c r="U2084" s="7"/>
      <c r="V2084" s="7"/>
      <c r="W2084" s="7"/>
    </row>
    <row r="2085" spans="1:23" ht="15.75" customHeight="1" x14ac:dyDescent="0.35">
      <c r="A2085" s="256">
        <f>A2083+1</f>
        <v>146</v>
      </c>
      <c r="B2085" s="256">
        <v>3278</v>
      </c>
      <c r="C2085" s="259" t="s">
        <v>370</v>
      </c>
      <c r="D2085" s="279">
        <v>4404.5</v>
      </c>
      <c r="E2085" s="276" t="s">
        <v>71</v>
      </c>
      <c r="F2085" s="276">
        <v>5</v>
      </c>
      <c r="G2085" s="123"/>
      <c r="H2085" s="159" t="s">
        <v>73</v>
      </c>
      <c r="I2085" s="158">
        <f>SUM(I2086:I2094)</f>
        <v>10058552.25</v>
      </c>
      <c r="J2085" s="158">
        <f>SUM(J2086:J2094)</f>
        <v>2283.6999999999998</v>
      </c>
      <c r="K2085" s="158">
        <f>SUM(K2086:K2094)</f>
        <v>3677</v>
      </c>
      <c r="L2085" s="7"/>
      <c r="M2085" s="7"/>
      <c r="N2085" s="7"/>
      <c r="O2085" s="7"/>
      <c r="P2085" s="7"/>
      <c r="Q2085" s="7"/>
      <c r="R2085" s="7"/>
      <c r="S2085" s="7"/>
      <c r="T2085" s="7"/>
      <c r="U2085" s="7"/>
      <c r="V2085" s="7"/>
      <c r="W2085" s="7"/>
    </row>
    <row r="2086" spans="1:23" x14ac:dyDescent="0.35">
      <c r="A2086" s="257"/>
      <c r="B2086" s="257"/>
      <c r="C2086" s="260"/>
      <c r="D2086" s="280"/>
      <c r="E2086" s="277"/>
      <c r="F2086" s="277"/>
      <c r="G2086" s="251" t="s">
        <v>77</v>
      </c>
      <c r="H2086" s="159" t="s">
        <v>74</v>
      </c>
      <c r="I2086" s="158">
        <f>9006597.78*0.7</f>
        <v>6304618.4500000002</v>
      </c>
      <c r="J2086" s="158">
        <f>I2086/D2085+0.01</f>
        <v>1431.41</v>
      </c>
      <c r="K2086" s="158">
        <v>2119</v>
      </c>
      <c r="L2086" s="7"/>
      <c r="M2086" s="7"/>
      <c r="N2086" s="7"/>
      <c r="O2086" s="7"/>
      <c r="P2086" s="7"/>
      <c r="Q2086" s="7"/>
      <c r="R2086" s="7"/>
      <c r="S2086" s="7"/>
      <c r="T2086" s="7"/>
      <c r="U2086" s="7"/>
      <c r="V2086" s="7"/>
      <c r="W2086" s="7"/>
    </row>
    <row r="2087" spans="1:23" x14ac:dyDescent="0.35">
      <c r="A2087" s="257"/>
      <c r="B2087" s="257"/>
      <c r="C2087" s="260"/>
      <c r="D2087" s="280"/>
      <c r="E2087" s="277"/>
      <c r="F2087" s="277"/>
      <c r="G2087" s="251"/>
      <c r="H2087" s="159" t="s">
        <v>76</v>
      </c>
      <c r="I2087" s="158">
        <f>9006597.78*0.0214</f>
        <v>192741.19</v>
      </c>
      <c r="J2087" s="158">
        <f>I2087/D2085</f>
        <v>43.76</v>
      </c>
      <c r="K2087" s="158">
        <v>45</v>
      </c>
      <c r="L2087" s="7"/>
      <c r="M2087" s="7"/>
      <c r="N2087" s="7"/>
      <c r="O2087" s="7"/>
      <c r="P2087" s="7"/>
      <c r="Q2087" s="7"/>
      <c r="R2087" s="7"/>
      <c r="S2087" s="7"/>
      <c r="T2087" s="7"/>
      <c r="U2087" s="7"/>
      <c r="V2087" s="7"/>
      <c r="W2087" s="7"/>
    </row>
    <row r="2088" spans="1:23" x14ac:dyDescent="0.35">
      <c r="A2088" s="257"/>
      <c r="B2088" s="257"/>
      <c r="C2088" s="260"/>
      <c r="D2088" s="280"/>
      <c r="E2088" s="277"/>
      <c r="F2088" s="277"/>
      <c r="G2088" s="251" t="s">
        <v>78</v>
      </c>
      <c r="H2088" s="159" t="s">
        <v>74</v>
      </c>
      <c r="I2088" s="158">
        <f>939332.77*0.7</f>
        <v>657532.93999999994</v>
      </c>
      <c r="J2088" s="158">
        <f>I2088/D2085</f>
        <v>149.29</v>
      </c>
      <c r="K2088" s="158">
        <v>463</v>
      </c>
      <c r="L2088" s="7"/>
      <c r="M2088" s="7"/>
      <c r="N2088" s="7"/>
      <c r="O2088" s="7"/>
      <c r="P2088" s="7"/>
      <c r="Q2088" s="7"/>
      <c r="R2088" s="7"/>
      <c r="S2088" s="7"/>
      <c r="T2088" s="7"/>
      <c r="U2088" s="7"/>
      <c r="V2088" s="7"/>
      <c r="W2088" s="7"/>
    </row>
    <row r="2089" spans="1:23" x14ac:dyDescent="0.35">
      <c r="A2089" s="257"/>
      <c r="B2089" s="257"/>
      <c r="C2089" s="260"/>
      <c r="D2089" s="280"/>
      <c r="E2089" s="277"/>
      <c r="F2089" s="277"/>
      <c r="G2089" s="251"/>
      <c r="H2089" s="159" t="s">
        <v>76</v>
      </c>
      <c r="I2089" s="158">
        <f>939332.77*0.0214</f>
        <v>20101.72</v>
      </c>
      <c r="J2089" s="158">
        <f>I2089/D2085</f>
        <v>4.5599999999999996</v>
      </c>
      <c r="K2089" s="158">
        <v>10</v>
      </c>
      <c r="L2089" s="7"/>
      <c r="M2089" s="7"/>
      <c r="N2089" s="7"/>
      <c r="O2089" s="7"/>
      <c r="P2089" s="7"/>
      <c r="Q2089" s="7"/>
      <c r="R2089" s="7"/>
      <c r="S2089" s="7"/>
      <c r="T2089" s="7"/>
      <c r="U2089" s="7"/>
      <c r="V2089" s="7"/>
      <c r="W2089" s="7"/>
    </row>
    <row r="2090" spans="1:23" x14ac:dyDescent="0.35">
      <c r="A2090" s="257"/>
      <c r="B2090" s="257"/>
      <c r="C2090" s="260"/>
      <c r="D2090" s="280"/>
      <c r="E2090" s="277"/>
      <c r="F2090" s="277"/>
      <c r="G2090" s="251" t="s">
        <v>79</v>
      </c>
      <c r="H2090" s="159" t="s">
        <v>74</v>
      </c>
      <c r="I2090" s="158">
        <f>1801440.5*0.7</f>
        <v>1261008.3500000001</v>
      </c>
      <c r="J2090" s="158">
        <f>I2090/D2085</f>
        <v>286.3</v>
      </c>
      <c r="K2090" s="158">
        <v>409</v>
      </c>
      <c r="L2090" s="7"/>
      <c r="M2090" s="7"/>
      <c r="N2090" s="7"/>
      <c r="O2090" s="7"/>
      <c r="P2090" s="7"/>
      <c r="Q2090" s="7"/>
      <c r="R2090" s="7"/>
      <c r="S2090" s="7"/>
      <c r="T2090" s="7"/>
      <c r="U2090" s="7"/>
      <c r="V2090" s="7"/>
      <c r="W2090" s="7"/>
    </row>
    <row r="2091" spans="1:23" x14ac:dyDescent="0.35">
      <c r="A2091" s="257"/>
      <c r="B2091" s="257"/>
      <c r="C2091" s="260"/>
      <c r="D2091" s="280"/>
      <c r="E2091" s="277"/>
      <c r="F2091" s="277"/>
      <c r="G2091" s="251"/>
      <c r="H2091" s="159" t="s">
        <v>76</v>
      </c>
      <c r="I2091" s="158">
        <f>1801440.5*0.0214</f>
        <v>38550.83</v>
      </c>
      <c r="J2091" s="158">
        <f>I2091/D2085</f>
        <v>8.75</v>
      </c>
      <c r="K2091" s="158">
        <v>9</v>
      </c>
      <c r="L2091" s="7"/>
      <c r="M2091" s="7"/>
      <c r="N2091" s="7"/>
      <c r="O2091" s="7"/>
      <c r="P2091" s="7"/>
      <c r="Q2091" s="7"/>
      <c r="R2091" s="7"/>
      <c r="S2091" s="7"/>
      <c r="T2091" s="7"/>
      <c r="U2091" s="7"/>
      <c r="V2091" s="7"/>
      <c r="W2091" s="7"/>
    </row>
    <row r="2092" spans="1:23" x14ac:dyDescent="0.35">
      <c r="A2092" s="257"/>
      <c r="B2092" s="257"/>
      <c r="C2092" s="260"/>
      <c r="D2092" s="280"/>
      <c r="E2092" s="277"/>
      <c r="F2092" s="277"/>
      <c r="G2092" s="251" t="s">
        <v>90</v>
      </c>
      <c r="H2092" s="159" t="s">
        <v>74</v>
      </c>
      <c r="I2092" s="158">
        <f>1194428.57*0.7</f>
        <v>836100</v>
      </c>
      <c r="J2092" s="158">
        <f>I2092/D2085</f>
        <v>189.83</v>
      </c>
      <c r="K2092" s="158">
        <v>448</v>
      </c>
      <c r="L2092" s="7"/>
      <c r="M2092" s="7"/>
      <c r="N2092" s="7"/>
      <c r="O2092" s="7"/>
      <c r="P2092" s="7"/>
      <c r="Q2092" s="7"/>
      <c r="R2092" s="7"/>
      <c r="S2092" s="7"/>
      <c r="T2092" s="7"/>
      <c r="U2092" s="7"/>
      <c r="V2092" s="7"/>
      <c r="W2092" s="7"/>
    </row>
    <row r="2093" spans="1:23" x14ac:dyDescent="0.35">
      <c r="A2093" s="257"/>
      <c r="B2093" s="257"/>
      <c r="C2093" s="260"/>
      <c r="D2093" s="280"/>
      <c r="E2093" s="277"/>
      <c r="F2093" s="277"/>
      <c r="G2093" s="251"/>
      <c r="H2093" s="159" t="s">
        <v>76</v>
      </c>
      <c r="I2093" s="158">
        <f>1194428.57*0.0214</f>
        <v>25560.77</v>
      </c>
      <c r="J2093" s="158">
        <f>I2093/D2085</f>
        <v>5.8</v>
      </c>
      <c r="K2093" s="158">
        <v>10</v>
      </c>
      <c r="L2093" s="7"/>
      <c r="M2093" s="7"/>
      <c r="N2093" s="7"/>
      <c r="O2093" s="7"/>
      <c r="P2093" s="7"/>
      <c r="Q2093" s="7"/>
      <c r="R2093" s="7"/>
      <c r="S2093" s="7"/>
      <c r="T2093" s="7"/>
      <c r="U2093" s="7"/>
      <c r="V2093" s="7"/>
      <c r="W2093" s="7"/>
    </row>
    <row r="2094" spans="1:23" ht="46.5" x14ac:dyDescent="0.35">
      <c r="A2094" s="258"/>
      <c r="B2094" s="258"/>
      <c r="C2094" s="261"/>
      <c r="D2094" s="281"/>
      <c r="E2094" s="278"/>
      <c r="F2094" s="278"/>
      <c r="G2094" s="123" t="s">
        <v>72</v>
      </c>
      <c r="H2094" s="159" t="s">
        <v>705</v>
      </c>
      <c r="I2094" s="158">
        <f>D2085*K2094</f>
        <v>722338</v>
      </c>
      <c r="J2094" s="158">
        <f>I2094/D2085</f>
        <v>164</v>
      </c>
      <c r="K2094" s="158">
        <f>151+13</f>
        <v>164</v>
      </c>
      <c r="L2094" s="7"/>
      <c r="M2094" s="7"/>
      <c r="N2094" s="7"/>
      <c r="O2094" s="7"/>
      <c r="P2094" s="7"/>
      <c r="Q2094" s="7"/>
      <c r="R2094" s="7"/>
      <c r="S2094" s="7"/>
      <c r="T2094" s="7"/>
      <c r="U2094" s="7"/>
      <c r="V2094" s="7"/>
      <c r="W2094" s="7"/>
    </row>
    <row r="2095" spans="1:23" ht="15.75" customHeight="1" x14ac:dyDescent="0.35">
      <c r="A2095" s="256">
        <f>A2085+1</f>
        <v>147</v>
      </c>
      <c r="B2095" s="256">
        <v>3280</v>
      </c>
      <c r="C2095" s="259" t="s">
        <v>372</v>
      </c>
      <c r="D2095" s="279">
        <v>4328.8</v>
      </c>
      <c r="E2095" s="276" t="s">
        <v>71</v>
      </c>
      <c r="F2095" s="276">
        <v>5</v>
      </c>
      <c r="G2095" s="123"/>
      <c r="H2095" s="159" t="s">
        <v>73</v>
      </c>
      <c r="I2095" s="158">
        <f>SUM(I2096:I2104)</f>
        <v>15916997.6</v>
      </c>
      <c r="J2095" s="158">
        <f>SUM(J2096:J2104)</f>
        <v>3677</v>
      </c>
      <c r="K2095" s="158">
        <f>SUM(K2096:K2104)</f>
        <v>3677</v>
      </c>
      <c r="L2095" s="7"/>
      <c r="M2095" s="7"/>
      <c r="N2095" s="7"/>
      <c r="O2095" s="7"/>
      <c r="P2095" s="7"/>
      <c r="Q2095" s="7"/>
      <c r="R2095" s="7"/>
      <c r="S2095" s="7"/>
      <c r="T2095" s="7"/>
      <c r="U2095" s="7"/>
      <c r="V2095" s="7"/>
      <c r="W2095" s="7"/>
    </row>
    <row r="2096" spans="1:23" x14ac:dyDescent="0.35">
      <c r="A2096" s="257"/>
      <c r="B2096" s="257"/>
      <c r="C2096" s="260"/>
      <c r="D2096" s="280"/>
      <c r="E2096" s="277"/>
      <c r="F2096" s="277"/>
      <c r="G2096" s="251" t="s">
        <v>77</v>
      </c>
      <c r="H2096" s="159" t="s">
        <v>74</v>
      </c>
      <c r="I2096" s="158">
        <f>K2096*D2095</f>
        <v>9172727.1999999993</v>
      </c>
      <c r="J2096" s="158">
        <f>I2096/D2095</f>
        <v>2119</v>
      </c>
      <c r="K2096" s="158">
        <v>2119</v>
      </c>
      <c r="L2096" s="7"/>
      <c r="M2096" s="7"/>
      <c r="N2096" s="7"/>
      <c r="O2096" s="7"/>
      <c r="P2096" s="7"/>
      <c r="Q2096" s="7"/>
      <c r="R2096" s="7"/>
      <c r="S2096" s="7"/>
      <c r="T2096" s="7"/>
      <c r="U2096" s="7"/>
      <c r="V2096" s="7"/>
      <c r="W2096" s="7"/>
    </row>
    <row r="2097" spans="1:23" x14ac:dyDescent="0.35">
      <c r="A2097" s="257"/>
      <c r="B2097" s="257"/>
      <c r="C2097" s="260"/>
      <c r="D2097" s="280"/>
      <c r="E2097" s="277"/>
      <c r="F2097" s="277"/>
      <c r="G2097" s="251"/>
      <c r="H2097" s="159" t="s">
        <v>76</v>
      </c>
      <c r="I2097" s="158">
        <f>K2097*D2095</f>
        <v>194796</v>
      </c>
      <c r="J2097" s="158">
        <f>I2097/D2095</f>
        <v>45</v>
      </c>
      <c r="K2097" s="158">
        <v>45</v>
      </c>
      <c r="L2097" s="7"/>
      <c r="M2097" s="7"/>
      <c r="N2097" s="7"/>
      <c r="O2097" s="7"/>
      <c r="P2097" s="7"/>
      <c r="Q2097" s="7"/>
      <c r="R2097" s="7"/>
      <c r="S2097" s="7"/>
      <c r="T2097" s="7"/>
      <c r="U2097" s="7"/>
      <c r="V2097" s="7"/>
      <c r="W2097" s="7"/>
    </row>
    <row r="2098" spans="1:23" x14ac:dyDescent="0.35">
      <c r="A2098" s="257"/>
      <c r="B2098" s="257"/>
      <c r="C2098" s="260"/>
      <c r="D2098" s="280"/>
      <c r="E2098" s="277"/>
      <c r="F2098" s="277"/>
      <c r="G2098" s="251" t="s">
        <v>78</v>
      </c>
      <c r="H2098" s="159" t="s">
        <v>74</v>
      </c>
      <c r="I2098" s="158">
        <f>K2098*D2095</f>
        <v>2004234.4</v>
      </c>
      <c r="J2098" s="158">
        <f>I2098/D2095</f>
        <v>463</v>
      </c>
      <c r="K2098" s="158">
        <v>463</v>
      </c>
      <c r="L2098" s="7"/>
      <c r="M2098" s="7"/>
      <c r="N2098" s="7"/>
      <c r="O2098" s="7"/>
      <c r="P2098" s="7"/>
      <c r="Q2098" s="7"/>
      <c r="R2098" s="7"/>
      <c r="S2098" s="7"/>
      <c r="T2098" s="7"/>
      <c r="U2098" s="7"/>
      <c r="V2098" s="7"/>
      <c r="W2098" s="7"/>
    </row>
    <row r="2099" spans="1:23" x14ac:dyDescent="0.35">
      <c r="A2099" s="257"/>
      <c r="B2099" s="257"/>
      <c r="C2099" s="260"/>
      <c r="D2099" s="280"/>
      <c r="E2099" s="277"/>
      <c r="F2099" s="277"/>
      <c r="G2099" s="251"/>
      <c r="H2099" s="159" t="s">
        <v>76</v>
      </c>
      <c r="I2099" s="158">
        <f>K2099*D2095</f>
        <v>43288</v>
      </c>
      <c r="J2099" s="158">
        <f>I2099/D2095</f>
        <v>10</v>
      </c>
      <c r="K2099" s="158">
        <v>10</v>
      </c>
      <c r="L2099" s="7"/>
      <c r="M2099" s="7"/>
      <c r="N2099" s="7"/>
      <c r="O2099" s="7"/>
      <c r="P2099" s="7"/>
      <c r="Q2099" s="7"/>
      <c r="R2099" s="7"/>
      <c r="S2099" s="7"/>
      <c r="T2099" s="7"/>
      <c r="U2099" s="7"/>
      <c r="V2099" s="7"/>
      <c r="W2099" s="7"/>
    </row>
    <row r="2100" spans="1:23" x14ac:dyDescent="0.35">
      <c r="A2100" s="257"/>
      <c r="B2100" s="257"/>
      <c r="C2100" s="260"/>
      <c r="D2100" s="280"/>
      <c r="E2100" s="277"/>
      <c r="F2100" s="277"/>
      <c r="G2100" s="251" t="s">
        <v>79</v>
      </c>
      <c r="H2100" s="159" t="s">
        <v>74</v>
      </c>
      <c r="I2100" s="158">
        <f>K2100*D2095</f>
        <v>1770479.2</v>
      </c>
      <c r="J2100" s="158">
        <f>I2100/D2095</f>
        <v>409</v>
      </c>
      <c r="K2100" s="158">
        <v>409</v>
      </c>
      <c r="L2100" s="7"/>
      <c r="M2100" s="7"/>
      <c r="N2100" s="7"/>
      <c r="O2100" s="7"/>
      <c r="P2100" s="7"/>
      <c r="Q2100" s="7"/>
      <c r="R2100" s="7"/>
      <c r="S2100" s="7"/>
      <c r="T2100" s="7"/>
      <c r="U2100" s="7"/>
      <c r="V2100" s="7"/>
      <c r="W2100" s="7"/>
    </row>
    <row r="2101" spans="1:23" x14ac:dyDescent="0.35">
      <c r="A2101" s="257"/>
      <c r="B2101" s="257"/>
      <c r="C2101" s="260"/>
      <c r="D2101" s="280"/>
      <c r="E2101" s="277"/>
      <c r="F2101" s="277"/>
      <c r="G2101" s="251"/>
      <c r="H2101" s="159" t="s">
        <v>76</v>
      </c>
      <c r="I2101" s="158">
        <f>K2101*D2095</f>
        <v>38959.199999999997</v>
      </c>
      <c r="J2101" s="158">
        <f>I2101/D2095</f>
        <v>9</v>
      </c>
      <c r="K2101" s="158">
        <v>9</v>
      </c>
      <c r="L2101" s="7"/>
      <c r="M2101" s="7"/>
      <c r="N2101" s="7"/>
      <c r="O2101" s="7"/>
      <c r="P2101" s="7"/>
      <c r="Q2101" s="7"/>
      <c r="R2101" s="7"/>
      <c r="S2101" s="7"/>
      <c r="T2101" s="7"/>
      <c r="U2101" s="7"/>
      <c r="V2101" s="7"/>
      <c r="W2101" s="7"/>
    </row>
    <row r="2102" spans="1:23" x14ac:dyDescent="0.35">
      <c r="A2102" s="257"/>
      <c r="B2102" s="257"/>
      <c r="C2102" s="260"/>
      <c r="D2102" s="280"/>
      <c r="E2102" s="277"/>
      <c r="F2102" s="277"/>
      <c r="G2102" s="251" t="s">
        <v>90</v>
      </c>
      <c r="H2102" s="159" t="s">
        <v>74</v>
      </c>
      <c r="I2102" s="158">
        <f>K2102*D2095</f>
        <v>1939302.3999999999</v>
      </c>
      <c r="J2102" s="158">
        <f>I2102/D2095</f>
        <v>448</v>
      </c>
      <c r="K2102" s="158">
        <v>448</v>
      </c>
      <c r="L2102" s="7"/>
      <c r="M2102" s="7"/>
      <c r="N2102" s="7"/>
      <c r="O2102" s="7"/>
      <c r="P2102" s="7"/>
      <c r="Q2102" s="7"/>
      <c r="R2102" s="7"/>
      <c r="S2102" s="7"/>
      <c r="T2102" s="7"/>
      <c r="U2102" s="7"/>
      <c r="V2102" s="7"/>
      <c r="W2102" s="7"/>
    </row>
    <row r="2103" spans="1:23" x14ac:dyDescent="0.35">
      <c r="A2103" s="257"/>
      <c r="B2103" s="257"/>
      <c r="C2103" s="260"/>
      <c r="D2103" s="280"/>
      <c r="E2103" s="277"/>
      <c r="F2103" s="277"/>
      <c r="G2103" s="251"/>
      <c r="H2103" s="159" t="s">
        <v>76</v>
      </c>
      <c r="I2103" s="158">
        <f>K2103*D2095</f>
        <v>43288</v>
      </c>
      <c r="J2103" s="158">
        <f>I2103/D2095</f>
        <v>10</v>
      </c>
      <c r="K2103" s="158">
        <v>10</v>
      </c>
      <c r="L2103" s="7"/>
      <c r="M2103" s="7"/>
      <c r="N2103" s="7"/>
      <c r="O2103" s="7"/>
      <c r="P2103" s="7"/>
      <c r="Q2103" s="7"/>
      <c r="R2103" s="7"/>
      <c r="S2103" s="7"/>
      <c r="T2103" s="7"/>
      <c r="U2103" s="7"/>
      <c r="V2103" s="7"/>
      <c r="W2103" s="7"/>
    </row>
    <row r="2104" spans="1:23" ht="46.5" x14ac:dyDescent="0.35">
      <c r="A2104" s="258"/>
      <c r="B2104" s="258"/>
      <c r="C2104" s="261"/>
      <c r="D2104" s="281"/>
      <c r="E2104" s="278"/>
      <c r="F2104" s="278"/>
      <c r="G2104" s="123" t="s">
        <v>72</v>
      </c>
      <c r="H2104" s="159" t="s">
        <v>705</v>
      </c>
      <c r="I2104" s="158">
        <f>D2095*K2104</f>
        <v>709923.2</v>
      </c>
      <c r="J2104" s="158">
        <f>I2104/D2095</f>
        <v>164</v>
      </c>
      <c r="K2104" s="158">
        <f>151+13</f>
        <v>164</v>
      </c>
      <c r="L2104" s="7"/>
      <c r="M2104" s="7"/>
      <c r="N2104" s="7"/>
      <c r="O2104" s="7"/>
      <c r="P2104" s="7"/>
      <c r="Q2104" s="7"/>
      <c r="R2104" s="7"/>
      <c r="S2104" s="7"/>
      <c r="T2104" s="7"/>
      <c r="U2104" s="7"/>
      <c r="V2104" s="7"/>
      <c r="W2104" s="7"/>
    </row>
    <row r="2105" spans="1:23" ht="15.75" customHeight="1" x14ac:dyDescent="0.35">
      <c r="A2105" s="251">
        <f>A2095+1</f>
        <v>148</v>
      </c>
      <c r="B2105" s="251">
        <v>3281</v>
      </c>
      <c r="C2105" s="252" t="s">
        <v>373</v>
      </c>
      <c r="D2105" s="274">
        <v>4302</v>
      </c>
      <c r="E2105" s="275" t="s">
        <v>71</v>
      </c>
      <c r="F2105" s="276">
        <v>5</v>
      </c>
      <c r="G2105" s="123"/>
      <c r="H2105" s="159" t="s">
        <v>73</v>
      </c>
      <c r="I2105" s="158">
        <f>SUM(I2106:I2113)</f>
        <v>15112926</v>
      </c>
      <c r="J2105" s="158">
        <f>SUM(J2106:J2113)</f>
        <v>3513</v>
      </c>
      <c r="K2105" s="158">
        <f>SUM(K2106:K2113)</f>
        <v>3513</v>
      </c>
      <c r="L2105" s="7"/>
      <c r="M2105" s="7"/>
      <c r="N2105" s="7"/>
      <c r="O2105" s="7"/>
      <c r="P2105" s="7"/>
      <c r="Q2105" s="7"/>
      <c r="R2105" s="7"/>
      <c r="S2105" s="7"/>
      <c r="T2105" s="7"/>
      <c r="U2105" s="7"/>
      <c r="V2105" s="7"/>
      <c r="W2105" s="7"/>
    </row>
    <row r="2106" spans="1:23" x14ac:dyDescent="0.35">
      <c r="A2106" s="251">
        <v>882</v>
      </c>
      <c r="B2106" s="251"/>
      <c r="C2106" s="252"/>
      <c r="D2106" s="274"/>
      <c r="E2106" s="275"/>
      <c r="F2106" s="277"/>
      <c r="G2106" s="251" t="s">
        <v>77</v>
      </c>
      <c r="H2106" s="159" t="s">
        <v>74</v>
      </c>
      <c r="I2106" s="158">
        <f>K2106*D2105</f>
        <v>9115938</v>
      </c>
      <c r="J2106" s="158">
        <f>I2106/D2105</f>
        <v>2119</v>
      </c>
      <c r="K2106" s="158">
        <v>2119</v>
      </c>
      <c r="L2106" s="7"/>
      <c r="M2106" s="7"/>
      <c r="N2106" s="7"/>
      <c r="O2106" s="7"/>
      <c r="P2106" s="7"/>
      <c r="Q2106" s="7"/>
      <c r="R2106" s="7"/>
      <c r="S2106" s="7"/>
      <c r="T2106" s="7"/>
      <c r="U2106" s="7"/>
      <c r="V2106" s="7"/>
      <c r="W2106" s="7"/>
    </row>
    <row r="2107" spans="1:23" x14ac:dyDescent="0.35">
      <c r="A2107" s="251">
        <v>883</v>
      </c>
      <c r="B2107" s="251"/>
      <c r="C2107" s="252"/>
      <c r="D2107" s="274"/>
      <c r="E2107" s="275"/>
      <c r="F2107" s="277"/>
      <c r="G2107" s="251"/>
      <c r="H2107" s="159" t="s">
        <v>76</v>
      </c>
      <c r="I2107" s="158">
        <f>K2107*D2105</f>
        <v>193590</v>
      </c>
      <c r="J2107" s="158">
        <f>I2107/D2105</f>
        <v>45</v>
      </c>
      <c r="K2107" s="158">
        <v>45</v>
      </c>
      <c r="L2107" s="7"/>
      <c r="M2107" s="7"/>
      <c r="N2107" s="7"/>
      <c r="O2107" s="7"/>
      <c r="P2107" s="7"/>
      <c r="Q2107" s="7"/>
      <c r="R2107" s="7"/>
      <c r="S2107" s="7"/>
      <c r="T2107" s="7"/>
      <c r="U2107" s="7"/>
      <c r="V2107" s="7"/>
      <c r="W2107" s="7"/>
    </row>
    <row r="2108" spans="1:23" x14ac:dyDescent="0.35">
      <c r="A2108" s="251">
        <v>884</v>
      </c>
      <c r="B2108" s="251"/>
      <c r="C2108" s="252"/>
      <c r="D2108" s="274"/>
      <c r="E2108" s="275"/>
      <c r="F2108" s="277"/>
      <c r="G2108" s="251" t="s">
        <v>78</v>
      </c>
      <c r="H2108" s="159" t="s">
        <v>74</v>
      </c>
      <c r="I2108" s="158">
        <f>K2108*D2105</f>
        <v>1991826</v>
      </c>
      <c r="J2108" s="158">
        <f>I2108/D2105</f>
        <v>463</v>
      </c>
      <c r="K2108" s="158">
        <v>463</v>
      </c>
      <c r="L2108" s="7"/>
      <c r="M2108" s="7"/>
      <c r="N2108" s="7"/>
      <c r="O2108" s="7"/>
      <c r="P2108" s="7"/>
      <c r="Q2108" s="7"/>
      <c r="R2108" s="7"/>
      <c r="S2108" s="7"/>
      <c r="T2108" s="7"/>
      <c r="U2108" s="7"/>
      <c r="V2108" s="7"/>
      <c r="W2108" s="7"/>
    </row>
    <row r="2109" spans="1:23" x14ac:dyDescent="0.35">
      <c r="A2109" s="251">
        <v>885</v>
      </c>
      <c r="B2109" s="251"/>
      <c r="C2109" s="252"/>
      <c r="D2109" s="274"/>
      <c r="E2109" s="275"/>
      <c r="F2109" s="277"/>
      <c r="G2109" s="251"/>
      <c r="H2109" s="159" t="s">
        <v>76</v>
      </c>
      <c r="I2109" s="158">
        <f>K2109*D2105</f>
        <v>43020</v>
      </c>
      <c r="J2109" s="158">
        <f>I2109/D2105</f>
        <v>10</v>
      </c>
      <c r="K2109" s="158">
        <v>10</v>
      </c>
      <c r="L2109" s="7"/>
      <c r="M2109" s="7"/>
      <c r="N2109" s="7"/>
      <c r="O2109" s="7"/>
      <c r="P2109" s="7"/>
      <c r="Q2109" s="7"/>
      <c r="R2109" s="7"/>
      <c r="S2109" s="7"/>
      <c r="T2109" s="7"/>
      <c r="U2109" s="7"/>
      <c r="V2109" s="7"/>
      <c r="W2109" s="7"/>
    </row>
    <row r="2110" spans="1:23" x14ac:dyDescent="0.35">
      <c r="A2110" s="251"/>
      <c r="B2110" s="251"/>
      <c r="C2110" s="252"/>
      <c r="D2110" s="274"/>
      <c r="E2110" s="275"/>
      <c r="F2110" s="277"/>
      <c r="G2110" s="251" t="s">
        <v>79</v>
      </c>
      <c r="H2110" s="159" t="s">
        <v>74</v>
      </c>
      <c r="I2110" s="158">
        <f>K2110*D2105</f>
        <v>1759518</v>
      </c>
      <c r="J2110" s="158">
        <f>I2110/D2105</f>
        <v>409</v>
      </c>
      <c r="K2110" s="158">
        <v>409</v>
      </c>
      <c r="L2110" s="7"/>
      <c r="M2110" s="7"/>
      <c r="N2110" s="7"/>
      <c r="O2110" s="7"/>
      <c r="P2110" s="7"/>
      <c r="Q2110" s="7"/>
      <c r="R2110" s="7"/>
      <c r="S2110" s="7"/>
      <c r="T2110" s="7"/>
      <c r="U2110" s="7"/>
      <c r="V2110" s="7"/>
      <c r="W2110" s="7"/>
    </row>
    <row r="2111" spans="1:23" x14ac:dyDescent="0.35">
      <c r="A2111" s="251"/>
      <c r="B2111" s="251"/>
      <c r="C2111" s="252"/>
      <c r="D2111" s="274"/>
      <c r="E2111" s="275"/>
      <c r="F2111" s="277"/>
      <c r="G2111" s="251"/>
      <c r="H2111" s="159" t="s">
        <v>76</v>
      </c>
      <c r="I2111" s="158">
        <f>K2111*D2105</f>
        <v>38718</v>
      </c>
      <c r="J2111" s="158">
        <f>I2111/D2105</f>
        <v>9</v>
      </c>
      <c r="K2111" s="158">
        <v>9</v>
      </c>
      <c r="L2111" s="7"/>
      <c r="M2111" s="7"/>
      <c r="N2111" s="7"/>
      <c r="O2111" s="7"/>
      <c r="P2111" s="7"/>
      <c r="Q2111" s="7"/>
      <c r="R2111" s="7"/>
      <c r="S2111" s="7"/>
      <c r="T2111" s="7"/>
      <c r="U2111" s="7"/>
      <c r="V2111" s="7"/>
      <c r="W2111" s="7"/>
    </row>
    <row r="2112" spans="1:23" x14ac:dyDescent="0.35">
      <c r="A2112" s="251">
        <v>886</v>
      </c>
      <c r="B2112" s="251"/>
      <c r="C2112" s="252"/>
      <c r="D2112" s="274"/>
      <c r="E2112" s="275"/>
      <c r="F2112" s="277"/>
      <c r="G2112" s="251" t="s">
        <v>90</v>
      </c>
      <c r="H2112" s="159" t="s">
        <v>74</v>
      </c>
      <c r="I2112" s="158">
        <f>K2112*D2105</f>
        <v>1927296</v>
      </c>
      <c r="J2112" s="158">
        <f>I2112/D2105</f>
        <v>448</v>
      </c>
      <c r="K2112" s="158">
        <v>448</v>
      </c>
      <c r="L2112" s="7"/>
      <c r="M2112" s="7"/>
      <c r="N2112" s="7"/>
      <c r="O2112" s="7"/>
      <c r="P2112" s="7"/>
      <c r="Q2112" s="7"/>
      <c r="R2112" s="7"/>
      <c r="S2112" s="7"/>
      <c r="T2112" s="7"/>
      <c r="U2112" s="7"/>
      <c r="V2112" s="7"/>
      <c r="W2112" s="7"/>
    </row>
    <row r="2113" spans="1:23" x14ac:dyDescent="0.35">
      <c r="A2113" s="251">
        <v>887</v>
      </c>
      <c r="B2113" s="251"/>
      <c r="C2113" s="252"/>
      <c r="D2113" s="274"/>
      <c r="E2113" s="275"/>
      <c r="F2113" s="278"/>
      <c r="G2113" s="251"/>
      <c r="H2113" s="159" t="s">
        <v>76</v>
      </c>
      <c r="I2113" s="158">
        <f>K2113*D2105</f>
        <v>43020</v>
      </c>
      <c r="J2113" s="158">
        <f>I2113/D2105</f>
        <v>10</v>
      </c>
      <c r="K2113" s="158">
        <v>10</v>
      </c>
      <c r="L2113" s="7"/>
      <c r="M2113" s="7"/>
      <c r="N2113" s="7"/>
      <c r="O2113" s="7"/>
      <c r="P2113" s="7"/>
      <c r="Q2113" s="7"/>
      <c r="R2113" s="7"/>
      <c r="S2113" s="7"/>
      <c r="T2113" s="7"/>
      <c r="U2113" s="7"/>
      <c r="V2113" s="7"/>
      <c r="W2113" s="7"/>
    </row>
    <row r="2114" spans="1:23" ht="15.75" customHeight="1" x14ac:dyDescent="0.35">
      <c r="A2114" s="256">
        <f>A2105+1</f>
        <v>149</v>
      </c>
      <c r="B2114" s="256">
        <v>4050</v>
      </c>
      <c r="C2114" s="259" t="s">
        <v>123</v>
      </c>
      <c r="D2114" s="262">
        <v>3115</v>
      </c>
      <c r="E2114" s="268" t="s">
        <v>71</v>
      </c>
      <c r="F2114" s="268">
        <v>5</v>
      </c>
      <c r="G2114" s="256" t="s">
        <v>72</v>
      </c>
      <c r="H2114" s="159" t="s">
        <v>73</v>
      </c>
      <c r="I2114" s="158">
        <f>I2115</f>
        <v>510860</v>
      </c>
      <c r="J2114" s="158">
        <f>J2115</f>
        <v>164</v>
      </c>
      <c r="K2114" s="158">
        <f>K2115</f>
        <v>164</v>
      </c>
      <c r="L2114" s="7"/>
      <c r="M2114" s="7"/>
      <c r="N2114" s="7"/>
      <c r="O2114" s="7"/>
      <c r="P2114" s="7"/>
      <c r="Q2114" s="7"/>
      <c r="R2114" s="7"/>
      <c r="S2114" s="7"/>
      <c r="T2114" s="7"/>
      <c r="U2114" s="7"/>
      <c r="V2114" s="7"/>
      <c r="W2114" s="7"/>
    </row>
    <row r="2115" spans="1:23" ht="46.5" x14ac:dyDescent="0.35">
      <c r="A2115" s="257"/>
      <c r="B2115" s="257"/>
      <c r="C2115" s="260"/>
      <c r="D2115" s="263"/>
      <c r="E2115" s="269"/>
      <c r="F2115" s="273"/>
      <c r="G2115" s="257"/>
      <c r="H2115" s="159" t="s">
        <v>705</v>
      </c>
      <c r="I2115" s="158">
        <f>D2114*K2115</f>
        <v>510860</v>
      </c>
      <c r="J2115" s="158">
        <f>I2115/D2114</f>
        <v>164</v>
      </c>
      <c r="K2115" s="158">
        <f>151+13</f>
        <v>164</v>
      </c>
      <c r="L2115" s="7"/>
      <c r="M2115" s="7"/>
      <c r="N2115" s="7"/>
      <c r="O2115" s="7"/>
      <c r="P2115" s="7"/>
      <c r="Q2115" s="7"/>
      <c r="R2115" s="7"/>
      <c r="S2115" s="7"/>
      <c r="T2115" s="7"/>
      <c r="U2115" s="7"/>
      <c r="V2115" s="7"/>
      <c r="W2115" s="7"/>
    </row>
    <row r="2116" spans="1:23" ht="15.75" customHeight="1" x14ac:dyDescent="0.35">
      <c r="A2116" s="256">
        <f>A2114+1</f>
        <v>150</v>
      </c>
      <c r="B2116" s="256">
        <v>4051</v>
      </c>
      <c r="C2116" s="259" t="s">
        <v>124</v>
      </c>
      <c r="D2116" s="262">
        <v>3115</v>
      </c>
      <c r="E2116" s="268" t="s">
        <v>71</v>
      </c>
      <c r="F2116" s="268">
        <v>5</v>
      </c>
      <c r="G2116" s="256" t="s">
        <v>72</v>
      </c>
      <c r="H2116" s="159" t="s">
        <v>73</v>
      </c>
      <c r="I2116" s="158">
        <f>I2117</f>
        <v>510860</v>
      </c>
      <c r="J2116" s="158">
        <f>J2117</f>
        <v>164</v>
      </c>
      <c r="K2116" s="158">
        <f>K2117</f>
        <v>164</v>
      </c>
      <c r="L2116" s="7"/>
      <c r="M2116" s="7"/>
      <c r="N2116" s="7"/>
      <c r="O2116" s="7"/>
      <c r="P2116" s="7"/>
      <c r="Q2116" s="7"/>
      <c r="R2116" s="7"/>
      <c r="S2116" s="7"/>
      <c r="T2116" s="7"/>
      <c r="U2116" s="7"/>
      <c r="V2116" s="7"/>
      <c r="W2116" s="7"/>
    </row>
    <row r="2117" spans="1:23" ht="46.5" x14ac:dyDescent="0.35">
      <c r="A2117" s="257"/>
      <c r="B2117" s="257"/>
      <c r="C2117" s="260"/>
      <c r="D2117" s="263"/>
      <c r="E2117" s="269"/>
      <c r="F2117" s="273"/>
      <c r="G2117" s="257"/>
      <c r="H2117" s="159" t="s">
        <v>705</v>
      </c>
      <c r="I2117" s="158">
        <f>D2116*K2117</f>
        <v>510860</v>
      </c>
      <c r="J2117" s="158">
        <f>I2117/D2116</f>
        <v>164</v>
      </c>
      <c r="K2117" s="158">
        <f>151+13</f>
        <v>164</v>
      </c>
      <c r="L2117" s="7"/>
      <c r="M2117" s="7"/>
      <c r="N2117" s="7"/>
      <c r="O2117" s="7"/>
      <c r="P2117" s="7"/>
      <c r="Q2117" s="7"/>
      <c r="R2117" s="7"/>
      <c r="S2117" s="7"/>
      <c r="T2117" s="7"/>
      <c r="U2117" s="7"/>
      <c r="V2117" s="7"/>
      <c r="W2117" s="7"/>
    </row>
    <row r="2118" spans="1:23" ht="15.75" customHeight="1" x14ac:dyDescent="0.35">
      <c r="A2118" s="256">
        <f>A2116+1</f>
        <v>151</v>
      </c>
      <c r="B2118" s="256">
        <v>4052</v>
      </c>
      <c r="C2118" s="259" t="s">
        <v>125</v>
      </c>
      <c r="D2118" s="262">
        <v>3327.5</v>
      </c>
      <c r="E2118" s="268" t="s">
        <v>71</v>
      </c>
      <c r="F2118" s="268">
        <v>5</v>
      </c>
      <c r="G2118" s="256" t="s">
        <v>72</v>
      </c>
      <c r="H2118" s="159" t="s">
        <v>73</v>
      </c>
      <c r="I2118" s="158">
        <f>I2119</f>
        <v>545710</v>
      </c>
      <c r="J2118" s="158">
        <f>J2119</f>
        <v>164</v>
      </c>
      <c r="K2118" s="158">
        <f>K2119</f>
        <v>164</v>
      </c>
      <c r="L2118" s="7"/>
      <c r="M2118" s="7"/>
      <c r="N2118" s="7"/>
      <c r="O2118" s="7"/>
      <c r="P2118" s="7"/>
      <c r="Q2118" s="7"/>
      <c r="R2118" s="7"/>
      <c r="S2118" s="7"/>
      <c r="T2118" s="7"/>
      <c r="U2118" s="7"/>
      <c r="V2118" s="7"/>
      <c r="W2118" s="7"/>
    </row>
    <row r="2119" spans="1:23" ht="46.5" x14ac:dyDescent="0.35">
      <c r="A2119" s="257"/>
      <c r="B2119" s="257"/>
      <c r="C2119" s="260"/>
      <c r="D2119" s="263"/>
      <c r="E2119" s="269"/>
      <c r="F2119" s="273"/>
      <c r="G2119" s="257"/>
      <c r="H2119" s="159" t="s">
        <v>705</v>
      </c>
      <c r="I2119" s="158">
        <f>D2118*K2119</f>
        <v>545710</v>
      </c>
      <c r="J2119" s="158">
        <f>I2119/D2118</f>
        <v>164</v>
      </c>
      <c r="K2119" s="158">
        <f>151+13</f>
        <v>164</v>
      </c>
      <c r="L2119" s="7"/>
      <c r="M2119" s="7"/>
      <c r="N2119" s="7"/>
      <c r="O2119" s="7"/>
      <c r="P2119" s="7"/>
      <c r="Q2119" s="7"/>
      <c r="R2119" s="7"/>
      <c r="S2119" s="7"/>
      <c r="T2119" s="7"/>
      <c r="U2119" s="7"/>
      <c r="V2119" s="7"/>
      <c r="W2119" s="7"/>
    </row>
    <row r="2120" spans="1:23" x14ac:dyDescent="0.35">
      <c r="A2120" s="251">
        <f>A2118+1</f>
        <v>152</v>
      </c>
      <c r="B2120" s="251">
        <v>4053</v>
      </c>
      <c r="C2120" s="252" t="s">
        <v>374</v>
      </c>
      <c r="D2120" s="274">
        <v>2642</v>
      </c>
      <c r="E2120" s="275" t="s">
        <v>71</v>
      </c>
      <c r="F2120" s="276">
        <v>5</v>
      </c>
      <c r="G2120" s="251" t="s">
        <v>72</v>
      </c>
      <c r="H2120" s="159" t="s">
        <v>73</v>
      </c>
      <c r="I2120" s="158">
        <f>I2121+I2122</f>
        <v>5611861.0300000003</v>
      </c>
      <c r="J2120" s="158">
        <f>J2121+J2122</f>
        <v>2124.1</v>
      </c>
      <c r="K2120" s="158">
        <f>K2121+K2122</f>
        <v>3449</v>
      </c>
      <c r="L2120" s="7"/>
      <c r="M2120" s="7"/>
      <c r="N2120" s="7"/>
      <c r="O2120" s="7"/>
      <c r="P2120" s="7"/>
      <c r="Q2120" s="7"/>
      <c r="R2120" s="7"/>
      <c r="S2120" s="7"/>
      <c r="T2120" s="7"/>
      <c r="U2120" s="7"/>
      <c r="V2120" s="7"/>
      <c r="W2120" s="7"/>
    </row>
    <row r="2121" spans="1:23" ht="31" x14ac:dyDescent="0.35">
      <c r="A2121" s="251">
        <v>77</v>
      </c>
      <c r="B2121" s="251"/>
      <c r="C2121" s="252"/>
      <c r="D2121" s="274"/>
      <c r="E2121" s="275"/>
      <c r="F2121" s="277"/>
      <c r="G2121" s="251"/>
      <c r="H2121" s="159" t="s">
        <v>86</v>
      </c>
      <c r="I2121" s="158">
        <f>7779125.36*0.7</f>
        <v>5445387.75</v>
      </c>
      <c r="J2121" s="158">
        <f>I2121/D2120</f>
        <v>2061.09</v>
      </c>
      <c r="K2121" s="158">
        <v>3377</v>
      </c>
      <c r="L2121" s="7"/>
      <c r="M2121" s="7"/>
      <c r="N2121" s="7"/>
      <c r="O2121" s="7"/>
      <c r="P2121" s="7"/>
      <c r="Q2121" s="7"/>
      <c r="R2121" s="7"/>
      <c r="S2121" s="7"/>
      <c r="T2121" s="7"/>
      <c r="U2121" s="7"/>
      <c r="V2121" s="7"/>
      <c r="W2121" s="7"/>
    </row>
    <row r="2122" spans="1:23" x14ac:dyDescent="0.35">
      <c r="A2122" s="251">
        <v>78</v>
      </c>
      <c r="B2122" s="251"/>
      <c r="C2122" s="252"/>
      <c r="D2122" s="274"/>
      <c r="E2122" s="275"/>
      <c r="F2122" s="278"/>
      <c r="G2122" s="251"/>
      <c r="H2122" s="159" t="s">
        <v>76</v>
      </c>
      <c r="I2122" s="158">
        <f>7779125.36*0.0214</f>
        <v>166473.28</v>
      </c>
      <c r="J2122" s="158">
        <f>I2122/D2120</f>
        <v>63.01</v>
      </c>
      <c r="K2122" s="158">
        <v>72</v>
      </c>
      <c r="L2122" s="7"/>
      <c r="M2122" s="7"/>
      <c r="N2122" s="7"/>
      <c r="O2122" s="7"/>
      <c r="P2122" s="7"/>
      <c r="Q2122" s="7"/>
      <c r="R2122" s="7"/>
      <c r="S2122" s="7"/>
      <c r="T2122" s="7"/>
      <c r="U2122" s="7"/>
      <c r="V2122" s="7"/>
      <c r="W2122" s="7"/>
    </row>
    <row r="2123" spans="1:23" ht="15.75" customHeight="1" x14ac:dyDescent="0.35">
      <c r="A2123" s="256">
        <f>A2120+1</f>
        <v>153</v>
      </c>
      <c r="B2123" s="256">
        <v>3284</v>
      </c>
      <c r="C2123" s="259" t="s">
        <v>591</v>
      </c>
      <c r="D2123" s="262">
        <v>3631.8</v>
      </c>
      <c r="E2123" s="268" t="s">
        <v>71</v>
      </c>
      <c r="F2123" s="268">
        <v>5</v>
      </c>
      <c r="G2123" s="256" t="s">
        <v>72</v>
      </c>
      <c r="H2123" s="159" t="s">
        <v>73</v>
      </c>
      <c r="I2123" s="158">
        <f>I2124</f>
        <v>595615.19999999995</v>
      </c>
      <c r="J2123" s="158">
        <f>J2124</f>
        <v>164</v>
      </c>
      <c r="K2123" s="158">
        <f>K2124</f>
        <v>164</v>
      </c>
      <c r="L2123" s="7"/>
      <c r="M2123" s="7"/>
      <c r="N2123" s="7"/>
      <c r="O2123" s="7"/>
      <c r="P2123" s="7"/>
      <c r="Q2123" s="7"/>
      <c r="R2123" s="7"/>
      <c r="S2123" s="7"/>
      <c r="T2123" s="7"/>
      <c r="U2123" s="7"/>
      <c r="V2123" s="7"/>
      <c r="W2123" s="7"/>
    </row>
    <row r="2124" spans="1:23" ht="46.5" x14ac:dyDescent="0.35">
      <c r="A2124" s="257"/>
      <c r="B2124" s="257"/>
      <c r="C2124" s="260"/>
      <c r="D2124" s="263"/>
      <c r="E2124" s="269"/>
      <c r="F2124" s="273"/>
      <c r="G2124" s="257"/>
      <c r="H2124" s="159" t="s">
        <v>705</v>
      </c>
      <c r="I2124" s="158">
        <f>D2123*K2124</f>
        <v>595615.19999999995</v>
      </c>
      <c r="J2124" s="158">
        <f>I2124/D2123</f>
        <v>164</v>
      </c>
      <c r="K2124" s="158">
        <f>151+13</f>
        <v>164</v>
      </c>
      <c r="L2124" s="7"/>
      <c r="M2124" s="7"/>
      <c r="N2124" s="7"/>
      <c r="O2124" s="7"/>
      <c r="P2124" s="7"/>
      <c r="Q2124" s="7"/>
      <c r="R2124" s="7"/>
      <c r="S2124" s="7"/>
      <c r="T2124" s="7"/>
      <c r="U2124" s="7"/>
      <c r="V2124" s="7"/>
      <c r="W2124" s="7"/>
    </row>
    <row r="2125" spans="1:23" ht="15.75" customHeight="1" x14ac:dyDescent="0.35">
      <c r="A2125" s="256">
        <f>A2123+1</f>
        <v>154</v>
      </c>
      <c r="B2125" s="256">
        <v>3286</v>
      </c>
      <c r="C2125" s="259" t="s">
        <v>592</v>
      </c>
      <c r="D2125" s="262">
        <v>3572.1</v>
      </c>
      <c r="E2125" s="268" t="s">
        <v>71</v>
      </c>
      <c r="F2125" s="268">
        <v>5</v>
      </c>
      <c r="G2125" s="256" t="s">
        <v>72</v>
      </c>
      <c r="H2125" s="159" t="s">
        <v>73</v>
      </c>
      <c r="I2125" s="158">
        <f>I2126</f>
        <v>585824.4</v>
      </c>
      <c r="J2125" s="158">
        <f>J2126</f>
        <v>164</v>
      </c>
      <c r="K2125" s="158">
        <f>K2126</f>
        <v>164</v>
      </c>
      <c r="L2125" s="7"/>
      <c r="M2125" s="7"/>
      <c r="N2125" s="7"/>
      <c r="O2125" s="7"/>
      <c r="P2125" s="7"/>
      <c r="Q2125" s="7"/>
      <c r="R2125" s="7"/>
      <c r="S2125" s="7"/>
      <c r="T2125" s="7"/>
      <c r="U2125" s="7"/>
      <c r="V2125" s="7"/>
      <c r="W2125" s="7"/>
    </row>
    <row r="2126" spans="1:23" ht="46.5" x14ac:dyDescent="0.35">
      <c r="A2126" s="257"/>
      <c r="B2126" s="257"/>
      <c r="C2126" s="260"/>
      <c r="D2126" s="263"/>
      <c r="E2126" s="269"/>
      <c r="F2126" s="273"/>
      <c r="G2126" s="257"/>
      <c r="H2126" s="159" t="s">
        <v>705</v>
      </c>
      <c r="I2126" s="158">
        <f>D2125*K2126</f>
        <v>585824.4</v>
      </c>
      <c r="J2126" s="158">
        <f>I2126/D2125</f>
        <v>164</v>
      </c>
      <c r="K2126" s="158">
        <f>151+13</f>
        <v>164</v>
      </c>
      <c r="L2126" s="7"/>
      <c r="M2126" s="7"/>
      <c r="N2126" s="7"/>
      <c r="O2126" s="7"/>
      <c r="P2126" s="7"/>
      <c r="Q2126" s="7"/>
      <c r="R2126" s="7"/>
      <c r="S2126" s="7"/>
      <c r="T2126" s="7"/>
      <c r="U2126" s="7"/>
      <c r="V2126" s="7"/>
      <c r="W2126" s="7"/>
    </row>
    <row r="2127" spans="1:23" ht="15.75" customHeight="1" x14ac:dyDescent="0.35">
      <c r="A2127" s="251">
        <f>A2125+1</f>
        <v>155</v>
      </c>
      <c r="B2127" s="251">
        <v>3166</v>
      </c>
      <c r="C2127" s="252" t="s">
        <v>763</v>
      </c>
      <c r="D2127" s="253">
        <v>5017.7</v>
      </c>
      <c r="E2127" s="254" t="s">
        <v>75</v>
      </c>
      <c r="F2127" s="254">
        <v>9</v>
      </c>
      <c r="G2127" s="251" t="s">
        <v>72</v>
      </c>
      <c r="H2127" s="159" t="s">
        <v>73</v>
      </c>
      <c r="I2127" s="158">
        <f>I2128</f>
        <v>822902.8</v>
      </c>
      <c r="J2127" s="158">
        <f>J2128</f>
        <v>164</v>
      </c>
      <c r="K2127" s="158">
        <f>K2128</f>
        <v>164</v>
      </c>
      <c r="L2127" s="7"/>
      <c r="M2127" s="7"/>
      <c r="N2127" s="7"/>
      <c r="O2127" s="7"/>
      <c r="P2127" s="7"/>
      <c r="Q2127" s="7"/>
      <c r="R2127" s="7"/>
      <c r="S2127" s="7"/>
      <c r="T2127" s="7"/>
      <c r="U2127" s="7"/>
      <c r="V2127" s="7"/>
      <c r="W2127" s="7"/>
    </row>
    <row r="2128" spans="1:23" ht="46.5" x14ac:dyDescent="0.35">
      <c r="A2128" s="251"/>
      <c r="B2128" s="251"/>
      <c r="C2128" s="252"/>
      <c r="D2128" s="253"/>
      <c r="E2128" s="254"/>
      <c r="F2128" s="254"/>
      <c r="G2128" s="251"/>
      <c r="H2128" s="159" t="s">
        <v>705</v>
      </c>
      <c r="I2128" s="158">
        <f>D2127*K2128</f>
        <v>822902.8</v>
      </c>
      <c r="J2128" s="158">
        <f>I2128/D2127</f>
        <v>164</v>
      </c>
      <c r="K2128" s="158">
        <f>151+13</f>
        <v>164</v>
      </c>
      <c r="L2128" s="7"/>
      <c r="M2128" s="7"/>
      <c r="N2128" s="7"/>
      <c r="O2128" s="7"/>
      <c r="P2128" s="7"/>
      <c r="Q2128" s="7"/>
      <c r="R2128" s="7"/>
      <c r="S2128" s="7"/>
      <c r="T2128" s="7"/>
      <c r="U2128" s="7"/>
      <c r="V2128" s="7"/>
      <c r="W2128" s="7"/>
    </row>
    <row r="2129" spans="1:23" ht="15.75" customHeight="1" x14ac:dyDescent="0.35">
      <c r="A2129" s="251">
        <f>A2127+1</f>
        <v>156</v>
      </c>
      <c r="B2129" s="251">
        <v>4240</v>
      </c>
      <c r="C2129" s="252" t="s">
        <v>764</v>
      </c>
      <c r="D2129" s="253">
        <v>16244.29</v>
      </c>
      <c r="E2129" s="254" t="s">
        <v>71</v>
      </c>
      <c r="F2129" s="254">
        <v>10</v>
      </c>
      <c r="G2129" s="251" t="s">
        <v>72</v>
      </c>
      <c r="H2129" s="159" t="s">
        <v>73</v>
      </c>
      <c r="I2129" s="158">
        <f>I2130</f>
        <v>2664063.56</v>
      </c>
      <c r="J2129" s="158">
        <f>J2130</f>
        <v>164</v>
      </c>
      <c r="K2129" s="158">
        <f>K2130</f>
        <v>164</v>
      </c>
      <c r="L2129" s="7"/>
      <c r="M2129" s="7"/>
      <c r="N2129" s="7"/>
      <c r="O2129" s="7"/>
      <c r="P2129" s="7"/>
      <c r="Q2129" s="7"/>
      <c r="R2129" s="7"/>
      <c r="S2129" s="7"/>
      <c r="T2129" s="7"/>
      <c r="U2129" s="7"/>
      <c r="V2129" s="7"/>
      <c r="W2129" s="7"/>
    </row>
    <row r="2130" spans="1:23" ht="46.5" x14ac:dyDescent="0.35">
      <c r="A2130" s="251"/>
      <c r="B2130" s="251"/>
      <c r="C2130" s="252"/>
      <c r="D2130" s="253"/>
      <c r="E2130" s="254"/>
      <c r="F2130" s="254"/>
      <c r="G2130" s="251"/>
      <c r="H2130" s="159" t="s">
        <v>705</v>
      </c>
      <c r="I2130" s="158">
        <f>D2129*K2130</f>
        <v>2664063.56</v>
      </c>
      <c r="J2130" s="158">
        <f>I2130/D2129</f>
        <v>164</v>
      </c>
      <c r="K2130" s="158">
        <f>151+13</f>
        <v>164</v>
      </c>
      <c r="L2130" s="7"/>
      <c r="M2130" s="7"/>
      <c r="N2130" s="7"/>
      <c r="O2130" s="7"/>
      <c r="P2130" s="7"/>
      <c r="Q2130" s="7"/>
      <c r="R2130" s="7"/>
      <c r="S2130" s="7"/>
      <c r="T2130" s="7"/>
      <c r="U2130" s="7"/>
      <c r="V2130" s="7"/>
      <c r="W2130" s="7"/>
    </row>
    <row r="2131" spans="1:23" ht="15.75" customHeight="1" x14ac:dyDescent="0.35">
      <c r="A2131" s="251">
        <f>A2129+1</f>
        <v>157</v>
      </c>
      <c r="B2131" s="251">
        <v>4329</v>
      </c>
      <c r="C2131" s="252" t="s">
        <v>378</v>
      </c>
      <c r="D2131" s="253">
        <v>6684.43</v>
      </c>
      <c r="E2131" s="254" t="s">
        <v>71</v>
      </c>
      <c r="F2131" s="254">
        <v>10</v>
      </c>
      <c r="G2131" s="251" t="s">
        <v>72</v>
      </c>
      <c r="H2131" s="159" t="s">
        <v>73</v>
      </c>
      <c r="I2131" s="158">
        <f>I2132</f>
        <v>1096246.52</v>
      </c>
      <c r="J2131" s="158">
        <f>J2132</f>
        <v>164</v>
      </c>
      <c r="K2131" s="158">
        <f>K2132</f>
        <v>164</v>
      </c>
      <c r="L2131" s="7"/>
      <c r="M2131" s="7"/>
      <c r="N2131" s="7"/>
      <c r="O2131" s="7"/>
      <c r="P2131" s="7"/>
      <c r="Q2131" s="7"/>
      <c r="R2131" s="7"/>
      <c r="S2131" s="7"/>
      <c r="T2131" s="7"/>
      <c r="U2131" s="7"/>
      <c r="V2131" s="7"/>
      <c r="W2131" s="7"/>
    </row>
    <row r="2132" spans="1:23" ht="46.5" x14ac:dyDescent="0.35">
      <c r="A2132" s="251"/>
      <c r="B2132" s="251"/>
      <c r="C2132" s="252"/>
      <c r="D2132" s="253"/>
      <c r="E2132" s="254"/>
      <c r="F2132" s="254"/>
      <c r="G2132" s="251"/>
      <c r="H2132" s="159" t="s">
        <v>705</v>
      </c>
      <c r="I2132" s="158">
        <f>D2131*K2132</f>
        <v>1096246.52</v>
      </c>
      <c r="J2132" s="158">
        <f>I2132/D2131</f>
        <v>164</v>
      </c>
      <c r="K2132" s="158">
        <f>151+13</f>
        <v>164</v>
      </c>
      <c r="L2132" s="7"/>
      <c r="M2132" s="7"/>
      <c r="N2132" s="7"/>
      <c r="O2132" s="7"/>
      <c r="P2132" s="7"/>
      <c r="Q2132" s="7"/>
      <c r="R2132" s="7"/>
      <c r="S2132" s="7"/>
      <c r="T2132" s="7"/>
      <c r="U2132" s="7"/>
      <c r="V2132" s="7"/>
      <c r="W2132" s="7"/>
    </row>
    <row r="2133" spans="1:23" ht="15.75" customHeight="1" x14ac:dyDescent="0.35">
      <c r="A2133" s="251">
        <f>A2131+1</f>
        <v>158</v>
      </c>
      <c r="B2133" s="251">
        <v>4331</v>
      </c>
      <c r="C2133" s="252" t="s">
        <v>765</v>
      </c>
      <c r="D2133" s="253">
        <v>8909.4</v>
      </c>
      <c r="E2133" s="254" t="s">
        <v>71</v>
      </c>
      <c r="F2133" s="268">
        <v>10</v>
      </c>
      <c r="G2133" s="123"/>
      <c r="H2133" s="159" t="s">
        <v>73</v>
      </c>
      <c r="I2133" s="158">
        <f>I2134+I2135+I2136+I2137</f>
        <v>98320</v>
      </c>
      <c r="J2133" s="158">
        <f>J2134+J2135+J2136+J2137</f>
        <v>11.04</v>
      </c>
      <c r="K2133" s="158">
        <f>K2134+K2135+K2136+K2137</f>
        <v>11.04</v>
      </c>
      <c r="L2133" s="7"/>
      <c r="M2133" s="7"/>
      <c r="N2133" s="7"/>
      <c r="O2133" s="7"/>
      <c r="P2133" s="7"/>
      <c r="Q2133" s="7"/>
      <c r="R2133" s="7"/>
      <c r="S2133" s="7"/>
      <c r="T2133" s="7"/>
      <c r="U2133" s="7"/>
      <c r="V2133" s="7"/>
      <c r="W2133" s="7"/>
    </row>
    <row r="2134" spans="1:23" ht="31" x14ac:dyDescent="0.35">
      <c r="A2134" s="251"/>
      <c r="B2134" s="251"/>
      <c r="C2134" s="252"/>
      <c r="D2134" s="253"/>
      <c r="E2134" s="254"/>
      <c r="F2134" s="269"/>
      <c r="G2134" s="120" t="s">
        <v>673</v>
      </c>
      <c r="H2134" s="159" t="s">
        <v>666</v>
      </c>
      <c r="I2134" s="158">
        <v>24580</v>
      </c>
      <c r="J2134" s="158">
        <f>I2134/D2133</f>
        <v>2.76</v>
      </c>
      <c r="K2134" s="158">
        <f>24580/D2133</f>
        <v>2.76</v>
      </c>
      <c r="L2134" s="7"/>
      <c r="M2134" s="7"/>
      <c r="N2134" s="7"/>
      <c r="O2134" s="7"/>
      <c r="P2134" s="7"/>
      <c r="Q2134" s="7"/>
      <c r="R2134" s="7"/>
      <c r="S2134" s="7"/>
      <c r="T2134" s="7"/>
      <c r="U2134" s="7"/>
      <c r="V2134" s="7"/>
      <c r="W2134" s="7"/>
    </row>
    <row r="2135" spans="1:23" ht="31" x14ac:dyDescent="0.35">
      <c r="A2135" s="251"/>
      <c r="B2135" s="251"/>
      <c r="C2135" s="252"/>
      <c r="D2135" s="253"/>
      <c r="E2135" s="254"/>
      <c r="F2135" s="269"/>
      <c r="G2135" s="120" t="s">
        <v>679</v>
      </c>
      <c r="H2135" s="159" t="s">
        <v>666</v>
      </c>
      <c r="I2135" s="158">
        <v>24580</v>
      </c>
      <c r="J2135" s="158">
        <f>I2135/D2133</f>
        <v>2.76</v>
      </c>
      <c r="K2135" s="158">
        <f>24580/D2133</f>
        <v>2.76</v>
      </c>
      <c r="L2135" s="7"/>
      <c r="M2135" s="7"/>
      <c r="N2135" s="7"/>
      <c r="O2135" s="7"/>
      <c r="P2135" s="7"/>
      <c r="Q2135" s="7"/>
      <c r="R2135" s="7"/>
      <c r="S2135" s="7"/>
      <c r="T2135" s="7"/>
      <c r="U2135" s="7"/>
      <c r="V2135" s="7"/>
      <c r="W2135" s="7"/>
    </row>
    <row r="2136" spans="1:23" ht="31" x14ac:dyDescent="0.35">
      <c r="A2136" s="251"/>
      <c r="B2136" s="251"/>
      <c r="C2136" s="252"/>
      <c r="D2136" s="253"/>
      <c r="E2136" s="254"/>
      <c r="F2136" s="269"/>
      <c r="G2136" s="120" t="s">
        <v>680</v>
      </c>
      <c r="H2136" s="159" t="s">
        <v>666</v>
      </c>
      <c r="I2136" s="158">
        <v>24580</v>
      </c>
      <c r="J2136" s="158">
        <f>I2136/D2133</f>
        <v>2.76</v>
      </c>
      <c r="K2136" s="158">
        <f>24580/D2133</f>
        <v>2.76</v>
      </c>
      <c r="L2136" s="7"/>
      <c r="M2136" s="7"/>
      <c r="N2136" s="7"/>
      <c r="O2136" s="7"/>
      <c r="P2136" s="7"/>
      <c r="Q2136" s="7"/>
      <c r="R2136" s="7"/>
      <c r="S2136" s="7"/>
      <c r="T2136" s="7"/>
      <c r="U2136" s="7"/>
      <c r="V2136" s="7"/>
      <c r="W2136" s="7"/>
    </row>
    <row r="2137" spans="1:23" ht="31" x14ac:dyDescent="0.35">
      <c r="A2137" s="251"/>
      <c r="B2137" s="251"/>
      <c r="C2137" s="252"/>
      <c r="D2137" s="253"/>
      <c r="E2137" s="254"/>
      <c r="F2137" s="269"/>
      <c r="G2137" s="120" t="s">
        <v>681</v>
      </c>
      <c r="H2137" s="159" t="s">
        <v>666</v>
      </c>
      <c r="I2137" s="158">
        <v>24580</v>
      </c>
      <c r="J2137" s="158">
        <f>I2137/D2133</f>
        <v>2.76</v>
      </c>
      <c r="K2137" s="158">
        <f>24580/D2133</f>
        <v>2.76</v>
      </c>
      <c r="L2137" s="7"/>
      <c r="M2137" s="7"/>
      <c r="N2137" s="7"/>
      <c r="O2137" s="7"/>
      <c r="P2137" s="7"/>
      <c r="Q2137" s="7"/>
      <c r="R2137" s="7"/>
      <c r="S2137" s="7"/>
      <c r="T2137" s="7"/>
      <c r="U2137" s="7"/>
      <c r="V2137" s="7"/>
      <c r="W2137" s="7"/>
    </row>
    <row r="2138" spans="1:23" ht="15.75" customHeight="1" x14ac:dyDescent="0.35">
      <c r="A2138" s="256">
        <f>A2133+1</f>
        <v>159</v>
      </c>
      <c r="B2138" s="256">
        <v>4334</v>
      </c>
      <c r="C2138" s="259" t="s">
        <v>766</v>
      </c>
      <c r="D2138" s="262">
        <v>8925.1</v>
      </c>
      <c r="E2138" s="268" t="s">
        <v>71</v>
      </c>
      <c r="F2138" s="268">
        <v>10</v>
      </c>
      <c r="G2138" s="251" t="s">
        <v>72</v>
      </c>
      <c r="H2138" s="159" t="s">
        <v>73</v>
      </c>
      <c r="I2138" s="158">
        <f>I2139</f>
        <v>1463716.4</v>
      </c>
      <c r="J2138" s="158">
        <f>J2139</f>
        <v>164</v>
      </c>
      <c r="K2138" s="158">
        <f>K2139</f>
        <v>164</v>
      </c>
      <c r="L2138" s="7"/>
      <c r="M2138" s="7"/>
      <c r="N2138" s="7"/>
      <c r="O2138" s="7"/>
      <c r="P2138" s="7"/>
      <c r="Q2138" s="7"/>
      <c r="R2138" s="7"/>
      <c r="S2138" s="7"/>
      <c r="T2138" s="7"/>
      <c r="U2138" s="7"/>
      <c r="V2138" s="7"/>
      <c r="W2138" s="7"/>
    </row>
    <row r="2139" spans="1:23" ht="46.5" x14ac:dyDescent="0.35">
      <c r="A2139" s="257"/>
      <c r="B2139" s="257"/>
      <c r="C2139" s="260"/>
      <c r="D2139" s="263"/>
      <c r="E2139" s="269"/>
      <c r="F2139" s="269"/>
      <c r="G2139" s="251"/>
      <c r="H2139" s="159" t="s">
        <v>705</v>
      </c>
      <c r="I2139" s="158">
        <f>D2138*K2139</f>
        <v>1463716.4</v>
      </c>
      <c r="J2139" s="158">
        <f>I2139/D2138</f>
        <v>164</v>
      </c>
      <c r="K2139" s="158">
        <f>151+13</f>
        <v>164</v>
      </c>
      <c r="L2139" s="7"/>
      <c r="M2139" s="7"/>
      <c r="N2139" s="7"/>
      <c r="O2139" s="7"/>
      <c r="P2139" s="7"/>
      <c r="Q2139" s="7"/>
      <c r="R2139" s="7"/>
      <c r="S2139" s="7"/>
      <c r="T2139" s="7"/>
      <c r="U2139" s="7"/>
      <c r="V2139" s="7"/>
      <c r="W2139" s="7"/>
    </row>
    <row r="2140" spans="1:23" ht="15.75" customHeight="1" x14ac:dyDescent="0.35">
      <c r="A2140" s="256">
        <f>A2138+1</f>
        <v>160</v>
      </c>
      <c r="B2140" s="256">
        <v>4335</v>
      </c>
      <c r="C2140" s="259" t="s">
        <v>126</v>
      </c>
      <c r="D2140" s="262">
        <v>2109.1999999999998</v>
      </c>
      <c r="E2140" s="268" t="s">
        <v>75</v>
      </c>
      <c r="F2140" s="268">
        <v>5</v>
      </c>
      <c r="G2140" s="256" t="s">
        <v>85</v>
      </c>
      <c r="H2140" s="159" t="s">
        <v>73</v>
      </c>
      <c r="I2140" s="158">
        <f>I2141</f>
        <v>92804.800000000003</v>
      </c>
      <c r="J2140" s="158">
        <f>J2141</f>
        <v>44</v>
      </c>
      <c r="K2140" s="158">
        <f>K2141</f>
        <v>44</v>
      </c>
      <c r="L2140" s="7"/>
      <c r="M2140" s="7"/>
      <c r="N2140" s="7"/>
      <c r="O2140" s="7"/>
      <c r="P2140" s="7"/>
      <c r="Q2140" s="7"/>
      <c r="R2140" s="7"/>
      <c r="S2140" s="7"/>
      <c r="T2140" s="7"/>
      <c r="U2140" s="7"/>
      <c r="V2140" s="7"/>
      <c r="W2140" s="7"/>
    </row>
    <row r="2141" spans="1:23" ht="46.5" x14ac:dyDescent="0.35">
      <c r="A2141" s="257"/>
      <c r="B2141" s="257"/>
      <c r="C2141" s="260"/>
      <c r="D2141" s="263"/>
      <c r="E2141" s="269"/>
      <c r="F2141" s="273"/>
      <c r="G2141" s="257"/>
      <c r="H2141" s="159" t="s">
        <v>705</v>
      </c>
      <c r="I2141" s="158">
        <f>D2140*K2141</f>
        <v>92804.800000000003</v>
      </c>
      <c r="J2141" s="158">
        <f>I2141/D2140</f>
        <v>44</v>
      </c>
      <c r="K2141" s="158">
        <f>41+3</f>
        <v>44</v>
      </c>
      <c r="L2141" s="7"/>
      <c r="M2141" s="7"/>
      <c r="N2141" s="7"/>
      <c r="O2141" s="7"/>
      <c r="P2141" s="7"/>
      <c r="Q2141" s="7"/>
      <c r="R2141" s="7"/>
      <c r="S2141" s="7"/>
      <c r="T2141" s="7"/>
      <c r="U2141" s="7"/>
      <c r="V2141" s="7"/>
      <c r="W2141" s="7"/>
    </row>
    <row r="2142" spans="1:23" ht="15.75" customHeight="1" x14ac:dyDescent="0.35">
      <c r="A2142" s="251">
        <f>A2140+1</f>
        <v>161</v>
      </c>
      <c r="B2142" s="251">
        <v>3431</v>
      </c>
      <c r="C2142" s="252" t="s">
        <v>767</v>
      </c>
      <c r="D2142" s="253">
        <v>5083.3999999999996</v>
      </c>
      <c r="E2142" s="254" t="s">
        <v>75</v>
      </c>
      <c r="F2142" s="268">
        <v>14</v>
      </c>
      <c r="G2142" s="123"/>
      <c r="H2142" s="159" t="s">
        <v>73</v>
      </c>
      <c r="I2142" s="158">
        <f>I2143+I2144</f>
        <v>49160</v>
      </c>
      <c r="J2142" s="158">
        <f>J2143+J2144</f>
        <v>9.67</v>
      </c>
      <c r="K2142" s="158">
        <f>K2143+K2144</f>
        <v>9.67</v>
      </c>
      <c r="L2142" s="7"/>
      <c r="M2142" s="7"/>
      <c r="N2142" s="7"/>
      <c r="O2142" s="7"/>
      <c r="P2142" s="7"/>
      <c r="Q2142" s="7"/>
      <c r="R2142" s="7"/>
      <c r="S2142" s="7"/>
      <c r="T2142" s="7"/>
      <c r="U2142" s="7"/>
      <c r="V2142" s="7"/>
      <c r="W2142" s="7"/>
    </row>
    <row r="2143" spans="1:23" ht="31" x14ac:dyDescent="0.35">
      <c r="A2143" s="251"/>
      <c r="B2143" s="251"/>
      <c r="C2143" s="252"/>
      <c r="D2143" s="253"/>
      <c r="E2143" s="254"/>
      <c r="F2143" s="269"/>
      <c r="G2143" s="120" t="s">
        <v>673</v>
      </c>
      <c r="H2143" s="159" t="s">
        <v>666</v>
      </c>
      <c r="I2143" s="158">
        <v>24580</v>
      </c>
      <c r="J2143" s="158">
        <f>I2143/D2142</f>
        <v>4.84</v>
      </c>
      <c r="K2143" s="158">
        <f>24580/D2142</f>
        <v>4.84</v>
      </c>
      <c r="L2143" s="7"/>
      <c r="M2143" s="7"/>
      <c r="N2143" s="7"/>
      <c r="O2143" s="7"/>
      <c r="P2143" s="7"/>
      <c r="Q2143" s="7"/>
      <c r="R2143" s="7"/>
      <c r="S2143" s="7"/>
      <c r="T2143" s="7"/>
      <c r="U2143" s="7"/>
      <c r="V2143" s="7"/>
      <c r="W2143" s="7"/>
    </row>
    <row r="2144" spans="1:23" ht="31" x14ac:dyDescent="0.35">
      <c r="A2144" s="251"/>
      <c r="B2144" s="251"/>
      <c r="C2144" s="252"/>
      <c r="D2144" s="253"/>
      <c r="E2144" s="254"/>
      <c r="F2144" s="269"/>
      <c r="G2144" s="120" t="s">
        <v>673</v>
      </c>
      <c r="H2144" s="159" t="s">
        <v>666</v>
      </c>
      <c r="I2144" s="158">
        <v>24580</v>
      </c>
      <c r="J2144" s="158">
        <f>I2144/D2142-0.01</f>
        <v>4.83</v>
      </c>
      <c r="K2144" s="158">
        <f>24580/D2142-0.01</f>
        <v>4.83</v>
      </c>
      <c r="L2144" s="7"/>
      <c r="M2144" s="7"/>
      <c r="N2144" s="7"/>
      <c r="O2144" s="7"/>
      <c r="P2144" s="7"/>
      <c r="Q2144" s="7"/>
      <c r="R2144" s="7"/>
      <c r="S2144" s="7"/>
      <c r="T2144" s="7"/>
      <c r="U2144" s="7"/>
      <c r="V2144" s="7"/>
      <c r="W2144" s="7"/>
    </row>
    <row r="2145" spans="1:23" ht="15.75" customHeight="1" x14ac:dyDescent="0.35">
      <c r="A2145" s="251">
        <f>A2142+1</f>
        <v>162</v>
      </c>
      <c r="B2145" s="251">
        <v>3116</v>
      </c>
      <c r="C2145" s="252" t="s">
        <v>768</v>
      </c>
      <c r="D2145" s="253">
        <v>2341</v>
      </c>
      <c r="E2145" s="254" t="s">
        <v>75</v>
      </c>
      <c r="F2145" s="254">
        <v>5</v>
      </c>
      <c r="G2145" s="251" t="s">
        <v>72</v>
      </c>
      <c r="H2145" s="159" t="s">
        <v>73</v>
      </c>
      <c r="I2145" s="158">
        <f>I2146</f>
        <v>383924</v>
      </c>
      <c r="J2145" s="158">
        <f>J2146</f>
        <v>164</v>
      </c>
      <c r="K2145" s="158">
        <f>K2146</f>
        <v>164</v>
      </c>
      <c r="L2145" s="7"/>
      <c r="M2145" s="7"/>
      <c r="N2145" s="7"/>
      <c r="O2145" s="7"/>
      <c r="P2145" s="7"/>
      <c r="Q2145" s="7"/>
      <c r="R2145" s="7"/>
      <c r="S2145" s="7"/>
      <c r="T2145" s="7"/>
      <c r="U2145" s="7"/>
      <c r="V2145" s="7"/>
      <c r="W2145" s="7"/>
    </row>
    <row r="2146" spans="1:23" ht="46.5" x14ac:dyDescent="0.35">
      <c r="A2146" s="251"/>
      <c r="B2146" s="251"/>
      <c r="C2146" s="252"/>
      <c r="D2146" s="253"/>
      <c r="E2146" s="254"/>
      <c r="F2146" s="254"/>
      <c r="G2146" s="251"/>
      <c r="H2146" s="159" t="s">
        <v>705</v>
      </c>
      <c r="I2146" s="158">
        <f>D2145*K2146</f>
        <v>383924</v>
      </c>
      <c r="J2146" s="158">
        <f>I2146/D2145</f>
        <v>164</v>
      </c>
      <c r="K2146" s="158">
        <f>151+13</f>
        <v>164</v>
      </c>
      <c r="L2146" s="7"/>
      <c r="M2146" s="7"/>
      <c r="N2146" s="7"/>
      <c r="O2146" s="7"/>
      <c r="P2146" s="7"/>
      <c r="Q2146" s="7"/>
      <c r="R2146" s="7"/>
      <c r="S2146" s="7"/>
      <c r="T2146" s="7"/>
      <c r="U2146" s="7"/>
      <c r="V2146" s="7"/>
      <c r="W2146" s="7"/>
    </row>
    <row r="2147" spans="1:23" ht="15.75" customHeight="1" x14ac:dyDescent="0.35">
      <c r="A2147" s="256">
        <f>A2145+1</f>
        <v>163</v>
      </c>
      <c r="B2147" s="256">
        <v>3291</v>
      </c>
      <c r="C2147" s="259" t="s">
        <v>593</v>
      </c>
      <c r="D2147" s="262">
        <v>2878.8</v>
      </c>
      <c r="E2147" s="268" t="s">
        <v>71</v>
      </c>
      <c r="F2147" s="268">
        <v>5</v>
      </c>
      <c r="G2147" s="256" t="s">
        <v>72</v>
      </c>
      <c r="H2147" s="159" t="s">
        <v>73</v>
      </c>
      <c r="I2147" s="158">
        <f>I2148</f>
        <v>472123.2</v>
      </c>
      <c r="J2147" s="158">
        <f>J2148</f>
        <v>164</v>
      </c>
      <c r="K2147" s="158">
        <f>K2148</f>
        <v>164</v>
      </c>
      <c r="L2147" s="7"/>
      <c r="M2147" s="7"/>
      <c r="N2147" s="7"/>
      <c r="O2147" s="7"/>
      <c r="P2147" s="7"/>
      <c r="Q2147" s="7"/>
      <c r="R2147" s="7"/>
      <c r="S2147" s="7"/>
      <c r="T2147" s="7"/>
      <c r="U2147" s="7"/>
      <c r="V2147" s="7"/>
      <c r="W2147" s="7"/>
    </row>
    <row r="2148" spans="1:23" ht="46.5" x14ac:dyDescent="0.35">
      <c r="A2148" s="257"/>
      <c r="B2148" s="257"/>
      <c r="C2148" s="260"/>
      <c r="D2148" s="263"/>
      <c r="E2148" s="269"/>
      <c r="F2148" s="273"/>
      <c r="G2148" s="257"/>
      <c r="H2148" s="159" t="s">
        <v>705</v>
      </c>
      <c r="I2148" s="158">
        <f>D2147*K2148</f>
        <v>472123.2</v>
      </c>
      <c r="J2148" s="158">
        <f>I2148/D2147</f>
        <v>164</v>
      </c>
      <c r="K2148" s="158">
        <f>151+13</f>
        <v>164</v>
      </c>
      <c r="L2148" s="7"/>
      <c r="M2148" s="7"/>
      <c r="N2148" s="7"/>
      <c r="O2148" s="7"/>
      <c r="P2148" s="7"/>
      <c r="Q2148" s="7"/>
      <c r="R2148" s="7"/>
      <c r="S2148" s="7"/>
      <c r="T2148" s="7"/>
      <c r="U2148" s="7"/>
      <c r="V2148" s="7"/>
      <c r="W2148" s="7"/>
    </row>
    <row r="2149" spans="1:23" ht="15.75" customHeight="1" x14ac:dyDescent="0.35">
      <c r="A2149" s="256">
        <f>A2147+1</f>
        <v>164</v>
      </c>
      <c r="B2149" s="256">
        <v>3295</v>
      </c>
      <c r="C2149" s="259" t="s">
        <v>594</v>
      </c>
      <c r="D2149" s="262">
        <v>3558.7</v>
      </c>
      <c r="E2149" s="268" t="s">
        <v>71</v>
      </c>
      <c r="F2149" s="268">
        <v>5</v>
      </c>
      <c r="G2149" s="256" t="s">
        <v>72</v>
      </c>
      <c r="H2149" s="159" t="s">
        <v>73</v>
      </c>
      <c r="I2149" s="158">
        <f>I2150</f>
        <v>583626.80000000005</v>
      </c>
      <c r="J2149" s="158">
        <f>J2150</f>
        <v>164</v>
      </c>
      <c r="K2149" s="158">
        <f>K2150</f>
        <v>164</v>
      </c>
      <c r="L2149" s="7"/>
      <c r="M2149" s="7"/>
      <c r="N2149" s="7"/>
      <c r="O2149" s="7"/>
      <c r="P2149" s="7"/>
      <c r="Q2149" s="7"/>
      <c r="R2149" s="7"/>
      <c r="S2149" s="7"/>
      <c r="T2149" s="7"/>
      <c r="U2149" s="7"/>
      <c r="V2149" s="7"/>
      <c r="W2149" s="7"/>
    </row>
    <row r="2150" spans="1:23" ht="46.5" x14ac:dyDescent="0.35">
      <c r="A2150" s="257"/>
      <c r="B2150" s="257"/>
      <c r="C2150" s="260"/>
      <c r="D2150" s="263"/>
      <c r="E2150" s="269"/>
      <c r="F2150" s="273"/>
      <c r="G2150" s="257"/>
      <c r="H2150" s="159" t="s">
        <v>705</v>
      </c>
      <c r="I2150" s="158">
        <f>D2149*K2150</f>
        <v>583626.80000000005</v>
      </c>
      <c r="J2150" s="158">
        <f>I2150/D2149</f>
        <v>164</v>
      </c>
      <c r="K2150" s="158">
        <f>151+13</f>
        <v>164</v>
      </c>
      <c r="L2150" s="7"/>
      <c r="M2150" s="7"/>
      <c r="N2150" s="7"/>
      <c r="O2150" s="7"/>
      <c r="P2150" s="7"/>
      <c r="Q2150" s="7"/>
      <c r="R2150" s="7"/>
      <c r="S2150" s="7"/>
      <c r="T2150" s="7"/>
      <c r="U2150" s="7"/>
      <c r="V2150" s="7"/>
      <c r="W2150" s="7"/>
    </row>
    <row r="2151" spans="1:23" ht="15.75" customHeight="1" x14ac:dyDescent="0.35">
      <c r="A2151" s="256">
        <f>A2149+1</f>
        <v>165</v>
      </c>
      <c r="B2151" s="256">
        <v>3298</v>
      </c>
      <c r="C2151" s="259" t="s">
        <v>595</v>
      </c>
      <c r="D2151" s="262">
        <v>2717.8</v>
      </c>
      <c r="E2151" s="268" t="s">
        <v>71</v>
      </c>
      <c r="F2151" s="268">
        <v>5</v>
      </c>
      <c r="G2151" s="256" t="s">
        <v>72</v>
      </c>
      <c r="H2151" s="159" t="s">
        <v>73</v>
      </c>
      <c r="I2151" s="158">
        <f>I2152</f>
        <v>445719.2</v>
      </c>
      <c r="J2151" s="158">
        <f>J2152</f>
        <v>164</v>
      </c>
      <c r="K2151" s="158">
        <f>K2152</f>
        <v>164</v>
      </c>
      <c r="L2151" s="7"/>
      <c r="M2151" s="7"/>
      <c r="N2151" s="7"/>
      <c r="O2151" s="7"/>
      <c r="P2151" s="7"/>
      <c r="Q2151" s="7"/>
      <c r="R2151" s="7"/>
      <c r="S2151" s="7"/>
      <c r="T2151" s="7"/>
      <c r="U2151" s="7"/>
      <c r="V2151" s="7"/>
      <c r="W2151" s="7"/>
    </row>
    <row r="2152" spans="1:23" ht="46.5" x14ac:dyDescent="0.35">
      <c r="A2152" s="257"/>
      <c r="B2152" s="257"/>
      <c r="C2152" s="260"/>
      <c r="D2152" s="263"/>
      <c r="E2152" s="269"/>
      <c r="F2152" s="273"/>
      <c r="G2152" s="257"/>
      <c r="H2152" s="159" t="s">
        <v>705</v>
      </c>
      <c r="I2152" s="158">
        <f>D2151*K2152</f>
        <v>445719.2</v>
      </c>
      <c r="J2152" s="158">
        <f>I2152/D2151</f>
        <v>164</v>
      </c>
      <c r="K2152" s="158">
        <f>151+13</f>
        <v>164</v>
      </c>
      <c r="L2152" s="7"/>
      <c r="M2152" s="7"/>
      <c r="N2152" s="7"/>
      <c r="O2152" s="7"/>
      <c r="P2152" s="7"/>
      <c r="Q2152" s="7"/>
      <c r="R2152" s="7"/>
      <c r="S2152" s="7"/>
      <c r="T2152" s="7"/>
      <c r="U2152" s="7"/>
      <c r="V2152" s="7"/>
      <c r="W2152" s="7"/>
    </row>
    <row r="2153" spans="1:23" ht="15.75" customHeight="1" x14ac:dyDescent="0.35">
      <c r="A2153" s="251">
        <f>A2151+1</f>
        <v>166</v>
      </c>
      <c r="B2153" s="251">
        <v>3299</v>
      </c>
      <c r="C2153" s="252" t="s">
        <v>127</v>
      </c>
      <c r="D2153" s="253">
        <v>3495.95</v>
      </c>
      <c r="E2153" s="254" t="s">
        <v>71</v>
      </c>
      <c r="F2153" s="268">
        <v>5</v>
      </c>
      <c r="G2153" s="251" t="s">
        <v>72</v>
      </c>
      <c r="H2153" s="159" t="s">
        <v>73</v>
      </c>
      <c r="I2153" s="158">
        <f>I2154</f>
        <v>573335.80000000005</v>
      </c>
      <c r="J2153" s="158">
        <f>J2154</f>
        <v>164</v>
      </c>
      <c r="K2153" s="158">
        <f>K2154</f>
        <v>164</v>
      </c>
      <c r="L2153" s="7"/>
      <c r="M2153" s="7"/>
      <c r="N2153" s="7"/>
      <c r="O2153" s="7"/>
      <c r="P2153" s="7"/>
      <c r="Q2153" s="7"/>
      <c r="R2153" s="7"/>
      <c r="S2153" s="7"/>
      <c r="T2153" s="7"/>
      <c r="U2153" s="7"/>
      <c r="V2153" s="7"/>
      <c r="W2153" s="7"/>
    </row>
    <row r="2154" spans="1:23" ht="46.5" x14ac:dyDescent="0.35">
      <c r="A2154" s="251"/>
      <c r="B2154" s="251"/>
      <c r="C2154" s="252"/>
      <c r="D2154" s="253"/>
      <c r="E2154" s="254"/>
      <c r="F2154" s="273"/>
      <c r="G2154" s="251"/>
      <c r="H2154" s="159" t="s">
        <v>705</v>
      </c>
      <c r="I2154" s="158">
        <f>D2153*K2154</f>
        <v>573335.80000000005</v>
      </c>
      <c r="J2154" s="158">
        <f>I2154/D2153</f>
        <v>164</v>
      </c>
      <c r="K2154" s="158">
        <f>151+13</f>
        <v>164</v>
      </c>
      <c r="L2154" s="7"/>
      <c r="M2154" s="7"/>
      <c r="N2154" s="7"/>
      <c r="O2154" s="7"/>
      <c r="P2154" s="7"/>
      <c r="Q2154" s="7"/>
      <c r="R2154" s="7"/>
      <c r="S2154" s="7"/>
      <c r="T2154" s="7"/>
      <c r="U2154" s="7"/>
      <c r="V2154" s="7"/>
      <c r="W2154" s="7"/>
    </row>
    <row r="2155" spans="1:23" ht="15.75" customHeight="1" x14ac:dyDescent="0.35">
      <c r="A2155" s="251">
        <f>A2153+1</f>
        <v>167</v>
      </c>
      <c r="B2155" s="251">
        <v>3301</v>
      </c>
      <c r="C2155" s="252" t="s">
        <v>596</v>
      </c>
      <c r="D2155" s="253">
        <v>8954.2000000000007</v>
      </c>
      <c r="E2155" s="254" t="s">
        <v>71</v>
      </c>
      <c r="F2155" s="268">
        <v>10</v>
      </c>
      <c r="G2155" s="123"/>
      <c r="H2155" s="159" t="s">
        <v>73</v>
      </c>
      <c r="I2155" s="158">
        <f>I2156+I2157+I2158+I2159+I2160+I2161+I2162+I2163+I2164+I2165+I2166+I2167</f>
        <v>7079888</v>
      </c>
      <c r="J2155" s="158">
        <f>J2156+J2157+J2158+J2159+J2160+J2161+J2162+J2163+J2164+J2165+J2166+J2167</f>
        <v>790.68</v>
      </c>
      <c r="K2155" s="158">
        <f>K2156+K2157+K2158+K2159+K2160+K2161+K2162+K2163+K2164+K2165+K2166+K2167</f>
        <v>790.68</v>
      </c>
      <c r="L2155" s="7"/>
      <c r="M2155" s="7"/>
      <c r="N2155" s="7"/>
      <c r="O2155" s="7"/>
      <c r="P2155" s="7"/>
      <c r="Q2155" s="7"/>
      <c r="R2155" s="7"/>
      <c r="S2155" s="7"/>
      <c r="T2155" s="7"/>
      <c r="U2155" s="7"/>
      <c r="V2155" s="7"/>
      <c r="W2155" s="7"/>
    </row>
    <row r="2156" spans="1:23" ht="31" x14ac:dyDescent="0.35">
      <c r="A2156" s="251"/>
      <c r="B2156" s="251"/>
      <c r="C2156" s="252"/>
      <c r="D2156" s="253"/>
      <c r="E2156" s="254"/>
      <c r="F2156" s="269"/>
      <c r="G2156" s="256" t="s">
        <v>673</v>
      </c>
      <c r="H2156" s="159" t="s">
        <v>666</v>
      </c>
      <c r="I2156" s="158">
        <v>24580</v>
      </c>
      <c r="J2156" s="158">
        <f>I2156/D2155</f>
        <v>2.75</v>
      </c>
      <c r="K2156" s="158">
        <f>24580/D2155</f>
        <v>2.75</v>
      </c>
      <c r="L2156" s="7"/>
      <c r="M2156" s="7"/>
      <c r="N2156" s="7"/>
      <c r="O2156" s="7"/>
      <c r="P2156" s="7"/>
      <c r="Q2156" s="7"/>
      <c r="R2156" s="7"/>
      <c r="S2156" s="7"/>
      <c r="T2156" s="7"/>
      <c r="U2156" s="7"/>
      <c r="V2156" s="7"/>
      <c r="W2156" s="7"/>
    </row>
    <row r="2157" spans="1:23" x14ac:dyDescent="0.35">
      <c r="A2157" s="251">
        <v>756</v>
      </c>
      <c r="B2157" s="251"/>
      <c r="C2157" s="252"/>
      <c r="D2157" s="253"/>
      <c r="E2157" s="254"/>
      <c r="F2157" s="269"/>
      <c r="G2157" s="257"/>
      <c r="H2157" s="159" t="s">
        <v>674</v>
      </c>
      <c r="I2157" s="158">
        <v>1708823</v>
      </c>
      <c r="J2157" s="158">
        <f>I2157/D2155</f>
        <v>190.84</v>
      </c>
      <c r="K2157" s="158">
        <f>1708823/D2155</f>
        <v>190.84</v>
      </c>
      <c r="L2157" s="7"/>
      <c r="M2157" s="7"/>
      <c r="N2157" s="7"/>
      <c r="O2157" s="7"/>
      <c r="P2157" s="7"/>
      <c r="Q2157" s="7"/>
      <c r="R2157" s="7"/>
      <c r="S2157" s="7"/>
      <c r="T2157" s="7"/>
      <c r="U2157" s="7"/>
      <c r="V2157" s="7"/>
      <c r="W2157" s="7"/>
    </row>
    <row r="2158" spans="1:23" x14ac:dyDescent="0.35">
      <c r="A2158" s="251">
        <v>757</v>
      </c>
      <c r="B2158" s="251"/>
      <c r="C2158" s="252"/>
      <c r="D2158" s="253"/>
      <c r="E2158" s="254"/>
      <c r="F2158" s="269"/>
      <c r="G2158" s="258"/>
      <c r="H2158" s="159" t="s">
        <v>76</v>
      </c>
      <c r="I2158" s="158">
        <v>36569</v>
      </c>
      <c r="J2158" s="158">
        <f>I2158/D2155</f>
        <v>4.08</v>
      </c>
      <c r="K2158" s="158">
        <f>36569/D2155</f>
        <v>4.08</v>
      </c>
      <c r="L2158" s="7"/>
      <c r="M2158" s="7"/>
      <c r="N2158" s="7"/>
      <c r="O2158" s="7"/>
      <c r="P2158" s="7"/>
      <c r="Q2158" s="7"/>
      <c r="R2158" s="7"/>
      <c r="S2158" s="7"/>
      <c r="T2158" s="7"/>
      <c r="U2158" s="7"/>
      <c r="V2158" s="7"/>
      <c r="W2158" s="7"/>
    </row>
    <row r="2159" spans="1:23" ht="31" x14ac:dyDescent="0.35">
      <c r="A2159" s="251"/>
      <c r="B2159" s="251"/>
      <c r="C2159" s="252"/>
      <c r="D2159" s="253"/>
      <c r="E2159" s="254"/>
      <c r="F2159" s="269"/>
      <c r="G2159" s="256" t="s">
        <v>679</v>
      </c>
      <c r="H2159" s="159" t="s">
        <v>666</v>
      </c>
      <c r="I2159" s="158">
        <v>24580</v>
      </c>
      <c r="J2159" s="158">
        <f>I2159/D2155</f>
        <v>2.75</v>
      </c>
      <c r="K2159" s="158">
        <f>24580/D2155</f>
        <v>2.75</v>
      </c>
      <c r="L2159" s="7"/>
      <c r="M2159" s="7"/>
      <c r="N2159" s="7"/>
      <c r="O2159" s="7"/>
      <c r="P2159" s="7"/>
      <c r="Q2159" s="7"/>
      <c r="R2159" s="7"/>
      <c r="S2159" s="7"/>
      <c r="T2159" s="7"/>
      <c r="U2159" s="7"/>
      <c r="V2159" s="7"/>
      <c r="W2159" s="7"/>
    </row>
    <row r="2160" spans="1:23" x14ac:dyDescent="0.35">
      <c r="A2160" s="251"/>
      <c r="B2160" s="251"/>
      <c r="C2160" s="252"/>
      <c r="D2160" s="253"/>
      <c r="E2160" s="254"/>
      <c r="F2160" s="269"/>
      <c r="G2160" s="257"/>
      <c r="H2160" s="159" t="s">
        <v>674</v>
      </c>
      <c r="I2160" s="158">
        <v>1708823</v>
      </c>
      <c r="J2160" s="158">
        <f>I2160/D2155</f>
        <v>190.84</v>
      </c>
      <c r="K2160" s="158">
        <f>1708823/D2155</f>
        <v>190.84</v>
      </c>
      <c r="L2160" s="7"/>
      <c r="M2160" s="7"/>
      <c r="N2160" s="7"/>
      <c r="O2160" s="7"/>
      <c r="P2160" s="7"/>
      <c r="Q2160" s="7"/>
      <c r="R2160" s="7"/>
      <c r="S2160" s="7"/>
      <c r="T2160" s="7"/>
      <c r="U2160" s="7"/>
      <c r="V2160" s="7"/>
      <c r="W2160" s="7"/>
    </row>
    <row r="2161" spans="1:23" x14ac:dyDescent="0.35">
      <c r="A2161" s="251"/>
      <c r="B2161" s="251"/>
      <c r="C2161" s="252"/>
      <c r="D2161" s="253"/>
      <c r="E2161" s="254"/>
      <c r="F2161" s="269"/>
      <c r="G2161" s="258"/>
      <c r="H2161" s="159" t="s">
        <v>76</v>
      </c>
      <c r="I2161" s="158">
        <v>36569</v>
      </c>
      <c r="J2161" s="158">
        <f>I2161/D2155</f>
        <v>4.08</v>
      </c>
      <c r="K2161" s="158">
        <f>36569/D2155</f>
        <v>4.08</v>
      </c>
      <c r="L2161" s="7"/>
      <c r="M2161" s="7"/>
      <c r="N2161" s="7"/>
      <c r="O2161" s="7"/>
      <c r="P2161" s="7"/>
      <c r="Q2161" s="7"/>
      <c r="R2161" s="7"/>
      <c r="S2161" s="7"/>
      <c r="T2161" s="7"/>
      <c r="U2161" s="7"/>
      <c r="V2161" s="7"/>
      <c r="W2161" s="7"/>
    </row>
    <row r="2162" spans="1:23" ht="31" x14ac:dyDescent="0.35">
      <c r="A2162" s="251"/>
      <c r="B2162" s="251"/>
      <c r="C2162" s="252"/>
      <c r="D2162" s="253"/>
      <c r="E2162" s="254"/>
      <c r="F2162" s="269"/>
      <c r="G2162" s="256" t="s">
        <v>680</v>
      </c>
      <c r="H2162" s="159" t="s">
        <v>666</v>
      </c>
      <c r="I2162" s="158">
        <v>24580</v>
      </c>
      <c r="J2162" s="158">
        <f>I2162/D2155</f>
        <v>2.75</v>
      </c>
      <c r="K2162" s="158">
        <f>24580/D2155</f>
        <v>2.75</v>
      </c>
      <c r="L2162" s="7"/>
      <c r="M2162" s="7"/>
      <c r="N2162" s="7"/>
      <c r="O2162" s="7"/>
      <c r="P2162" s="7"/>
      <c r="Q2162" s="7"/>
      <c r="R2162" s="7"/>
      <c r="S2162" s="7"/>
      <c r="T2162" s="7"/>
      <c r="U2162" s="7"/>
      <c r="V2162" s="7"/>
      <c r="W2162" s="7"/>
    </row>
    <row r="2163" spans="1:23" x14ac:dyDescent="0.35">
      <c r="A2163" s="251"/>
      <c r="B2163" s="251"/>
      <c r="C2163" s="252"/>
      <c r="D2163" s="253"/>
      <c r="E2163" s="254"/>
      <c r="F2163" s="269"/>
      <c r="G2163" s="257"/>
      <c r="H2163" s="159" t="s">
        <v>674</v>
      </c>
      <c r="I2163" s="158">
        <v>1708823</v>
      </c>
      <c r="J2163" s="158">
        <f>I2163/D2155</f>
        <v>190.84</v>
      </c>
      <c r="K2163" s="158">
        <f>1708823/D2155</f>
        <v>190.84</v>
      </c>
      <c r="L2163" s="7"/>
      <c r="M2163" s="7"/>
      <c r="N2163" s="7"/>
      <c r="O2163" s="7"/>
      <c r="P2163" s="7"/>
      <c r="Q2163" s="7"/>
      <c r="R2163" s="7"/>
      <c r="S2163" s="7"/>
      <c r="T2163" s="7"/>
      <c r="U2163" s="7"/>
      <c r="V2163" s="7"/>
      <c r="W2163" s="7"/>
    </row>
    <row r="2164" spans="1:23" x14ac:dyDescent="0.35">
      <c r="A2164" s="251"/>
      <c r="B2164" s="251"/>
      <c r="C2164" s="252"/>
      <c r="D2164" s="253"/>
      <c r="E2164" s="254"/>
      <c r="F2164" s="269"/>
      <c r="G2164" s="258"/>
      <c r="H2164" s="159" t="s">
        <v>76</v>
      </c>
      <c r="I2164" s="158">
        <v>36569</v>
      </c>
      <c r="J2164" s="158">
        <f>I2164/D2155</f>
        <v>4.08</v>
      </c>
      <c r="K2164" s="158">
        <f>36569/D2155</f>
        <v>4.08</v>
      </c>
      <c r="L2164" s="7"/>
      <c r="M2164" s="7"/>
      <c r="N2164" s="7"/>
      <c r="O2164" s="7"/>
      <c r="P2164" s="7"/>
      <c r="Q2164" s="7"/>
      <c r="R2164" s="7"/>
      <c r="S2164" s="7"/>
      <c r="T2164" s="7"/>
      <c r="U2164" s="7"/>
      <c r="V2164" s="7"/>
      <c r="W2164" s="7"/>
    </row>
    <row r="2165" spans="1:23" ht="31" x14ac:dyDescent="0.35">
      <c r="A2165" s="251"/>
      <c r="B2165" s="251"/>
      <c r="C2165" s="252"/>
      <c r="D2165" s="253"/>
      <c r="E2165" s="254"/>
      <c r="F2165" s="269"/>
      <c r="G2165" s="256" t="s">
        <v>681</v>
      </c>
      <c r="H2165" s="159" t="s">
        <v>666</v>
      </c>
      <c r="I2165" s="158">
        <v>24580</v>
      </c>
      <c r="J2165" s="158">
        <f>I2165/D2155</f>
        <v>2.75</v>
      </c>
      <c r="K2165" s="158">
        <f>24580/D2155</f>
        <v>2.75</v>
      </c>
      <c r="L2165" s="7"/>
      <c r="M2165" s="7"/>
      <c r="N2165" s="7"/>
      <c r="O2165" s="7"/>
      <c r="P2165" s="7"/>
      <c r="Q2165" s="7"/>
      <c r="R2165" s="7"/>
      <c r="S2165" s="7"/>
      <c r="T2165" s="7"/>
      <c r="U2165" s="7"/>
      <c r="V2165" s="7"/>
      <c r="W2165" s="7"/>
    </row>
    <row r="2166" spans="1:23" x14ac:dyDescent="0.35">
      <c r="A2166" s="251"/>
      <c r="B2166" s="251"/>
      <c r="C2166" s="252"/>
      <c r="D2166" s="253"/>
      <c r="E2166" s="254"/>
      <c r="F2166" s="269"/>
      <c r="G2166" s="257"/>
      <c r="H2166" s="159" t="s">
        <v>674</v>
      </c>
      <c r="I2166" s="158">
        <v>1708823</v>
      </c>
      <c r="J2166" s="158">
        <f>I2166/D2155</f>
        <v>190.84</v>
      </c>
      <c r="K2166" s="158">
        <f>1708823/D2155</f>
        <v>190.84</v>
      </c>
      <c r="L2166" s="7"/>
      <c r="M2166" s="7"/>
      <c r="N2166" s="7"/>
      <c r="O2166" s="7"/>
      <c r="P2166" s="7"/>
      <c r="Q2166" s="7"/>
      <c r="R2166" s="7"/>
      <c r="S2166" s="7"/>
      <c r="T2166" s="7"/>
      <c r="U2166" s="7"/>
      <c r="V2166" s="7"/>
      <c r="W2166" s="7"/>
    </row>
    <row r="2167" spans="1:23" x14ac:dyDescent="0.35">
      <c r="A2167" s="251"/>
      <c r="B2167" s="251"/>
      <c r="C2167" s="252"/>
      <c r="D2167" s="253"/>
      <c r="E2167" s="254"/>
      <c r="F2167" s="273"/>
      <c r="G2167" s="258"/>
      <c r="H2167" s="159" t="s">
        <v>76</v>
      </c>
      <c r="I2167" s="158">
        <v>36569</v>
      </c>
      <c r="J2167" s="158">
        <f>I2167/D2155</f>
        <v>4.08</v>
      </c>
      <c r="K2167" s="158">
        <f>36569/D2155</f>
        <v>4.08</v>
      </c>
      <c r="L2167" s="7"/>
      <c r="M2167" s="7"/>
      <c r="N2167" s="7"/>
      <c r="O2167" s="7"/>
      <c r="P2167" s="7"/>
      <c r="Q2167" s="7"/>
      <c r="R2167" s="7"/>
      <c r="S2167" s="7"/>
      <c r="T2167" s="7"/>
      <c r="U2167" s="7"/>
      <c r="V2167" s="7"/>
      <c r="W2167" s="7"/>
    </row>
    <row r="2168" spans="1:23" ht="15.75" customHeight="1" x14ac:dyDescent="0.35">
      <c r="A2168" s="251">
        <f>A2155+1</f>
        <v>168</v>
      </c>
      <c r="B2168" s="251">
        <v>3105</v>
      </c>
      <c r="C2168" s="252" t="s">
        <v>769</v>
      </c>
      <c r="D2168" s="253">
        <v>11658.1</v>
      </c>
      <c r="E2168" s="254" t="s">
        <v>71</v>
      </c>
      <c r="F2168" s="254">
        <v>10</v>
      </c>
      <c r="G2168" s="251" t="s">
        <v>72</v>
      </c>
      <c r="H2168" s="159" t="s">
        <v>73</v>
      </c>
      <c r="I2168" s="158">
        <f>I2169</f>
        <v>1911928.4</v>
      </c>
      <c r="J2168" s="158">
        <f>J2169</f>
        <v>164</v>
      </c>
      <c r="K2168" s="158">
        <f>K2169</f>
        <v>164</v>
      </c>
      <c r="L2168" s="7"/>
      <c r="M2168" s="7"/>
      <c r="N2168" s="7"/>
      <c r="O2168" s="7"/>
      <c r="P2168" s="7"/>
      <c r="Q2168" s="7"/>
      <c r="R2168" s="7"/>
      <c r="S2168" s="7"/>
      <c r="T2168" s="7"/>
      <c r="U2168" s="7"/>
      <c r="V2168" s="7"/>
      <c r="W2168" s="7"/>
    </row>
    <row r="2169" spans="1:23" ht="46.5" x14ac:dyDescent="0.35">
      <c r="A2169" s="251"/>
      <c r="B2169" s="251"/>
      <c r="C2169" s="252"/>
      <c r="D2169" s="253"/>
      <c r="E2169" s="254"/>
      <c r="F2169" s="254"/>
      <c r="G2169" s="251"/>
      <c r="H2169" s="159" t="s">
        <v>705</v>
      </c>
      <c r="I2169" s="158">
        <f>D2168*K2169</f>
        <v>1911928.4</v>
      </c>
      <c r="J2169" s="158">
        <f>I2169/D2168</f>
        <v>164</v>
      </c>
      <c r="K2169" s="158">
        <f>151+13</f>
        <v>164</v>
      </c>
      <c r="L2169" s="7"/>
      <c r="M2169" s="7"/>
      <c r="N2169" s="7"/>
      <c r="O2169" s="7"/>
      <c r="P2169" s="7"/>
      <c r="Q2169" s="7"/>
      <c r="R2169" s="7"/>
      <c r="S2169" s="7"/>
      <c r="T2169" s="7"/>
      <c r="U2169" s="7"/>
      <c r="V2169" s="7"/>
      <c r="W2169" s="7"/>
    </row>
    <row r="2170" spans="1:23" ht="15.75" customHeight="1" x14ac:dyDescent="0.35">
      <c r="A2170" s="251">
        <f>A2168+1</f>
        <v>169</v>
      </c>
      <c r="B2170" s="251">
        <v>4380</v>
      </c>
      <c r="C2170" s="252" t="s">
        <v>597</v>
      </c>
      <c r="D2170" s="253">
        <v>9586.5</v>
      </c>
      <c r="E2170" s="254" t="s">
        <v>71</v>
      </c>
      <c r="F2170" s="268">
        <v>9</v>
      </c>
      <c r="G2170" s="123"/>
      <c r="H2170" s="159" t="s">
        <v>73</v>
      </c>
      <c r="I2170" s="158">
        <f>I2171+I2172+I2173+I2174+I2175+I2176+I2177+I2178+I2179+I2180+I2181+I2182+I2183+I2184+I2185</f>
        <v>8849860</v>
      </c>
      <c r="J2170" s="158">
        <f>J2171+J2172+J2173+J2174+J2175+J2176+J2177+J2178+J2179+J2180+J2181+J2182+J2183+J2184+J2185</f>
        <v>923.16</v>
      </c>
      <c r="K2170" s="158">
        <f>K2171+K2172+K2173+K2174+K2175+K2176+K2177+K2178+K2179+K2180+K2181+K2182+K2183+K2184+K2185</f>
        <v>923.16</v>
      </c>
      <c r="L2170" s="7"/>
      <c r="M2170" s="7"/>
      <c r="N2170" s="7"/>
      <c r="O2170" s="7"/>
      <c r="P2170" s="7"/>
      <c r="Q2170" s="7"/>
      <c r="R2170" s="7"/>
      <c r="S2170" s="7"/>
      <c r="T2170" s="7"/>
      <c r="U2170" s="7"/>
      <c r="V2170" s="7"/>
      <c r="W2170" s="7"/>
    </row>
    <row r="2171" spans="1:23" ht="31" x14ac:dyDescent="0.35">
      <c r="A2171" s="251"/>
      <c r="B2171" s="251"/>
      <c r="C2171" s="252"/>
      <c r="D2171" s="253"/>
      <c r="E2171" s="254"/>
      <c r="F2171" s="269"/>
      <c r="G2171" s="256" t="s">
        <v>673</v>
      </c>
      <c r="H2171" s="159" t="s">
        <v>666</v>
      </c>
      <c r="I2171" s="158">
        <v>24580</v>
      </c>
      <c r="J2171" s="158">
        <f>I2171/D2170</f>
        <v>2.56</v>
      </c>
      <c r="K2171" s="158">
        <f>24580/D2170</f>
        <v>2.56</v>
      </c>
      <c r="L2171" s="7"/>
      <c r="M2171" s="7"/>
      <c r="N2171" s="7"/>
      <c r="O2171" s="7"/>
      <c r="P2171" s="7"/>
      <c r="Q2171" s="7"/>
      <c r="R2171" s="7"/>
      <c r="S2171" s="7"/>
      <c r="T2171" s="7"/>
      <c r="U2171" s="7"/>
      <c r="V2171" s="7"/>
      <c r="W2171" s="7"/>
    </row>
    <row r="2172" spans="1:23" x14ac:dyDescent="0.35">
      <c r="A2172" s="251">
        <v>756</v>
      </c>
      <c r="B2172" s="251"/>
      <c r="C2172" s="252"/>
      <c r="D2172" s="253"/>
      <c r="E2172" s="254"/>
      <c r="F2172" s="269"/>
      <c r="G2172" s="257"/>
      <c r="H2172" s="159" t="s">
        <v>674</v>
      </c>
      <c r="I2172" s="158">
        <v>1708823</v>
      </c>
      <c r="J2172" s="158">
        <f>I2172/D2170+0.02</f>
        <v>178.27</v>
      </c>
      <c r="K2172" s="158">
        <f>1708823/D2170+0.02</f>
        <v>178.27</v>
      </c>
      <c r="L2172" s="7"/>
      <c r="M2172" s="7"/>
      <c r="N2172" s="7"/>
      <c r="O2172" s="7"/>
      <c r="P2172" s="7"/>
      <c r="Q2172" s="7"/>
      <c r="R2172" s="7"/>
      <c r="S2172" s="7"/>
      <c r="T2172" s="7"/>
      <c r="U2172" s="7"/>
      <c r="V2172" s="7"/>
      <c r="W2172" s="7"/>
    </row>
    <row r="2173" spans="1:23" x14ac:dyDescent="0.35">
      <c r="A2173" s="251">
        <v>757</v>
      </c>
      <c r="B2173" s="251"/>
      <c r="C2173" s="252"/>
      <c r="D2173" s="253"/>
      <c r="E2173" s="254"/>
      <c r="F2173" s="269"/>
      <c r="G2173" s="258"/>
      <c r="H2173" s="159" t="s">
        <v>76</v>
      </c>
      <c r="I2173" s="158">
        <v>36569</v>
      </c>
      <c r="J2173" s="158">
        <f>I2173/D2170</f>
        <v>3.81</v>
      </c>
      <c r="K2173" s="158">
        <f>36569/D2170</f>
        <v>3.81</v>
      </c>
      <c r="L2173" s="7"/>
      <c r="M2173" s="7"/>
      <c r="N2173" s="7"/>
      <c r="O2173" s="7"/>
      <c r="P2173" s="7"/>
      <c r="Q2173" s="7"/>
      <c r="R2173" s="7"/>
      <c r="S2173" s="7"/>
      <c r="T2173" s="7"/>
      <c r="U2173" s="7"/>
      <c r="V2173" s="7"/>
      <c r="W2173" s="7"/>
    </row>
    <row r="2174" spans="1:23" ht="31" x14ac:dyDescent="0.35">
      <c r="A2174" s="251"/>
      <c r="B2174" s="251"/>
      <c r="C2174" s="252"/>
      <c r="D2174" s="253"/>
      <c r="E2174" s="254"/>
      <c r="F2174" s="269"/>
      <c r="G2174" s="256" t="s">
        <v>679</v>
      </c>
      <c r="H2174" s="159" t="s">
        <v>666</v>
      </c>
      <c r="I2174" s="158">
        <v>24580</v>
      </c>
      <c r="J2174" s="158">
        <f>I2174/D2170-0.01</f>
        <v>2.5499999999999998</v>
      </c>
      <c r="K2174" s="158">
        <f>24580/D2170-0.01</f>
        <v>2.5499999999999998</v>
      </c>
      <c r="L2174" s="7"/>
      <c r="M2174" s="7"/>
      <c r="N2174" s="7"/>
      <c r="O2174" s="7"/>
      <c r="P2174" s="7"/>
      <c r="Q2174" s="7"/>
      <c r="R2174" s="7"/>
      <c r="S2174" s="7"/>
      <c r="T2174" s="7"/>
      <c r="U2174" s="7"/>
      <c r="V2174" s="7"/>
      <c r="W2174" s="7"/>
    </row>
    <row r="2175" spans="1:23" x14ac:dyDescent="0.35">
      <c r="A2175" s="251"/>
      <c r="B2175" s="251"/>
      <c r="C2175" s="252"/>
      <c r="D2175" s="253"/>
      <c r="E2175" s="254"/>
      <c r="F2175" s="269"/>
      <c r="G2175" s="257"/>
      <c r="H2175" s="159" t="s">
        <v>674</v>
      </c>
      <c r="I2175" s="158">
        <v>1708823</v>
      </c>
      <c r="J2175" s="158">
        <f>I2175/D2170+0.02</f>
        <v>178.27</v>
      </c>
      <c r="K2175" s="158">
        <f>1708823/D2170+0.02</f>
        <v>178.27</v>
      </c>
      <c r="L2175" s="7"/>
      <c r="M2175" s="7"/>
      <c r="N2175" s="7"/>
      <c r="O2175" s="7"/>
      <c r="P2175" s="7"/>
      <c r="Q2175" s="7"/>
      <c r="R2175" s="7"/>
      <c r="S2175" s="7"/>
      <c r="T2175" s="7"/>
      <c r="U2175" s="7"/>
      <c r="V2175" s="7"/>
      <c r="W2175" s="7"/>
    </row>
    <row r="2176" spans="1:23" x14ac:dyDescent="0.35">
      <c r="A2176" s="251"/>
      <c r="B2176" s="251"/>
      <c r="C2176" s="252"/>
      <c r="D2176" s="253"/>
      <c r="E2176" s="254"/>
      <c r="F2176" s="269"/>
      <c r="G2176" s="258"/>
      <c r="H2176" s="159" t="s">
        <v>76</v>
      </c>
      <c r="I2176" s="158">
        <v>36569</v>
      </c>
      <c r="J2176" s="158">
        <f>I2176/D2170</f>
        <v>3.81</v>
      </c>
      <c r="K2176" s="158">
        <f>36569/D2170</f>
        <v>3.81</v>
      </c>
      <c r="L2176" s="7"/>
      <c r="M2176" s="7"/>
      <c r="N2176" s="7"/>
      <c r="O2176" s="7"/>
      <c r="P2176" s="7"/>
      <c r="Q2176" s="7"/>
      <c r="R2176" s="7"/>
      <c r="S2176" s="7"/>
      <c r="T2176" s="7"/>
      <c r="U2176" s="7"/>
      <c r="V2176" s="7"/>
      <c r="W2176" s="7"/>
    </row>
    <row r="2177" spans="1:23" ht="31" x14ac:dyDescent="0.35">
      <c r="A2177" s="251"/>
      <c r="B2177" s="251"/>
      <c r="C2177" s="252"/>
      <c r="D2177" s="253"/>
      <c r="E2177" s="254"/>
      <c r="F2177" s="269"/>
      <c r="G2177" s="256" t="s">
        <v>680</v>
      </c>
      <c r="H2177" s="159" t="s">
        <v>666</v>
      </c>
      <c r="I2177" s="158">
        <v>24580</v>
      </c>
      <c r="J2177" s="158">
        <f>I2177/D2170</f>
        <v>2.56</v>
      </c>
      <c r="K2177" s="158">
        <f>24580/D2170</f>
        <v>2.56</v>
      </c>
      <c r="L2177" s="7"/>
      <c r="M2177" s="7"/>
      <c r="N2177" s="7"/>
      <c r="O2177" s="7"/>
      <c r="P2177" s="7"/>
      <c r="Q2177" s="7"/>
      <c r="R2177" s="7"/>
      <c r="S2177" s="7"/>
      <c r="T2177" s="7"/>
      <c r="U2177" s="7"/>
      <c r="V2177" s="7"/>
      <c r="W2177" s="7"/>
    </row>
    <row r="2178" spans="1:23" x14ac:dyDescent="0.35">
      <c r="A2178" s="251"/>
      <c r="B2178" s="251"/>
      <c r="C2178" s="252"/>
      <c r="D2178" s="253"/>
      <c r="E2178" s="254"/>
      <c r="F2178" s="269"/>
      <c r="G2178" s="257"/>
      <c r="H2178" s="159" t="s">
        <v>674</v>
      </c>
      <c r="I2178" s="158">
        <v>1708823</v>
      </c>
      <c r="J2178" s="158">
        <f>I2178/D2170+0.02</f>
        <v>178.27</v>
      </c>
      <c r="K2178" s="158">
        <f>1708823/D2170+0.02</f>
        <v>178.27</v>
      </c>
      <c r="L2178" s="7"/>
      <c r="M2178" s="7"/>
      <c r="N2178" s="7"/>
      <c r="O2178" s="7"/>
      <c r="P2178" s="7"/>
      <c r="Q2178" s="7"/>
      <c r="R2178" s="7"/>
      <c r="S2178" s="7"/>
      <c r="T2178" s="7"/>
      <c r="U2178" s="7"/>
      <c r="V2178" s="7"/>
      <c r="W2178" s="7"/>
    </row>
    <row r="2179" spans="1:23" x14ac:dyDescent="0.35">
      <c r="A2179" s="251"/>
      <c r="B2179" s="251"/>
      <c r="C2179" s="252"/>
      <c r="D2179" s="253"/>
      <c r="E2179" s="254"/>
      <c r="F2179" s="269"/>
      <c r="G2179" s="258"/>
      <c r="H2179" s="159" t="s">
        <v>76</v>
      </c>
      <c r="I2179" s="158">
        <v>36569</v>
      </c>
      <c r="J2179" s="158">
        <f>I2179/D2170</f>
        <v>3.81</v>
      </c>
      <c r="K2179" s="158">
        <f>36569/D2170</f>
        <v>3.81</v>
      </c>
      <c r="L2179" s="7"/>
      <c r="M2179" s="7"/>
      <c r="N2179" s="7"/>
      <c r="O2179" s="7"/>
      <c r="P2179" s="7"/>
      <c r="Q2179" s="7"/>
      <c r="R2179" s="7"/>
      <c r="S2179" s="7"/>
      <c r="T2179" s="7"/>
      <c r="U2179" s="7"/>
      <c r="V2179" s="7"/>
      <c r="W2179" s="7"/>
    </row>
    <row r="2180" spans="1:23" ht="31" x14ac:dyDescent="0.35">
      <c r="A2180" s="251"/>
      <c r="B2180" s="251"/>
      <c r="C2180" s="252"/>
      <c r="D2180" s="253"/>
      <c r="E2180" s="254"/>
      <c r="F2180" s="269"/>
      <c r="G2180" s="256" t="s">
        <v>681</v>
      </c>
      <c r="H2180" s="159" t="s">
        <v>666</v>
      </c>
      <c r="I2180" s="158">
        <v>24580</v>
      </c>
      <c r="J2180" s="158">
        <f>I2180/D2170-0.01</f>
        <v>2.5499999999999998</v>
      </c>
      <c r="K2180" s="158">
        <f>24580/D2170-0.01</f>
        <v>2.5499999999999998</v>
      </c>
      <c r="L2180" s="7"/>
      <c r="M2180" s="7"/>
      <c r="N2180" s="7"/>
      <c r="O2180" s="7"/>
      <c r="P2180" s="7"/>
      <c r="Q2180" s="7"/>
      <c r="R2180" s="7"/>
      <c r="S2180" s="7"/>
      <c r="T2180" s="7"/>
      <c r="U2180" s="7"/>
      <c r="V2180" s="7"/>
      <c r="W2180" s="7"/>
    </row>
    <row r="2181" spans="1:23" x14ac:dyDescent="0.35">
      <c r="A2181" s="251"/>
      <c r="B2181" s="251"/>
      <c r="C2181" s="252"/>
      <c r="D2181" s="253"/>
      <c r="E2181" s="254"/>
      <c r="F2181" s="269"/>
      <c r="G2181" s="257"/>
      <c r="H2181" s="159" t="s">
        <v>674</v>
      </c>
      <c r="I2181" s="158">
        <v>1708823</v>
      </c>
      <c r="J2181" s="158">
        <f>I2181/D2170+0.01</f>
        <v>178.26</v>
      </c>
      <c r="K2181" s="158">
        <f>1708823/D2170+0.01</f>
        <v>178.26</v>
      </c>
      <c r="L2181" s="7"/>
      <c r="M2181" s="7"/>
      <c r="N2181" s="7"/>
      <c r="O2181" s="7"/>
      <c r="P2181" s="7"/>
      <c r="Q2181" s="7"/>
      <c r="R2181" s="7"/>
      <c r="S2181" s="7"/>
      <c r="T2181" s="7"/>
      <c r="U2181" s="7"/>
      <c r="V2181" s="7"/>
      <c r="W2181" s="7"/>
    </row>
    <row r="2182" spans="1:23" x14ac:dyDescent="0.35">
      <c r="A2182" s="251"/>
      <c r="B2182" s="251"/>
      <c r="C2182" s="252"/>
      <c r="D2182" s="253"/>
      <c r="E2182" s="254"/>
      <c r="F2182" s="269"/>
      <c r="G2182" s="258"/>
      <c r="H2182" s="159" t="s">
        <v>76</v>
      </c>
      <c r="I2182" s="158">
        <v>36569</v>
      </c>
      <c r="J2182" s="158">
        <f>I2182/D2170</f>
        <v>3.81</v>
      </c>
      <c r="K2182" s="158">
        <f>36569/D2170</f>
        <v>3.81</v>
      </c>
      <c r="L2182" s="7"/>
      <c r="M2182" s="7"/>
      <c r="N2182" s="7"/>
      <c r="O2182" s="7"/>
      <c r="P2182" s="7"/>
      <c r="Q2182" s="7"/>
      <c r="R2182" s="7"/>
      <c r="S2182" s="7"/>
      <c r="T2182" s="7"/>
      <c r="U2182" s="7"/>
      <c r="V2182" s="7"/>
      <c r="W2182" s="7"/>
    </row>
    <row r="2183" spans="1:23" ht="31" x14ac:dyDescent="0.35">
      <c r="A2183" s="251"/>
      <c r="B2183" s="251"/>
      <c r="C2183" s="252"/>
      <c r="D2183" s="253"/>
      <c r="E2183" s="254"/>
      <c r="F2183" s="269"/>
      <c r="G2183" s="256" t="s">
        <v>678</v>
      </c>
      <c r="H2183" s="159" t="s">
        <v>666</v>
      </c>
      <c r="I2183" s="158">
        <v>24580</v>
      </c>
      <c r="J2183" s="158">
        <f>I2183/D2170</f>
        <v>2.56</v>
      </c>
      <c r="K2183" s="158">
        <f>24580/D2170</f>
        <v>2.56</v>
      </c>
      <c r="L2183" s="7"/>
      <c r="M2183" s="7"/>
      <c r="N2183" s="7"/>
      <c r="O2183" s="7"/>
      <c r="P2183" s="7"/>
      <c r="Q2183" s="7"/>
      <c r="R2183" s="7"/>
      <c r="S2183" s="7"/>
      <c r="T2183" s="7"/>
      <c r="U2183" s="7"/>
      <c r="V2183" s="7"/>
      <c r="W2183" s="7"/>
    </row>
    <row r="2184" spans="1:23" x14ac:dyDescent="0.35">
      <c r="A2184" s="251"/>
      <c r="B2184" s="251"/>
      <c r="C2184" s="252"/>
      <c r="D2184" s="253"/>
      <c r="E2184" s="254"/>
      <c r="F2184" s="269"/>
      <c r="G2184" s="257"/>
      <c r="H2184" s="159" t="s">
        <v>674</v>
      </c>
      <c r="I2184" s="158">
        <v>1708823</v>
      </c>
      <c r="J2184" s="158">
        <f>I2184/D2170+0.01</f>
        <v>178.26</v>
      </c>
      <c r="K2184" s="158">
        <f>1708823/D2170+0.01</f>
        <v>178.26</v>
      </c>
      <c r="L2184" s="7"/>
      <c r="M2184" s="7"/>
      <c r="N2184" s="7"/>
      <c r="O2184" s="7"/>
      <c r="P2184" s="7"/>
      <c r="Q2184" s="7"/>
      <c r="R2184" s="7"/>
      <c r="S2184" s="7"/>
      <c r="T2184" s="7"/>
      <c r="U2184" s="7"/>
      <c r="V2184" s="7"/>
      <c r="W2184" s="7"/>
    </row>
    <row r="2185" spans="1:23" x14ac:dyDescent="0.35">
      <c r="A2185" s="251"/>
      <c r="B2185" s="251"/>
      <c r="C2185" s="252"/>
      <c r="D2185" s="253"/>
      <c r="E2185" s="254"/>
      <c r="F2185" s="273"/>
      <c r="G2185" s="258"/>
      <c r="H2185" s="159" t="s">
        <v>76</v>
      </c>
      <c r="I2185" s="158">
        <v>36569</v>
      </c>
      <c r="J2185" s="158">
        <f>I2185/D2170</f>
        <v>3.81</v>
      </c>
      <c r="K2185" s="158">
        <f>36569/D2170</f>
        <v>3.81</v>
      </c>
      <c r="L2185" s="7"/>
      <c r="M2185" s="7"/>
      <c r="N2185" s="7"/>
      <c r="O2185" s="7"/>
      <c r="P2185" s="7"/>
      <c r="Q2185" s="7"/>
      <c r="R2185" s="7"/>
      <c r="S2185" s="7"/>
      <c r="T2185" s="7"/>
      <c r="U2185" s="7"/>
      <c r="V2185" s="7"/>
      <c r="W2185" s="7"/>
    </row>
    <row r="2186" spans="1:23" ht="15.75" customHeight="1" x14ac:dyDescent="0.35">
      <c r="A2186" s="251">
        <f>A2170+1</f>
        <v>170</v>
      </c>
      <c r="B2186" s="251">
        <v>3131</v>
      </c>
      <c r="C2186" s="252" t="s">
        <v>770</v>
      </c>
      <c r="D2186" s="253">
        <v>10845</v>
      </c>
      <c r="E2186" s="254" t="s">
        <v>71</v>
      </c>
      <c r="F2186" s="268">
        <v>10</v>
      </c>
      <c r="G2186" s="123"/>
      <c r="H2186" s="159" t="s">
        <v>73</v>
      </c>
      <c r="I2186" s="158">
        <f>I2187+I2188+I2189+I2190+I2191+I2192+I2193</f>
        <v>733110</v>
      </c>
      <c r="J2186" s="158">
        <f>J2187+J2188+J2189+J2190+J2191+J2192+J2193</f>
        <v>67.599999999999994</v>
      </c>
      <c r="K2186" s="158">
        <f>K2187+K2188+K2189+K2190+K2191+K2192+K2193</f>
        <v>67.599999999999994</v>
      </c>
      <c r="L2186" s="7"/>
      <c r="M2186" s="7"/>
      <c r="N2186" s="7"/>
      <c r="O2186" s="7"/>
      <c r="P2186" s="7"/>
      <c r="Q2186" s="7"/>
      <c r="R2186" s="7"/>
      <c r="S2186" s="7"/>
      <c r="T2186" s="7"/>
      <c r="U2186" s="7"/>
      <c r="V2186" s="7"/>
      <c r="W2186" s="7"/>
    </row>
    <row r="2187" spans="1:23" ht="31" x14ac:dyDescent="0.35">
      <c r="A2187" s="251"/>
      <c r="B2187" s="251"/>
      <c r="C2187" s="252"/>
      <c r="D2187" s="253"/>
      <c r="E2187" s="254"/>
      <c r="F2187" s="269"/>
      <c r="G2187" s="120" t="s">
        <v>77</v>
      </c>
      <c r="H2187" s="159" t="s">
        <v>666</v>
      </c>
      <c r="I2187" s="158">
        <f>D2186*K2187</f>
        <v>585630</v>
      </c>
      <c r="J2187" s="158">
        <f>I2187/D2186</f>
        <v>54</v>
      </c>
      <c r="K2187" s="158">
        <f>50+4</f>
        <v>54</v>
      </c>
      <c r="L2187" s="7"/>
      <c r="M2187" s="7"/>
      <c r="N2187" s="7"/>
      <c r="O2187" s="7"/>
      <c r="P2187" s="7"/>
      <c r="Q2187" s="7"/>
      <c r="R2187" s="7"/>
      <c r="S2187" s="7"/>
      <c r="T2187" s="7"/>
      <c r="U2187" s="7"/>
      <c r="V2187" s="7"/>
      <c r="W2187" s="7"/>
    </row>
    <row r="2188" spans="1:23" ht="31" x14ac:dyDescent="0.35">
      <c r="A2188" s="251"/>
      <c r="B2188" s="251"/>
      <c r="C2188" s="252"/>
      <c r="D2188" s="253"/>
      <c r="E2188" s="254"/>
      <c r="F2188" s="269"/>
      <c r="G2188" s="120" t="s">
        <v>673</v>
      </c>
      <c r="H2188" s="159" t="s">
        <v>666</v>
      </c>
      <c r="I2188" s="158">
        <v>24580</v>
      </c>
      <c r="J2188" s="158">
        <f>I2188/D2186</f>
        <v>2.27</v>
      </c>
      <c r="K2188" s="158">
        <f>24580/D2186</f>
        <v>2.27</v>
      </c>
      <c r="L2188" s="7"/>
      <c r="M2188" s="7"/>
      <c r="N2188" s="7"/>
      <c r="O2188" s="7"/>
      <c r="P2188" s="7"/>
      <c r="Q2188" s="7"/>
      <c r="R2188" s="7"/>
      <c r="S2188" s="7"/>
      <c r="T2188" s="7"/>
      <c r="U2188" s="7"/>
      <c r="V2188" s="7"/>
      <c r="W2188" s="7"/>
    </row>
    <row r="2189" spans="1:23" ht="31" x14ac:dyDescent="0.35">
      <c r="A2189" s="251"/>
      <c r="B2189" s="251"/>
      <c r="C2189" s="252"/>
      <c r="D2189" s="253"/>
      <c r="E2189" s="254"/>
      <c r="F2189" s="269"/>
      <c r="G2189" s="120" t="s">
        <v>679</v>
      </c>
      <c r="H2189" s="159" t="s">
        <v>666</v>
      </c>
      <c r="I2189" s="158">
        <v>24580</v>
      </c>
      <c r="J2189" s="158">
        <f>I2189/D2186-0.01</f>
        <v>2.2599999999999998</v>
      </c>
      <c r="K2189" s="158">
        <f>24580/D2186-0.01</f>
        <v>2.2599999999999998</v>
      </c>
      <c r="L2189" s="7"/>
      <c r="M2189" s="7"/>
      <c r="N2189" s="7"/>
      <c r="O2189" s="7"/>
      <c r="P2189" s="7"/>
      <c r="Q2189" s="7"/>
      <c r="R2189" s="7"/>
      <c r="S2189" s="7"/>
      <c r="T2189" s="7"/>
      <c r="U2189" s="7"/>
      <c r="V2189" s="7"/>
      <c r="W2189" s="7"/>
    </row>
    <row r="2190" spans="1:23" ht="31" x14ac:dyDescent="0.35">
      <c r="A2190" s="251"/>
      <c r="B2190" s="251"/>
      <c r="C2190" s="252"/>
      <c r="D2190" s="253"/>
      <c r="E2190" s="254"/>
      <c r="F2190" s="269"/>
      <c r="G2190" s="120" t="s">
        <v>680</v>
      </c>
      <c r="H2190" s="159" t="s">
        <v>666</v>
      </c>
      <c r="I2190" s="158">
        <v>24580</v>
      </c>
      <c r="J2190" s="158">
        <f>I2190/D2186</f>
        <v>2.27</v>
      </c>
      <c r="K2190" s="158">
        <f>24580/D2186</f>
        <v>2.27</v>
      </c>
      <c r="L2190" s="7"/>
      <c r="M2190" s="7"/>
      <c r="N2190" s="7"/>
      <c r="O2190" s="7"/>
      <c r="P2190" s="7"/>
      <c r="Q2190" s="7"/>
      <c r="R2190" s="7"/>
      <c r="S2190" s="7"/>
      <c r="T2190" s="7"/>
      <c r="U2190" s="7"/>
      <c r="V2190" s="7"/>
      <c r="W2190" s="7"/>
    </row>
    <row r="2191" spans="1:23" ht="31" x14ac:dyDescent="0.35">
      <c r="A2191" s="251"/>
      <c r="B2191" s="251"/>
      <c r="C2191" s="252"/>
      <c r="D2191" s="253"/>
      <c r="E2191" s="254"/>
      <c r="F2191" s="269"/>
      <c r="G2191" s="120" t="s">
        <v>681</v>
      </c>
      <c r="H2191" s="159" t="s">
        <v>666</v>
      </c>
      <c r="I2191" s="158">
        <v>24580</v>
      </c>
      <c r="J2191" s="158">
        <f>I2191/D2186-0.01</f>
        <v>2.2599999999999998</v>
      </c>
      <c r="K2191" s="158">
        <f>24580/D2186-0.01</f>
        <v>2.2599999999999998</v>
      </c>
      <c r="L2191" s="7"/>
      <c r="M2191" s="7"/>
      <c r="N2191" s="7"/>
      <c r="O2191" s="7"/>
      <c r="P2191" s="7"/>
      <c r="Q2191" s="7"/>
      <c r="R2191" s="7"/>
      <c r="S2191" s="7"/>
      <c r="T2191" s="7"/>
      <c r="U2191" s="7"/>
      <c r="V2191" s="7"/>
      <c r="W2191" s="7"/>
    </row>
    <row r="2192" spans="1:23" ht="31" x14ac:dyDescent="0.35">
      <c r="A2192" s="251"/>
      <c r="B2192" s="251"/>
      <c r="C2192" s="252"/>
      <c r="D2192" s="253"/>
      <c r="E2192" s="254"/>
      <c r="F2192" s="269"/>
      <c r="G2192" s="120" t="s">
        <v>678</v>
      </c>
      <c r="H2192" s="159" t="s">
        <v>666</v>
      </c>
      <c r="I2192" s="158">
        <v>24580</v>
      </c>
      <c r="J2192" s="158">
        <f>I2192/D2186</f>
        <v>2.27</v>
      </c>
      <c r="K2192" s="158">
        <f>24580/D2186</f>
        <v>2.27</v>
      </c>
      <c r="L2192" s="7"/>
      <c r="M2192" s="7"/>
      <c r="N2192" s="7"/>
      <c r="O2192" s="7"/>
      <c r="P2192" s="7"/>
      <c r="Q2192" s="7"/>
      <c r="R2192" s="7"/>
      <c r="S2192" s="7"/>
      <c r="T2192" s="7"/>
      <c r="U2192" s="7"/>
      <c r="V2192" s="7"/>
      <c r="W2192" s="7"/>
    </row>
    <row r="2193" spans="1:23" ht="31" x14ac:dyDescent="0.35">
      <c r="A2193" s="251"/>
      <c r="B2193" s="251"/>
      <c r="C2193" s="252"/>
      <c r="D2193" s="253"/>
      <c r="E2193" s="254"/>
      <c r="F2193" s="269"/>
      <c r="G2193" s="120" t="s">
        <v>682</v>
      </c>
      <c r="H2193" s="159" t="s">
        <v>666</v>
      </c>
      <c r="I2193" s="158">
        <v>24580</v>
      </c>
      <c r="J2193" s="158">
        <f>I2193/D2186</f>
        <v>2.27</v>
      </c>
      <c r="K2193" s="158">
        <f>24580/D2186</f>
        <v>2.27</v>
      </c>
      <c r="L2193" s="7"/>
      <c r="M2193" s="7"/>
      <c r="N2193" s="7"/>
      <c r="O2193" s="7"/>
      <c r="P2193" s="7"/>
      <c r="Q2193" s="7"/>
      <c r="R2193" s="7"/>
      <c r="S2193" s="7"/>
      <c r="T2193" s="7"/>
      <c r="U2193" s="7"/>
      <c r="V2193" s="7"/>
      <c r="W2193" s="7"/>
    </row>
    <row r="2194" spans="1:23" ht="15.75" customHeight="1" x14ac:dyDescent="0.35">
      <c r="A2194" s="256">
        <f>A2186+1</f>
        <v>171</v>
      </c>
      <c r="B2194" s="256">
        <v>3313</v>
      </c>
      <c r="C2194" s="259" t="s">
        <v>599</v>
      </c>
      <c r="D2194" s="262">
        <v>3573</v>
      </c>
      <c r="E2194" s="262" t="s">
        <v>71</v>
      </c>
      <c r="F2194" s="265">
        <v>5</v>
      </c>
      <c r="G2194" s="256" t="s">
        <v>72</v>
      </c>
      <c r="H2194" s="159" t="s">
        <v>73</v>
      </c>
      <c r="I2194" s="158">
        <f>I2195</f>
        <v>585972</v>
      </c>
      <c r="J2194" s="158">
        <f>J2195</f>
        <v>164</v>
      </c>
      <c r="K2194" s="158">
        <f>K2195</f>
        <v>164</v>
      </c>
      <c r="L2194" s="7"/>
      <c r="M2194" s="7"/>
      <c r="N2194" s="7"/>
      <c r="O2194" s="7"/>
      <c r="P2194" s="7"/>
      <c r="Q2194" s="7"/>
      <c r="R2194" s="7"/>
      <c r="S2194" s="7"/>
      <c r="T2194" s="7"/>
      <c r="U2194" s="7"/>
      <c r="V2194" s="7"/>
      <c r="W2194" s="7"/>
    </row>
    <row r="2195" spans="1:23" ht="46.5" x14ac:dyDescent="0.35">
      <c r="A2195" s="257"/>
      <c r="B2195" s="257"/>
      <c r="C2195" s="260"/>
      <c r="D2195" s="263"/>
      <c r="E2195" s="263"/>
      <c r="F2195" s="266"/>
      <c r="G2195" s="257"/>
      <c r="H2195" s="159" t="s">
        <v>705</v>
      </c>
      <c r="I2195" s="158">
        <f>D2194*K2195</f>
        <v>585972</v>
      </c>
      <c r="J2195" s="158">
        <f>I2195/D2194</f>
        <v>164</v>
      </c>
      <c r="K2195" s="158">
        <f>151+13</f>
        <v>164</v>
      </c>
      <c r="L2195" s="7"/>
      <c r="M2195" s="7"/>
      <c r="N2195" s="7"/>
      <c r="O2195" s="7"/>
      <c r="P2195" s="7"/>
      <c r="Q2195" s="7"/>
      <c r="R2195" s="7"/>
      <c r="S2195" s="7"/>
      <c r="T2195" s="7"/>
      <c r="U2195" s="7"/>
      <c r="V2195" s="7"/>
      <c r="W2195" s="7"/>
    </row>
    <row r="2196" spans="1:23" ht="15.75" customHeight="1" x14ac:dyDescent="0.35">
      <c r="A2196" s="256">
        <f>A2194+1</f>
        <v>172</v>
      </c>
      <c r="B2196" s="256">
        <v>3316</v>
      </c>
      <c r="C2196" s="259" t="s">
        <v>128</v>
      </c>
      <c r="D2196" s="262">
        <v>2886.1</v>
      </c>
      <c r="E2196" s="268" t="s">
        <v>71</v>
      </c>
      <c r="F2196" s="268">
        <v>5</v>
      </c>
      <c r="G2196" s="256" t="s">
        <v>72</v>
      </c>
      <c r="H2196" s="159" t="s">
        <v>73</v>
      </c>
      <c r="I2196" s="158">
        <f>I2197</f>
        <v>473320.4</v>
      </c>
      <c r="J2196" s="158">
        <f>J2197</f>
        <v>164</v>
      </c>
      <c r="K2196" s="158">
        <f>K2197</f>
        <v>164</v>
      </c>
      <c r="L2196" s="7"/>
      <c r="M2196" s="7"/>
      <c r="N2196" s="7"/>
      <c r="O2196" s="7"/>
      <c r="P2196" s="7"/>
      <c r="Q2196" s="7"/>
      <c r="R2196" s="7"/>
      <c r="S2196" s="7"/>
      <c r="T2196" s="7"/>
      <c r="U2196" s="7"/>
      <c r="V2196" s="7"/>
      <c r="W2196" s="7"/>
    </row>
    <row r="2197" spans="1:23" ht="46.5" x14ac:dyDescent="0.35">
      <c r="A2197" s="257"/>
      <c r="B2197" s="257"/>
      <c r="C2197" s="260"/>
      <c r="D2197" s="263"/>
      <c r="E2197" s="269"/>
      <c r="F2197" s="273"/>
      <c r="G2197" s="257"/>
      <c r="H2197" s="159" t="s">
        <v>705</v>
      </c>
      <c r="I2197" s="158">
        <f>D2196*K2197</f>
        <v>473320.4</v>
      </c>
      <c r="J2197" s="158">
        <f>I2197/D2196</f>
        <v>164</v>
      </c>
      <c r="K2197" s="158">
        <f>151+13</f>
        <v>164</v>
      </c>
      <c r="L2197" s="7"/>
      <c r="M2197" s="7"/>
      <c r="N2197" s="7"/>
      <c r="O2197" s="7"/>
      <c r="P2197" s="7"/>
      <c r="Q2197" s="7"/>
      <c r="R2197" s="7"/>
      <c r="S2197" s="7"/>
      <c r="T2197" s="7"/>
      <c r="U2197" s="7"/>
      <c r="V2197" s="7"/>
      <c r="W2197" s="7"/>
    </row>
    <row r="2198" spans="1:23" ht="15.75" customHeight="1" x14ac:dyDescent="0.35">
      <c r="A2198" s="256">
        <f>A2196+1</f>
        <v>173</v>
      </c>
      <c r="B2198" s="256">
        <v>4342</v>
      </c>
      <c r="C2198" s="259" t="s">
        <v>600</v>
      </c>
      <c r="D2198" s="262">
        <v>4412.1499999999996</v>
      </c>
      <c r="E2198" s="268" t="s">
        <v>71</v>
      </c>
      <c r="F2198" s="268">
        <v>5</v>
      </c>
      <c r="G2198" s="256" t="s">
        <v>72</v>
      </c>
      <c r="H2198" s="159" t="s">
        <v>73</v>
      </c>
      <c r="I2198" s="158">
        <f>I2199</f>
        <v>723592.6</v>
      </c>
      <c r="J2198" s="158">
        <f>J2199</f>
        <v>164</v>
      </c>
      <c r="K2198" s="158">
        <f>K2199</f>
        <v>164</v>
      </c>
      <c r="L2198" s="7"/>
      <c r="M2198" s="7"/>
      <c r="N2198" s="7"/>
      <c r="O2198" s="7"/>
      <c r="P2198" s="7"/>
      <c r="Q2198" s="7"/>
      <c r="R2198" s="7"/>
      <c r="S2198" s="7"/>
      <c r="T2198" s="7"/>
      <c r="U2198" s="7"/>
      <c r="V2198" s="7"/>
      <c r="W2198" s="7"/>
    </row>
    <row r="2199" spans="1:23" ht="46.5" x14ac:dyDescent="0.35">
      <c r="A2199" s="257"/>
      <c r="B2199" s="257"/>
      <c r="C2199" s="260"/>
      <c r="D2199" s="263"/>
      <c r="E2199" s="269"/>
      <c r="F2199" s="273"/>
      <c r="G2199" s="257"/>
      <c r="H2199" s="159" t="s">
        <v>705</v>
      </c>
      <c r="I2199" s="158">
        <f>D2198*K2199</f>
        <v>723592.6</v>
      </c>
      <c r="J2199" s="158">
        <f>I2199/D2198</f>
        <v>164</v>
      </c>
      <c r="K2199" s="158">
        <f>151+13</f>
        <v>164</v>
      </c>
      <c r="L2199" s="7"/>
      <c r="M2199" s="7"/>
      <c r="N2199" s="7"/>
      <c r="O2199" s="7"/>
      <c r="P2199" s="7"/>
      <c r="Q2199" s="7"/>
      <c r="R2199" s="7"/>
      <c r="S2199" s="7"/>
      <c r="T2199" s="7"/>
      <c r="U2199" s="7"/>
      <c r="V2199" s="7"/>
      <c r="W2199" s="7"/>
    </row>
    <row r="2200" spans="1:23" ht="15.75" customHeight="1" x14ac:dyDescent="0.35">
      <c r="A2200" s="251">
        <f>A2198+1</f>
        <v>174</v>
      </c>
      <c r="B2200" s="251">
        <v>4343</v>
      </c>
      <c r="C2200" s="252" t="s">
        <v>771</v>
      </c>
      <c r="D2200" s="253">
        <v>2708.3</v>
      </c>
      <c r="E2200" s="254" t="s">
        <v>71</v>
      </c>
      <c r="F2200" s="254">
        <v>5</v>
      </c>
      <c r="G2200" s="251" t="s">
        <v>72</v>
      </c>
      <c r="H2200" s="159" t="s">
        <v>73</v>
      </c>
      <c r="I2200" s="158">
        <f>I2201</f>
        <v>395411.8</v>
      </c>
      <c r="J2200" s="158">
        <f>J2201</f>
        <v>146</v>
      </c>
      <c r="K2200" s="158">
        <f>K2201</f>
        <v>146</v>
      </c>
      <c r="L2200" s="7"/>
      <c r="M2200" s="7"/>
      <c r="N2200" s="7"/>
      <c r="O2200" s="7"/>
      <c r="P2200" s="7"/>
      <c r="Q2200" s="7"/>
      <c r="R2200" s="7"/>
      <c r="S2200" s="7"/>
      <c r="T2200" s="7"/>
      <c r="U2200" s="7"/>
      <c r="V2200" s="7"/>
      <c r="W2200" s="7"/>
    </row>
    <row r="2201" spans="1:23" ht="46.5" x14ac:dyDescent="0.35">
      <c r="A2201" s="251"/>
      <c r="B2201" s="251"/>
      <c r="C2201" s="252"/>
      <c r="D2201" s="253"/>
      <c r="E2201" s="254"/>
      <c r="F2201" s="254"/>
      <c r="G2201" s="251"/>
      <c r="H2201" s="159" t="s">
        <v>796</v>
      </c>
      <c r="I2201" s="158">
        <f>D2200*K2201</f>
        <v>395411.8</v>
      </c>
      <c r="J2201" s="158">
        <f>I2201/D2200</f>
        <v>146</v>
      </c>
      <c r="K2201" s="158">
        <f>135+11</f>
        <v>146</v>
      </c>
      <c r="L2201" s="7"/>
      <c r="M2201" s="7"/>
      <c r="N2201" s="7"/>
      <c r="O2201" s="7"/>
      <c r="P2201" s="7"/>
      <c r="Q2201" s="7"/>
      <c r="R2201" s="7"/>
      <c r="S2201" s="7"/>
      <c r="T2201" s="7"/>
      <c r="U2201" s="7"/>
      <c r="V2201" s="7"/>
      <c r="W2201" s="7"/>
    </row>
    <row r="2202" spans="1:23" ht="15.75" customHeight="1" x14ac:dyDescent="0.35">
      <c r="A2202" s="256">
        <f>A2200+1</f>
        <v>175</v>
      </c>
      <c r="B2202" s="256">
        <v>3318</v>
      </c>
      <c r="C2202" s="259" t="s">
        <v>129</v>
      </c>
      <c r="D2202" s="262">
        <v>3544.3</v>
      </c>
      <c r="E2202" s="268" t="s">
        <v>71</v>
      </c>
      <c r="F2202" s="268">
        <v>5</v>
      </c>
      <c r="G2202" s="256" t="s">
        <v>72</v>
      </c>
      <c r="H2202" s="159" t="s">
        <v>73</v>
      </c>
      <c r="I2202" s="158">
        <f>I2203</f>
        <v>581265.19999999995</v>
      </c>
      <c r="J2202" s="158">
        <f>J2203</f>
        <v>164</v>
      </c>
      <c r="K2202" s="158">
        <f>K2203</f>
        <v>164</v>
      </c>
      <c r="L2202" s="7"/>
      <c r="M2202" s="7"/>
      <c r="N2202" s="7"/>
      <c r="O2202" s="7"/>
      <c r="P2202" s="7"/>
      <c r="Q2202" s="7"/>
      <c r="R2202" s="7"/>
      <c r="S2202" s="7"/>
      <c r="T2202" s="7"/>
      <c r="U2202" s="7"/>
      <c r="V2202" s="7"/>
      <c r="W2202" s="7"/>
    </row>
    <row r="2203" spans="1:23" ht="46.5" x14ac:dyDescent="0.35">
      <c r="A2203" s="257"/>
      <c r="B2203" s="257"/>
      <c r="C2203" s="260"/>
      <c r="D2203" s="263"/>
      <c r="E2203" s="269"/>
      <c r="F2203" s="273"/>
      <c r="G2203" s="257"/>
      <c r="H2203" s="159" t="s">
        <v>705</v>
      </c>
      <c r="I2203" s="158">
        <f>D2202*K2203</f>
        <v>581265.19999999995</v>
      </c>
      <c r="J2203" s="158">
        <f>I2203/D2202</f>
        <v>164</v>
      </c>
      <c r="K2203" s="158">
        <f>151+13</f>
        <v>164</v>
      </c>
      <c r="L2203" s="7"/>
      <c r="M2203" s="7"/>
      <c r="N2203" s="7"/>
      <c r="O2203" s="7"/>
      <c r="P2203" s="7"/>
      <c r="Q2203" s="7"/>
      <c r="R2203" s="7"/>
      <c r="S2203" s="7"/>
      <c r="T2203" s="7"/>
      <c r="U2203" s="7"/>
      <c r="V2203" s="7"/>
      <c r="W2203" s="7"/>
    </row>
    <row r="2204" spans="1:23" ht="15.75" customHeight="1" x14ac:dyDescent="0.35">
      <c r="A2204" s="256">
        <f>A2202+1</f>
        <v>176</v>
      </c>
      <c r="B2204" s="256">
        <v>4344</v>
      </c>
      <c r="C2204" s="259" t="s">
        <v>601</v>
      </c>
      <c r="D2204" s="262">
        <v>3205.5</v>
      </c>
      <c r="E2204" s="268" t="s">
        <v>75</v>
      </c>
      <c r="F2204" s="268">
        <v>5</v>
      </c>
      <c r="G2204" s="256" t="s">
        <v>72</v>
      </c>
      <c r="H2204" s="159" t="s">
        <v>73</v>
      </c>
      <c r="I2204" s="158">
        <f>I2205</f>
        <v>258584.52</v>
      </c>
      <c r="J2204" s="158">
        <f>J2205</f>
        <v>80.67</v>
      </c>
      <c r="K2204" s="158">
        <f>K2205</f>
        <v>164</v>
      </c>
      <c r="L2204" s="7"/>
      <c r="M2204" s="7"/>
      <c r="N2204" s="7"/>
      <c r="O2204" s="7"/>
      <c r="P2204" s="7"/>
      <c r="Q2204" s="7"/>
      <c r="R2204" s="7"/>
      <c r="S2204" s="7"/>
      <c r="T2204" s="7"/>
      <c r="U2204" s="7"/>
      <c r="V2204" s="7"/>
      <c r="W2204" s="7"/>
    </row>
    <row r="2205" spans="1:23" ht="46.5" x14ac:dyDescent="0.35">
      <c r="A2205" s="257"/>
      <c r="B2205" s="257"/>
      <c r="C2205" s="260"/>
      <c r="D2205" s="263"/>
      <c r="E2205" s="269"/>
      <c r="F2205" s="273"/>
      <c r="G2205" s="257"/>
      <c r="H2205" s="159" t="s">
        <v>705</v>
      </c>
      <c r="I2205" s="158">
        <f>219060.56+39523.96</f>
        <v>258584.52</v>
      </c>
      <c r="J2205" s="158">
        <f>I2205/D2204</f>
        <v>80.67</v>
      </c>
      <c r="K2205" s="158">
        <f>151+13</f>
        <v>164</v>
      </c>
      <c r="L2205" s="7"/>
      <c r="M2205" s="7"/>
      <c r="N2205" s="7"/>
      <c r="O2205" s="7"/>
      <c r="P2205" s="7"/>
      <c r="Q2205" s="7"/>
      <c r="R2205" s="7"/>
      <c r="S2205" s="7"/>
      <c r="T2205" s="7"/>
      <c r="U2205" s="7"/>
      <c r="V2205" s="7"/>
      <c r="W2205" s="7"/>
    </row>
    <row r="2206" spans="1:23" ht="15.75" customHeight="1" x14ac:dyDescent="0.35">
      <c r="A2206" s="251">
        <f>A2204+1</f>
        <v>177</v>
      </c>
      <c r="B2206" s="251">
        <v>3319</v>
      </c>
      <c r="C2206" s="252" t="s">
        <v>130</v>
      </c>
      <c r="D2206" s="253">
        <v>3538.3</v>
      </c>
      <c r="E2206" s="254" t="s">
        <v>71</v>
      </c>
      <c r="F2206" s="268">
        <v>5</v>
      </c>
      <c r="G2206" s="251" t="s">
        <v>72</v>
      </c>
      <c r="H2206" s="159" t="s">
        <v>73</v>
      </c>
      <c r="I2206" s="158">
        <f>I2207</f>
        <v>580281.19999999995</v>
      </c>
      <c r="J2206" s="158">
        <f>J2207</f>
        <v>164</v>
      </c>
      <c r="K2206" s="158">
        <f>K2207</f>
        <v>164</v>
      </c>
      <c r="L2206" s="7"/>
      <c r="M2206" s="7"/>
      <c r="N2206" s="7"/>
      <c r="O2206" s="7"/>
      <c r="P2206" s="7"/>
      <c r="Q2206" s="7"/>
      <c r="R2206" s="7"/>
      <c r="S2206" s="7"/>
      <c r="T2206" s="7"/>
      <c r="U2206" s="7"/>
      <c r="V2206" s="7"/>
      <c r="W2206" s="7"/>
    </row>
    <row r="2207" spans="1:23" ht="46.5" x14ac:dyDescent="0.35">
      <c r="A2207" s="251"/>
      <c r="B2207" s="251"/>
      <c r="C2207" s="252"/>
      <c r="D2207" s="253"/>
      <c r="E2207" s="254"/>
      <c r="F2207" s="273"/>
      <c r="G2207" s="251"/>
      <c r="H2207" s="159" t="s">
        <v>705</v>
      </c>
      <c r="I2207" s="158">
        <f>D2206*K2207</f>
        <v>580281.19999999995</v>
      </c>
      <c r="J2207" s="158">
        <f>I2207/D2206</f>
        <v>164</v>
      </c>
      <c r="K2207" s="158">
        <f>151+13</f>
        <v>164</v>
      </c>
      <c r="L2207" s="7"/>
      <c r="M2207" s="7"/>
      <c r="N2207" s="7"/>
      <c r="O2207" s="7"/>
      <c r="P2207" s="7"/>
      <c r="Q2207" s="7"/>
      <c r="R2207" s="7"/>
      <c r="S2207" s="7"/>
      <c r="T2207" s="7"/>
      <c r="U2207" s="7"/>
      <c r="V2207" s="7"/>
      <c r="W2207" s="7"/>
    </row>
    <row r="2208" spans="1:23" ht="15.75" customHeight="1" x14ac:dyDescent="0.35">
      <c r="A2208" s="256">
        <f>A2206+1</f>
        <v>178</v>
      </c>
      <c r="B2208" s="256">
        <v>3320</v>
      </c>
      <c r="C2208" s="259" t="s">
        <v>602</v>
      </c>
      <c r="D2208" s="262">
        <v>2666</v>
      </c>
      <c r="E2208" s="268" t="s">
        <v>71</v>
      </c>
      <c r="F2208" s="268">
        <v>5</v>
      </c>
      <c r="G2208" s="256" t="s">
        <v>72</v>
      </c>
      <c r="H2208" s="159" t="s">
        <v>73</v>
      </c>
      <c r="I2208" s="158">
        <f>I2209</f>
        <v>437224</v>
      </c>
      <c r="J2208" s="158">
        <f>J2209</f>
        <v>164</v>
      </c>
      <c r="K2208" s="158">
        <f>K2209</f>
        <v>164</v>
      </c>
      <c r="L2208" s="7"/>
      <c r="M2208" s="7"/>
      <c r="N2208" s="7"/>
      <c r="O2208" s="7"/>
      <c r="P2208" s="7"/>
      <c r="Q2208" s="7"/>
      <c r="R2208" s="7"/>
      <c r="S2208" s="7"/>
      <c r="T2208" s="7"/>
      <c r="U2208" s="7"/>
      <c r="V2208" s="7"/>
      <c r="W2208" s="7"/>
    </row>
    <row r="2209" spans="1:23" ht="46.5" x14ac:dyDescent="0.35">
      <c r="A2209" s="257"/>
      <c r="B2209" s="257"/>
      <c r="C2209" s="260"/>
      <c r="D2209" s="263"/>
      <c r="E2209" s="269"/>
      <c r="F2209" s="273"/>
      <c r="G2209" s="257"/>
      <c r="H2209" s="159" t="s">
        <v>705</v>
      </c>
      <c r="I2209" s="158">
        <f>D2208*K2209</f>
        <v>437224</v>
      </c>
      <c r="J2209" s="158">
        <f>I2209/D2208</f>
        <v>164</v>
      </c>
      <c r="K2209" s="158">
        <f>151+13</f>
        <v>164</v>
      </c>
      <c r="L2209" s="7"/>
      <c r="M2209" s="7"/>
      <c r="N2209" s="7"/>
      <c r="O2209" s="7"/>
      <c r="P2209" s="7"/>
      <c r="Q2209" s="7"/>
      <c r="R2209" s="7"/>
      <c r="S2209" s="7"/>
      <c r="T2209" s="7"/>
      <c r="U2209" s="7"/>
      <c r="V2209" s="7"/>
      <c r="W2209" s="7"/>
    </row>
    <row r="2210" spans="1:23" ht="15.75" customHeight="1" x14ac:dyDescent="0.35">
      <c r="A2210" s="251">
        <f>A2208+1</f>
        <v>179</v>
      </c>
      <c r="B2210" s="251">
        <v>4360</v>
      </c>
      <c r="C2210" s="252" t="s">
        <v>772</v>
      </c>
      <c r="D2210" s="253">
        <v>11758.85</v>
      </c>
      <c r="E2210" s="254" t="s">
        <v>71</v>
      </c>
      <c r="F2210" s="254">
        <v>10</v>
      </c>
      <c r="G2210" s="251" t="s">
        <v>72</v>
      </c>
      <c r="H2210" s="159" t="s">
        <v>73</v>
      </c>
      <c r="I2210" s="158">
        <f>I2211</f>
        <v>1928451.4</v>
      </c>
      <c r="J2210" s="158">
        <f>J2211</f>
        <v>164</v>
      </c>
      <c r="K2210" s="158">
        <f>K2211</f>
        <v>164</v>
      </c>
      <c r="L2210" s="7"/>
      <c r="M2210" s="7"/>
      <c r="N2210" s="7"/>
      <c r="O2210" s="7"/>
      <c r="P2210" s="7"/>
      <c r="Q2210" s="7"/>
      <c r="R2210" s="7"/>
      <c r="S2210" s="7"/>
      <c r="T2210" s="7"/>
      <c r="U2210" s="7"/>
      <c r="V2210" s="7"/>
      <c r="W2210" s="7"/>
    </row>
    <row r="2211" spans="1:23" ht="46.5" x14ac:dyDescent="0.35">
      <c r="A2211" s="251"/>
      <c r="B2211" s="251"/>
      <c r="C2211" s="252"/>
      <c r="D2211" s="253"/>
      <c r="E2211" s="254"/>
      <c r="F2211" s="254"/>
      <c r="G2211" s="251"/>
      <c r="H2211" s="159" t="s">
        <v>705</v>
      </c>
      <c r="I2211" s="158">
        <f>D2210*K2211</f>
        <v>1928451.4</v>
      </c>
      <c r="J2211" s="158">
        <f>I2211/D2210</f>
        <v>164</v>
      </c>
      <c r="K2211" s="158">
        <f>151+13</f>
        <v>164</v>
      </c>
      <c r="L2211" s="7"/>
      <c r="M2211" s="7"/>
      <c r="N2211" s="7"/>
      <c r="O2211" s="7"/>
      <c r="P2211" s="7"/>
      <c r="Q2211" s="7"/>
      <c r="R2211" s="7"/>
      <c r="S2211" s="7"/>
      <c r="T2211" s="7"/>
      <c r="U2211" s="7"/>
      <c r="V2211" s="7"/>
      <c r="W2211" s="7"/>
    </row>
    <row r="2212" spans="1:23" ht="15.75" customHeight="1" x14ac:dyDescent="0.35">
      <c r="A2212" s="256">
        <f>A2210+1</f>
        <v>180</v>
      </c>
      <c r="B2212" s="256">
        <v>3173</v>
      </c>
      <c r="C2212" s="259" t="s">
        <v>603</v>
      </c>
      <c r="D2212" s="262">
        <v>2633.8</v>
      </c>
      <c r="E2212" s="268" t="s">
        <v>71</v>
      </c>
      <c r="F2212" s="268">
        <v>5</v>
      </c>
      <c r="G2212" s="256" t="s">
        <v>72</v>
      </c>
      <c r="H2212" s="159" t="s">
        <v>73</v>
      </c>
      <c r="I2212" s="158">
        <f>I2213</f>
        <v>431943.2</v>
      </c>
      <c r="J2212" s="158">
        <f>J2213</f>
        <v>164</v>
      </c>
      <c r="K2212" s="158">
        <f>K2213</f>
        <v>164</v>
      </c>
      <c r="L2212" s="7"/>
      <c r="M2212" s="7"/>
      <c r="N2212" s="7"/>
      <c r="O2212" s="7"/>
      <c r="P2212" s="7"/>
      <c r="Q2212" s="7"/>
      <c r="R2212" s="7"/>
      <c r="S2212" s="7"/>
      <c r="T2212" s="7"/>
      <c r="U2212" s="7"/>
      <c r="V2212" s="7"/>
      <c r="W2212" s="7"/>
    </row>
    <row r="2213" spans="1:23" ht="46.5" x14ac:dyDescent="0.35">
      <c r="A2213" s="257"/>
      <c r="B2213" s="257"/>
      <c r="C2213" s="260"/>
      <c r="D2213" s="263"/>
      <c r="E2213" s="269"/>
      <c r="F2213" s="273"/>
      <c r="G2213" s="257"/>
      <c r="H2213" s="159" t="s">
        <v>705</v>
      </c>
      <c r="I2213" s="158">
        <f>D2212*K2213</f>
        <v>431943.2</v>
      </c>
      <c r="J2213" s="158">
        <f>I2213/D2212</f>
        <v>164</v>
      </c>
      <c r="K2213" s="158">
        <f>151+13</f>
        <v>164</v>
      </c>
      <c r="L2213" s="7"/>
      <c r="M2213" s="7"/>
      <c r="N2213" s="7"/>
      <c r="O2213" s="7"/>
      <c r="P2213" s="7"/>
      <c r="Q2213" s="7"/>
      <c r="R2213" s="7"/>
      <c r="S2213" s="7"/>
      <c r="T2213" s="7"/>
      <c r="U2213" s="7"/>
      <c r="V2213" s="7"/>
      <c r="W2213" s="7"/>
    </row>
    <row r="2214" spans="1:23" ht="15.75" customHeight="1" x14ac:dyDescent="0.35">
      <c r="A2214" s="251">
        <f>A2212+1</f>
        <v>181</v>
      </c>
      <c r="B2214" s="251">
        <v>3183</v>
      </c>
      <c r="C2214" s="252" t="s">
        <v>131</v>
      </c>
      <c r="D2214" s="253">
        <v>5802.9</v>
      </c>
      <c r="E2214" s="254" t="s">
        <v>71</v>
      </c>
      <c r="F2214" s="268">
        <v>5</v>
      </c>
      <c r="G2214" s="251" t="s">
        <v>72</v>
      </c>
      <c r="H2214" s="159" t="s">
        <v>73</v>
      </c>
      <c r="I2214" s="158">
        <f>I2215</f>
        <v>951675.6</v>
      </c>
      <c r="J2214" s="158">
        <f>J2215</f>
        <v>164</v>
      </c>
      <c r="K2214" s="158">
        <f>K2215</f>
        <v>164</v>
      </c>
      <c r="L2214" s="7"/>
      <c r="M2214" s="7"/>
      <c r="N2214" s="7"/>
      <c r="O2214" s="7"/>
      <c r="P2214" s="7"/>
      <c r="Q2214" s="7"/>
      <c r="R2214" s="7"/>
      <c r="S2214" s="7"/>
      <c r="T2214" s="7"/>
      <c r="U2214" s="7"/>
      <c r="V2214" s="7"/>
      <c r="W2214" s="7"/>
    </row>
    <row r="2215" spans="1:23" ht="46.5" x14ac:dyDescent="0.35">
      <c r="A2215" s="251"/>
      <c r="B2215" s="251"/>
      <c r="C2215" s="252"/>
      <c r="D2215" s="253"/>
      <c r="E2215" s="254"/>
      <c r="F2215" s="273"/>
      <c r="G2215" s="251"/>
      <c r="H2215" s="159" t="s">
        <v>705</v>
      </c>
      <c r="I2215" s="158">
        <f>D2214*K2215</f>
        <v>951675.6</v>
      </c>
      <c r="J2215" s="158">
        <f>I2215/D2214</f>
        <v>164</v>
      </c>
      <c r="K2215" s="158">
        <f>151+13</f>
        <v>164</v>
      </c>
      <c r="L2215" s="7"/>
      <c r="M2215" s="7"/>
      <c r="N2215" s="7"/>
      <c r="O2215" s="7"/>
      <c r="P2215" s="7"/>
      <c r="Q2215" s="7"/>
      <c r="R2215" s="7"/>
      <c r="S2215" s="7"/>
      <c r="T2215" s="7"/>
      <c r="U2215" s="7"/>
      <c r="V2215" s="7"/>
      <c r="W2215" s="7"/>
    </row>
    <row r="2216" spans="1:23" ht="15.75" customHeight="1" x14ac:dyDescent="0.35">
      <c r="A2216" s="251">
        <f>A2214+1</f>
        <v>182</v>
      </c>
      <c r="B2216" s="251">
        <v>3186</v>
      </c>
      <c r="C2216" s="252" t="s">
        <v>132</v>
      </c>
      <c r="D2216" s="253">
        <v>2902.9</v>
      </c>
      <c r="E2216" s="253" t="s">
        <v>71</v>
      </c>
      <c r="F2216" s="255">
        <v>5</v>
      </c>
      <c r="G2216" s="251" t="s">
        <v>72</v>
      </c>
      <c r="H2216" s="159" t="s">
        <v>73</v>
      </c>
      <c r="I2216" s="158">
        <f>I2217</f>
        <v>476075.6</v>
      </c>
      <c r="J2216" s="158">
        <f>J2217</f>
        <v>164</v>
      </c>
      <c r="K2216" s="158">
        <f>K2217</f>
        <v>164</v>
      </c>
      <c r="L2216" s="7"/>
      <c r="M2216" s="7"/>
      <c r="N2216" s="7"/>
      <c r="O2216" s="7"/>
      <c r="P2216" s="7"/>
      <c r="Q2216" s="7"/>
      <c r="R2216" s="7"/>
      <c r="S2216" s="7"/>
      <c r="T2216" s="7"/>
      <c r="U2216" s="7"/>
      <c r="V2216" s="7"/>
      <c r="W2216" s="7"/>
    </row>
    <row r="2217" spans="1:23" ht="46.5" x14ac:dyDescent="0.35">
      <c r="A2217" s="251"/>
      <c r="B2217" s="251"/>
      <c r="C2217" s="252"/>
      <c r="D2217" s="253"/>
      <c r="E2217" s="253"/>
      <c r="F2217" s="255"/>
      <c r="G2217" s="251"/>
      <c r="H2217" s="159" t="s">
        <v>705</v>
      </c>
      <c r="I2217" s="158">
        <f>D2216*K2217</f>
        <v>476075.6</v>
      </c>
      <c r="J2217" s="158">
        <f>I2217/D2216</f>
        <v>164</v>
      </c>
      <c r="K2217" s="158">
        <f>151+13</f>
        <v>164</v>
      </c>
      <c r="L2217" s="7"/>
      <c r="M2217" s="7"/>
      <c r="N2217" s="7"/>
      <c r="O2217" s="7"/>
      <c r="P2217" s="7"/>
      <c r="Q2217" s="7"/>
      <c r="R2217" s="7"/>
      <c r="S2217" s="7"/>
      <c r="T2217" s="7"/>
      <c r="U2217" s="7"/>
      <c r="V2217" s="7"/>
      <c r="W2217" s="7"/>
    </row>
    <row r="2218" spans="1:23" ht="15.75" customHeight="1" x14ac:dyDescent="0.35">
      <c r="A2218" s="251">
        <f>A2216+1</f>
        <v>183</v>
      </c>
      <c r="B2218" s="251">
        <v>3190</v>
      </c>
      <c r="C2218" s="252" t="s">
        <v>133</v>
      </c>
      <c r="D2218" s="253">
        <v>2911</v>
      </c>
      <c r="E2218" s="254" t="s">
        <v>71</v>
      </c>
      <c r="F2218" s="268">
        <v>5</v>
      </c>
      <c r="G2218" s="251" t="s">
        <v>72</v>
      </c>
      <c r="H2218" s="159" t="s">
        <v>73</v>
      </c>
      <c r="I2218" s="158">
        <f>I2219</f>
        <v>477404</v>
      </c>
      <c r="J2218" s="158">
        <f>J2219</f>
        <v>164</v>
      </c>
      <c r="K2218" s="158">
        <f>K2219</f>
        <v>164</v>
      </c>
      <c r="L2218" s="7"/>
      <c r="M2218" s="7"/>
      <c r="N2218" s="7"/>
      <c r="O2218" s="7"/>
      <c r="P2218" s="7"/>
      <c r="Q2218" s="7"/>
      <c r="R2218" s="7"/>
      <c r="S2218" s="7"/>
      <c r="T2218" s="7"/>
      <c r="U2218" s="7"/>
      <c r="V2218" s="7"/>
      <c r="W2218" s="7"/>
    </row>
    <row r="2219" spans="1:23" ht="46.5" x14ac:dyDescent="0.35">
      <c r="A2219" s="251"/>
      <c r="B2219" s="251"/>
      <c r="C2219" s="252"/>
      <c r="D2219" s="253"/>
      <c r="E2219" s="254"/>
      <c r="F2219" s="273"/>
      <c r="G2219" s="251"/>
      <c r="H2219" s="159" t="s">
        <v>705</v>
      </c>
      <c r="I2219" s="158">
        <f>D2218*K2219</f>
        <v>477404</v>
      </c>
      <c r="J2219" s="158">
        <f>I2219/D2218</f>
        <v>164</v>
      </c>
      <c r="K2219" s="158">
        <f>151+13</f>
        <v>164</v>
      </c>
      <c r="L2219" s="7"/>
      <c r="M2219" s="7"/>
      <c r="N2219" s="7"/>
      <c r="O2219" s="7"/>
      <c r="P2219" s="7"/>
      <c r="Q2219" s="7"/>
      <c r="R2219" s="7"/>
      <c r="S2219" s="7"/>
      <c r="T2219" s="7"/>
      <c r="U2219" s="7"/>
      <c r="V2219" s="7"/>
      <c r="W2219" s="7"/>
    </row>
    <row r="2220" spans="1:23" x14ac:dyDescent="0.35">
      <c r="A2220" s="251">
        <f>A2218+1</f>
        <v>184</v>
      </c>
      <c r="B2220" s="251">
        <v>3138</v>
      </c>
      <c r="C2220" s="252" t="s">
        <v>388</v>
      </c>
      <c r="D2220" s="253">
        <v>3244</v>
      </c>
      <c r="E2220" s="254" t="s">
        <v>71</v>
      </c>
      <c r="F2220" s="268">
        <v>5</v>
      </c>
      <c r="G2220" s="251" t="s">
        <v>72</v>
      </c>
      <c r="H2220" s="159" t="s">
        <v>73</v>
      </c>
      <c r="I2220" s="158">
        <f>I2221+I2222</f>
        <v>6486053.5999999996</v>
      </c>
      <c r="J2220" s="158">
        <f>J2221+J2222</f>
        <v>1999.4</v>
      </c>
      <c r="K2220" s="158">
        <f>K2221+K2222</f>
        <v>2831</v>
      </c>
      <c r="L2220" s="7"/>
      <c r="M2220" s="7"/>
      <c r="N2220" s="7"/>
      <c r="O2220" s="7"/>
      <c r="P2220" s="7"/>
      <c r="Q2220" s="7"/>
      <c r="R2220" s="7"/>
      <c r="S2220" s="7"/>
      <c r="T2220" s="7"/>
      <c r="U2220" s="7"/>
      <c r="V2220" s="7"/>
      <c r="W2220" s="7"/>
    </row>
    <row r="2221" spans="1:23" x14ac:dyDescent="0.35">
      <c r="A2221" s="251">
        <v>77</v>
      </c>
      <c r="B2221" s="251"/>
      <c r="C2221" s="252"/>
      <c r="D2221" s="253"/>
      <c r="E2221" s="254"/>
      <c r="F2221" s="269"/>
      <c r="G2221" s="251"/>
      <c r="H2221" s="159" t="s">
        <v>74</v>
      </c>
      <c r="I2221" s="158">
        <f>K2221*D2220*0.7</f>
        <v>6294657.5999999996</v>
      </c>
      <c r="J2221" s="158">
        <f>I2221/D2220</f>
        <v>1940.4</v>
      </c>
      <c r="K2221" s="158">
        <v>2772</v>
      </c>
      <c r="L2221" s="7"/>
      <c r="M2221" s="7"/>
      <c r="N2221" s="7"/>
      <c r="O2221" s="7"/>
      <c r="P2221" s="7"/>
      <c r="Q2221" s="7"/>
      <c r="R2221" s="7"/>
      <c r="S2221" s="7"/>
      <c r="T2221" s="7"/>
      <c r="U2221" s="7"/>
      <c r="V2221" s="7"/>
      <c r="W2221" s="7"/>
    </row>
    <row r="2222" spans="1:23" x14ac:dyDescent="0.35">
      <c r="A2222" s="251">
        <v>78</v>
      </c>
      <c r="B2222" s="251"/>
      <c r="C2222" s="252"/>
      <c r="D2222" s="253"/>
      <c r="E2222" s="254"/>
      <c r="F2222" s="273"/>
      <c r="G2222" s="251"/>
      <c r="H2222" s="159" t="s">
        <v>76</v>
      </c>
      <c r="I2222" s="158">
        <f>K2222*D2220</f>
        <v>191396</v>
      </c>
      <c r="J2222" s="158">
        <f>I2222/D2220</f>
        <v>59</v>
      </c>
      <c r="K2222" s="158">
        <v>59</v>
      </c>
      <c r="L2222" s="7"/>
      <c r="M2222" s="7"/>
      <c r="N2222" s="7"/>
      <c r="O2222" s="7"/>
      <c r="P2222" s="7"/>
      <c r="Q2222" s="7"/>
      <c r="R2222" s="7"/>
      <c r="S2222" s="7"/>
      <c r="T2222" s="7"/>
      <c r="U2222" s="7"/>
      <c r="V2222" s="7"/>
      <c r="W2222" s="7"/>
    </row>
    <row r="2223" spans="1:23" x14ac:dyDescent="0.35">
      <c r="A2223" s="251">
        <f>A2220+1</f>
        <v>185</v>
      </c>
      <c r="B2223" s="256">
        <v>3139</v>
      </c>
      <c r="C2223" s="252" t="s">
        <v>389</v>
      </c>
      <c r="D2223" s="253">
        <v>3270</v>
      </c>
      <c r="E2223" s="254" t="s">
        <v>71</v>
      </c>
      <c r="F2223" s="268">
        <v>5</v>
      </c>
      <c r="G2223" s="251" t="s">
        <v>72</v>
      </c>
      <c r="H2223" s="159" t="s">
        <v>73</v>
      </c>
      <c r="I2223" s="158">
        <f>I2224+I2225</f>
        <v>6538038</v>
      </c>
      <c r="J2223" s="158">
        <f>J2224+J2225</f>
        <v>1999.4</v>
      </c>
      <c r="K2223" s="158">
        <f>K2224+K2225</f>
        <v>2831</v>
      </c>
      <c r="L2223" s="7"/>
      <c r="M2223" s="7"/>
      <c r="N2223" s="7"/>
      <c r="O2223" s="7"/>
      <c r="P2223" s="7"/>
      <c r="Q2223" s="7"/>
      <c r="R2223" s="7"/>
      <c r="S2223" s="7"/>
      <c r="T2223" s="7"/>
      <c r="U2223" s="7"/>
      <c r="V2223" s="7"/>
      <c r="W2223" s="7"/>
    </row>
    <row r="2224" spans="1:23" x14ac:dyDescent="0.35">
      <c r="A2224" s="251">
        <v>75</v>
      </c>
      <c r="B2224" s="257"/>
      <c r="C2224" s="252"/>
      <c r="D2224" s="253"/>
      <c r="E2224" s="254"/>
      <c r="F2224" s="269"/>
      <c r="G2224" s="251"/>
      <c r="H2224" s="159" t="s">
        <v>74</v>
      </c>
      <c r="I2224" s="158">
        <f>K2224*D2223*0.7</f>
        <v>6345108</v>
      </c>
      <c r="J2224" s="158">
        <f>I2224/D2223</f>
        <v>1940.4</v>
      </c>
      <c r="K2224" s="158">
        <v>2772</v>
      </c>
      <c r="L2224" s="7"/>
      <c r="M2224" s="7"/>
      <c r="N2224" s="7"/>
      <c r="O2224" s="7"/>
      <c r="P2224" s="7"/>
      <c r="Q2224" s="7"/>
      <c r="R2224" s="7"/>
      <c r="S2224" s="7"/>
      <c r="T2224" s="7"/>
      <c r="U2224" s="7"/>
      <c r="V2224" s="7"/>
      <c r="W2224" s="7"/>
    </row>
    <row r="2225" spans="1:23" x14ac:dyDescent="0.35">
      <c r="A2225" s="251">
        <v>76</v>
      </c>
      <c r="B2225" s="258"/>
      <c r="C2225" s="252"/>
      <c r="D2225" s="253"/>
      <c r="E2225" s="254"/>
      <c r="F2225" s="273"/>
      <c r="G2225" s="251"/>
      <c r="H2225" s="159" t="s">
        <v>76</v>
      </c>
      <c r="I2225" s="158">
        <f>K2225*D2223</f>
        <v>192930</v>
      </c>
      <c r="J2225" s="158">
        <f>I2225/D2223</f>
        <v>59</v>
      </c>
      <c r="K2225" s="158">
        <v>59</v>
      </c>
      <c r="L2225" s="7"/>
      <c r="M2225" s="7"/>
      <c r="N2225" s="7"/>
      <c r="O2225" s="7"/>
      <c r="P2225" s="7"/>
      <c r="Q2225" s="7"/>
      <c r="R2225" s="7"/>
      <c r="S2225" s="7"/>
      <c r="T2225" s="7"/>
      <c r="U2225" s="7"/>
      <c r="V2225" s="7"/>
      <c r="W2225" s="7"/>
    </row>
    <row r="2226" spans="1:23" x14ac:dyDescent="0.35">
      <c r="A2226" s="251">
        <f>A2223+1</f>
        <v>186</v>
      </c>
      <c r="B2226" s="256">
        <v>3140</v>
      </c>
      <c r="C2226" s="252" t="s">
        <v>390</v>
      </c>
      <c r="D2226" s="253">
        <v>3278</v>
      </c>
      <c r="E2226" s="254" t="s">
        <v>71</v>
      </c>
      <c r="F2226" s="268">
        <v>5</v>
      </c>
      <c r="G2226" s="251" t="s">
        <v>72</v>
      </c>
      <c r="H2226" s="159" t="s">
        <v>73</v>
      </c>
      <c r="I2226" s="158">
        <f>I2227+I2228</f>
        <v>6554033.2000000002</v>
      </c>
      <c r="J2226" s="158">
        <f>J2227+J2228</f>
        <v>1999.4</v>
      </c>
      <c r="K2226" s="158">
        <f>K2227+K2228</f>
        <v>2831</v>
      </c>
      <c r="L2226" s="7"/>
      <c r="M2226" s="7"/>
      <c r="N2226" s="7"/>
      <c r="O2226" s="7"/>
      <c r="P2226" s="7"/>
      <c r="Q2226" s="7"/>
      <c r="R2226" s="7"/>
      <c r="S2226" s="7"/>
      <c r="T2226" s="7"/>
      <c r="U2226" s="7"/>
      <c r="V2226" s="7"/>
      <c r="W2226" s="7"/>
    </row>
    <row r="2227" spans="1:23" x14ac:dyDescent="0.35">
      <c r="A2227" s="251">
        <v>75</v>
      </c>
      <c r="B2227" s="257"/>
      <c r="C2227" s="252"/>
      <c r="D2227" s="253"/>
      <c r="E2227" s="254"/>
      <c r="F2227" s="269"/>
      <c r="G2227" s="251"/>
      <c r="H2227" s="159" t="s">
        <v>74</v>
      </c>
      <c r="I2227" s="158">
        <f>K2227*D2226*0.7</f>
        <v>6360631.2000000002</v>
      </c>
      <c r="J2227" s="158">
        <f>I2227/D2226</f>
        <v>1940.4</v>
      </c>
      <c r="K2227" s="158">
        <v>2772</v>
      </c>
      <c r="L2227" s="7"/>
      <c r="M2227" s="7"/>
      <c r="N2227" s="7"/>
      <c r="O2227" s="7"/>
      <c r="P2227" s="7"/>
      <c r="Q2227" s="7"/>
      <c r="R2227" s="7"/>
      <c r="S2227" s="7"/>
      <c r="T2227" s="7"/>
      <c r="U2227" s="7"/>
      <c r="V2227" s="7"/>
      <c r="W2227" s="7"/>
    </row>
    <row r="2228" spans="1:23" x14ac:dyDescent="0.35">
      <c r="A2228" s="251">
        <v>76</v>
      </c>
      <c r="B2228" s="258"/>
      <c r="C2228" s="252"/>
      <c r="D2228" s="253"/>
      <c r="E2228" s="254"/>
      <c r="F2228" s="273"/>
      <c r="G2228" s="251"/>
      <c r="H2228" s="159" t="s">
        <v>76</v>
      </c>
      <c r="I2228" s="158">
        <f>K2228*D2226</f>
        <v>193402</v>
      </c>
      <c r="J2228" s="158">
        <f>I2228/D2226</f>
        <v>59</v>
      </c>
      <c r="K2228" s="158">
        <v>59</v>
      </c>
      <c r="L2228" s="7"/>
      <c r="M2228" s="7"/>
      <c r="N2228" s="7"/>
      <c r="O2228" s="7"/>
      <c r="P2228" s="7"/>
      <c r="Q2228" s="7"/>
      <c r="R2228" s="7"/>
      <c r="S2228" s="7"/>
      <c r="T2228" s="7"/>
      <c r="U2228" s="7"/>
      <c r="V2228" s="7"/>
      <c r="W2228" s="7"/>
    </row>
    <row r="2229" spans="1:23" x14ac:dyDescent="0.35">
      <c r="A2229" s="251">
        <f>A2226+1</f>
        <v>187</v>
      </c>
      <c r="B2229" s="251">
        <v>3192</v>
      </c>
      <c r="C2229" s="252" t="s">
        <v>391</v>
      </c>
      <c r="D2229" s="253">
        <v>5806.9</v>
      </c>
      <c r="E2229" s="254" t="s">
        <v>71</v>
      </c>
      <c r="F2229" s="268">
        <v>5</v>
      </c>
      <c r="G2229" s="251" t="s">
        <v>72</v>
      </c>
      <c r="H2229" s="159" t="s">
        <v>73</v>
      </c>
      <c r="I2229" s="158">
        <f>I2230+I2231</f>
        <v>11610315.859999999</v>
      </c>
      <c r="J2229" s="158">
        <f>J2230+J2231</f>
        <v>1999.4</v>
      </c>
      <c r="K2229" s="158">
        <f>K2230+K2231</f>
        <v>2831</v>
      </c>
      <c r="L2229" s="7"/>
      <c r="M2229" s="7"/>
      <c r="N2229" s="7"/>
      <c r="O2229" s="7"/>
      <c r="P2229" s="7"/>
      <c r="Q2229" s="7"/>
      <c r="R2229" s="7"/>
      <c r="S2229" s="7"/>
      <c r="T2229" s="7"/>
      <c r="U2229" s="7"/>
      <c r="V2229" s="7"/>
      <c r="W2229" s="7"/>
    </row>
    <row r="2230" spans="1:23" x14ac:dyDescent="0.35">
      <c r="A2230" s="251">
        <v>77</v>
      </c>
      <c r="B2230" s="251"/>
      <c r="C2230" s="252"/>
      <c r="D2230" s="253"/>
      <c r="E2230" s="254"/>
      <c r="F2230" s="269"/>
      <c r="G2230" s="251"/>
      <c r="H2230" s="159" t="s">
        <v>74</v>
      </c>
      <c r="I2230" s="158">
        <f>K2230*D2229*0.7</f>
        <v>11267708.76</v>
      </c>
      <c r="J2230" s="158">
        <f>I2230/D2229</f>
        <v>1940.4</v>
      </c>
      <c r="K2230" s="158">
        <v>2772</v>
      </c>
      <c r="L2230" s="7"/>
      <c r="M2230" s="7"/>
      <c r="N2230" s="7"/>
      <c r="O2230" s="7"/>
      <c r="P2230" s="7"/>
      <c r="Q2230" s="7"/>
      <c r="R2230" s="7"/>
      <c r="S2230" s="7"/>
      <c r="T2230" s="7"/>
      <c r="U2230" s="7"/>
      <c r="V2230" s="7"/>
      <c r="W2230" s="7"/>
    </row>
    <row r="2231" spans="1:23" x14ac:dyDescent="0.35">
      <c r="A2231" s="251">
        <v>78</v>
      </c>
      <c r="B2231" s="251"/>
      <c r="C2231" s="252"/>
      <c r="D2231" s="253"/>
      <c r="E2231" s="254"/>
      <c r="F2231" s="273"/>
      <c r="G2231" s="251"/>
      <c r="H2231" s="159" t="s">
        <v>76</v>
      </c>
      <c r="I2231" s="158">
        <f>K2231*D2229</f>
        <v>342607.1</v>
      </c>
      <c r="J2231" s="158">
        <f>I2231/D2229</f>
        <v>59</v>
      </c>
      <c r="K2231" s="158">
        <v>59</v>
      </c>
      <c r="L2231" s="7"/>
      <c r="M2231" s="7"/>
      <c r="N2231" s="7"/>
      <c r="O2231" s="7"/>
      <c r="P2231" s="7"/>
      <c r="Q2231" s="7"/>
      <c r="R2231" s="7"/>
      <c r="S2231" s="7"/>
      <c r="T2231" s="7"/>
      <c r="U2231" s="7"/>
      <c r="V2231" s="7"/>
      <c r="W2231" s="7"/>
    </row>
    <row r="2232" spans="1:23" ht="15.75" customHeight="1" x14ac:dyDescent="0.35">
      <c r="A2232" s="251">
        <f>A2229+1</f>
        <v>188</v>
      </c>
      <c r="B2232" s="251">
        <v>3141</v>
      </c>
      <c r="C2232" s="252" t="s">
        <v>773</v>
      </c>
      <c r="D2232" s="253">
        <v>3754</v>
      </c>
      <c r="E2232" s="254" t="s">
        <v>71</v>
      </c>
      <c r="F2232" s="254">
        <v>10</v>
      </c>
      <c r="G2232" s="251" t="s">
        <v>72</v>
      </c>
      <c r="H2232" s="159" t="s">
        <v>73</v>
      </c>
      <c r="I2232" s="158">
        <f>I2233</f>
        <v>615656</v>
      </c>
      <c r="J2232" s="158">
        <f>J2233</f>
        <v>164</v>
      </c>
      <c r="K2232" s="158">
        <f>K2233</f>
        <v>164</v>
      </c>
      <c r="L2232" s="7"/>
      <c r="M2232" s="7"/>
      <c r="N2232" s="7"/>
      <c r="O2232" s="7"/>
      <c r="P2232" s="7"/>
      <c r="Q2232" s="7"/>
      <c r="R2232" s="7"/>
      <c r="S2232" s="7"/>
      <c r="T2232" s="7"/>
      <c r="U2232" s="7"/>
      <c r="V2232" s="7"/>
      <c r="W2232" s="7"/>
    </row>
    <row r="2233" spans="1:23" ht="46.5" x14ac:dyDescent="0.35">
      <c r="A2233" s="251"/>
      <c r="B2233" s="251"/>
      <c r="C2233" s="252"/>
      <c r="D2233" s="253"/>
      <c r="E2233" s="254"/>
      <c r="F2233" s="254"/>
      <c r="G2233" s="251"/>
      <c r="H2233" s="159" t="s">
        <v>705</v>
      </c>
      <c r="I2233" s="158">
        <f>D2232*K2233</f>
        <v>615656</v>
      </c>
      <c r="J2233" s="158">
        <f>I2233/D2232</f>
        <v>164</v>
      </c>
      <c r="K2233" s="158">
        <f>151+13</f>
        <v>164</v>
      </c>
      <c r="L2233" s="7"/>
      <c r="M2233" s="7"/>
      <c r="N2233" s="7"/>
      <c r="O2233" s="7"/>
      <c r="P2233" s="7"/>
      <c r="Q2233" s="7"/>
      <c r="R2233" s="7"/>
      <c r="S2233" s="7"/>
      <c r="T2233" s="7"/>
      <c r="U2233" s="7"/>
      <c r="V2233" s="7"/>
      <c r="W2233" s="7"/>
    </row>
    <row r="2234" spans="1:23" ht="15.75" customHeight="1" x14ac:dyDescent="0.35">
      <c r="A2234" s="251">
        <f>A2232+1</f>
        <v>189</v>
      </c>
      <c r="B2234" s="251">
        <v>3376</v>
      </c>
      <c r="C2234" s="252" t="s">
        <v>134</v>
      </c>
      <c r="D2234" s="253">
        <v>2525.6</v>
      </c>
      <c r="E2234" s="254" t="s">
        <v>75</v>
      </c>
      <c r="F2234" s="268">
        <v>4</v>
      </c>
      <c r="G2234" s="251" t="s">
        <v>72</v>
      </c>
      <c r="H2234" s="159" t="s">
        <v>73</v>
      </c>
      <c r="I2234" s="158">
        <f>I2235</f>
        <v>414198.4</v>
      </c>
      <c r="J2234" s="158">
        <f>J2235</f>
        <v>164</v>
      </c>
      <c r="K2234" s="158">
        <f>K2235</f>
        <v>164</v>
      </c>
      <c r="L2234" s="7"/>
      <c r="M2234" s="7"/>
      <c r="N2234" s="7"/>
      <c r="O2234" s="7"/>
      <c r="P2234" s="7"/>
      <c r="Q2234" s="7"/>
      <c r="R2234" s="7"/>
      <c r="S2234" s="7"/>
      <c r="T2234" s="7"/>
      <c r="U2234" s="7"/>
      <c r="V2234" s="7"/>
      <c r="W2234" s="7"/>
    </row>
    <row r="2235" spans="1:23" ht="46.5" x14ac:dyDescent="0.35">
      <c r="A2235" s="251"/>
      <c r="B2235" s="251"/>
      <c r="C2235" s="252"/>
      <c r="D2235" s="253"/>
      <c r="E2235" s="254"/>
      <c r="F2235" s="273"/>
      <c r="G2235" s="251"/>
      <c r="H2235" s="159" t="s">
        <v>705</v>
      </c>
      <c r="I2235" s="158">
        <f>D2234*K2235</f>
        <v>414198.4</v>
      </c>
      <c r="J2235" s="158">
        <f>I2235/D2234</f>
        <v>164</v>
      </c>
      <c r="K2235" s="158">
        <f>151+13</f>
        <v>164</v>
      </c>
      <c r="L2235" s="7"/>
      <c r="M2235" s="7"/>
      <c r="N2235" s="7"/>
      <c r="O2235" s="7"/>
      <c r="P2235" s="7"/>
      <c r="Q2235" s="7"/>
      <c r="R2235" s="7"/>
      <c r="S2235" s="7"/>
      <c r="T2235" s="7"/>
      <c r="U2235" s="7"/>
      <c r="V2235" s="7"/>
      <c r="W2235" s="7"/>
    </row>
    <row r="2236" spans="1:23" ht="15.75" customHeight="1" x14ac:dyDescent="0.35">
      <c r="A2236" s="256">
        <f>A2234+1</f>
        <v>190</v>
      </c>
      <c r="B2236" s="256">
        <v>3378</v>
      </c>
      <c r="C2236" s="259" t="s">
        <v>604</v>
      </c>
      <c r="D2236" s="262">
        <v>3969.6</v>
      </c>
      <c r="E2236" s="268" t="s">
        <v>75</v>
      </c>
      <c r="F2236" s="268">
        <v>5</v>
      </c>
      <c r="G2236" s="256" t="s">
        <v>72</v>
      </c>
      <c r="H2236" s="159" t="s">
        <v>73</v>
      </c>
      <c r="I2236" s="158">
        <f>I2237</f>
        <v>651014.40000000002</v>
      </c>
      <c r="J2236" s="158">
        <f>J2237</f>
        <v>164</v>
      </c>
      <c r="K2236" s="158">
        <f>K2237</f>
        <v>164</v>
      </c>
      <c r="L2236" s="7"/>
      <c r="M2236" s="7"/>
      <c r="N2236" s="7"/>
      <c r="O2236" s="7"/>
      <c r="P2236" s="7"/>
      <c r="Q2236" s="7"/>
      <c r="R2236" s="7"/>
      <c r="S2236" s="7"/>
      <c r="T2236" s="7"/>
      <c r="U2236" s="7"/>
      <c r="V2236" s="7"/>
      <c r="W2236" s="7"/>
    </row>
    <row r="2237" spans="1:23" ht="46.5" x14ac:dyDescent="0.35">
      <c r="A2237" s="257"/>
      <c r="B2237" s="257"/>
      <c r="C2237" s="260"/>
      <c r="D2237" s="263"/>
      <c r="E2237" s="269"/>
      <c r="F2237" s="273"/>
      <c r="G2237" s="257"/>
      <c r="H2237" s="159" t="s">
        <v>705</v>
      </c>
      <c r="I2237" s="158">
        <f>D2236*K2237</f>
        <v>651014.40000000002</v>
      </c>
      <c r="J2237" s="158">
        <f>I2237/D2236</f>
        <v>164</v>
      </c>
      <c r="K2237" s="158">
        <f>151+13</f>
        <v>164</v>
      </c>
      <c r="L2237" s="7"/>
      <c r="M2237" s="7"/>
      <c r="N2237" s="7"/>
      <c r="O2237" s="7"/>
      <c r="P2237" s="7"/>
      <c r="Q2237" s="7"/>
      <c r="R2237" s="7"/>
      <c r="S2237" s="7"/>
      <c r="T2237" s="7"/>
      <c r="U2237" s="7"/>
      <c r="V2237" s="7"/>
      <c r="W2237" s="7"/>
    </row>
    <row r="2238" spans="1:23" ht="15.75" customHeight="1" x14ac:dyDescent="0.35">
      <c r="A2238" s="256">
        <f>A2236+1</f>
        <v>191</v>
      </c>
      <c r="B2238" s="256">
        <v>3381</v>
      </c>
      <c r="C2238" s="259" t="s">
        <v>605</v>
      </c>
      <c r="D2238" s="262">
        <v>1492.8</v>
      </c>
      <c r="E2238" s="268" t="s">
        <v>75</v>
      </c>
      <c r="F2238" s="268">
        <v>5</v>
      </c>
      <c r="G2238" s="256" t="s">
        <v>72</v>
      </c>
      <c r="H2238" s="159" t="s">
        <v>73</v>
      </c>
      <c r="I2238" s="158">
        <f>I2239</f>
        <v>244819.20000000001</v>
      </c>
      <c r="J2238" s="158">
        <f>J2239</f>
        <v>164</v>
      </c>
      <c r="K2238" s="158">
        <f>K2239</f>
        <v>164</v>
      </c>
      <c r="L2238" s="7"/>
      <c r="M2238" s="7"/>
      <c r="N2238" s="7"/>
      <c r="O2238" s="7"/>
      <c r="P2238" s="7"/>
      <c r="Q2238" s="7"/>
      <c r="R2238" s="7"/>
      <c r="S2238" s="7"/>
      <c r="T2238" s="7"/>
      <c r="U2238" s="7"/>
      <c r="V2238" s="7"/>
      <c r="W2238" s="7"/>
    </row>
    <row r="2239" spans="1:23" ht="46.5" x14ac:dyDescent="0.35">
      <c r="A2239" s="257"/>
      <c r="B2239" s="257"/>
      <c r="C2239" s="260"/>
      <c r="D2239" s="263"/>
      <c r="E2239" s="269"/>
      <c r="F2239" s="273"/>
      <c r="G2239" s="257"/>
      <c r="H2239" s="159" t="s">
        <v>705</v>
      </c>
      <c r="I2239" s="158">
        <f>D2238*K2239</f>
        <v>244819.20000000001</v>
      </c>
      <c r="J2239" s="158">
        <f>I2239/D2238</f>
        <v>164</v>
      </c>
      <c r="K2239" s="158">
        <f>151+13</f>
        <v>164</v>
      </c>
      <c r="L2239" s="7"/>
      <c r="M2239" s="7"/>
      <c r="N2239" s="7"/>
      <c r="O2239" s="7"/>
      <c r="P2239" s="7"/>
      <c r="Q2239" s="7"/>
      <c r="R2239" s="7"/>
      <c r="S2239" s="7"/>
      <c r="T2239" s="7"/>
      <c r="U2239" s="7"/>
      <c r="V2239" s="7"/>
      <c r="W2239" s="7"/>
    </row>
    <row r="2240" spans="1:23" ht="15.75" customHeight="1" x14ac:dyDescent="0.35">
      <c r="A2240" s="251">
        <f>A2238+1</f>
        <v>192</v>
      </c>
      <c r="B2240" s="251">
        <v>3383</v>
      </c>
      <c r="C2240" s="252" t="s">
        <v>774</v>
      </c>
      <c r="D2240" s="253">
        <v>5213</v>
      </c>
      <c r="E2240" s="254" t="s">
        <v>75</v>
      </c>
      <c r="F2240" s="254">
        <v>6</v>
      </c>
      <c r="G2240" s="251" t="s">
        <v>72</v>
      </c>
      <c r="H2240" s="159" t="s">
        <v>73</v>
      </c>
      <c r="I2240" s="158">
        <f>I2241</f>
        <v>854932</v>
      </c>
      <c r="J2240" s="158">
        <f>J2241</f>
        <v>164</v>
      </c>
      <c r="K2240" s="158">
        <f>K2241</f>
        <v>164</v>
      </c>
      <c r="L2240" s="7"/>
      <c r="M2240" s="7"/>
      <c r="N2240" s="7"/>
      <c r="O2240" s="7"/>
      <c r="P2240" s="7"/>
      <c r="Q2240" s="7"/>
      <c r="R2240" s="7"/>
      <c r="S2240" s="7"/>
      <c r="T2240" s="7"/>
      <c r="U2240" s="7"/>
      <c r="V2240" s="7"/>
      <c r="W2240" s="7"/>
    </row>
    <row r="2241" spans="1:23" ht="46.5" x14ac:dyDescent="0.35">
      <c r="A2241" s="251"/>
      <c r="B2241" s="251"/>
      <c r="C2241" s="252"/>
      <c r="D2241" s="253"/>
      <c r="E2241" s="254"/>
      <c r="F2241" s="254"/>
      <c r="G2241" s="251"/>
      <c r="H2241" s="159" t="s">
        <v>705</v>
      </c>
      <c r="I2241" s="158">
        <f>D2240*K2241</f>
        <v>854932</v>
      </c>
      <c r="J2241" s="158">
        <f>I2241/D2240</f>
        <v>164</v>
      </c>
      <c r="K2241" s="158">
        <f>151+13</f>
        <v>164</v>
      </c>
      <c r="L2241" s="7"/>
      <c r="M2241" s="7"/>
      <c r="N2241" s="7"/>
      <c r="O2241" s="7"/>
      <c r="P2241" s="7"/>
      <c r="Q2241" s="7"/>
      <c r="R2241" s="7"/>
      <c r="S2241" s="7"/>
      <c r="T2241" s="7"/>
      <c r="U2241" s="7"/>
      <c r="V2241" s="7"/>
      <c r="W2241" s="7"/>
    </row>
    <row r="2242" spans="1:23" ht="15.75" customHeight="1" x14ac:dyDescent="0.35">
      <c r="A2242" s="256">
        <f>A2240+1</f>
        <v>193</v>
      </c>
      <c r="B2242" s="256">
        <v>3388</v>
      </c>
      <c r="C2242" s="259" t="s">
        <v>775</v>
      </c>
      <c r="D2242" s="262">
        <v>2537.1999999999998</v>
      </c>
      <c r="E2242" s="262" t="s">
        <v>75</v>
      </c>
      <c r="F2242" s="265">
        <v>7</v>
      </c>
      <c r="G2242" s="149"/>
      <c r="H2242" s="159" t="s">
        <v>73</v>
      </c>
      <c r="I2242" s="158">
        <f>I2243+I2244+I2245</f>
        <v>956524.4</v>
      </c>
      <c r="J2242" s="158">
        <f>J2243+J2244+J2245</f>
        <v>377</v>
      </c>
      <c r="K2242" s="158">
        <f>K2243+K2244+K2245</f>
        <v>377</v>
      </c>
      <c r="L2242" s="7"/>
      <c r="M2242" s="7"/>
      <c r="N2242" s="7"/>
      <c r="O2242" s="7"/>
      <c r="P2242" s="7"/>
      <c r="Q2242" s="7"/>
      <c r="R2242" s="7"/>
      <c r="S2242" s="7"/>
      <c r="T2242" s="7"/>
      <c r="U2242" s="7"/>
      <c r="V2242" s="7"/>
      <c r="W2242" s="7"/>
    </row>
    <row r="2243" spans="1:23" ht="46.5" x14ac:dyDescent="0.35">
      <c r="A2243" s="257"/>
      <c r="B2243" s="257"/>
      <c r="C2243" s="260"/>
      <c r="D2243" s="263"/>
      <c r="E2243" s="263"/>
      <c r="F2243" s="266"/>
      <c r="G2243" s="120" t="s">
        <v>72</v>
      </c>
      <c r="H2243" s="159" t="s">
        <v>705</v>
      </c>
      <c r="I2243" s="158">
        <f>D2242*K2243</f>
        <v>416100.8</v>
      </c>
      <c r="J2243" s="158">
        <f>I2243/D2242</f>
        <v>164</v>
      </c>
      <c r="K2243" s="158">
        <f>151+13</f>
        <v>164</v>
      </c>
      <c r="L2243" s="7"/>
      <c r="M2243" s="7"/>
      <c r="N2243" s="7"/>
      <c r="O2243" s="7"/>
      <c r="P2243" s="7"/>
      <c r="Q2243" s="7"/>
      <c r="R2243" s="7"/>
      <c r="S2243" s="7"/>
      <c r="T2243" s="7"/>
      <c r="U2243" s="7"/>
      <c r="V2243" s="7"/>
      <c r="W2243" s="7"/>
    </row>
    <row r="2244" spans="1:23" ht="46.5" x14ac:dyDescent="0.35">
      <c r="A2244" s="257"/>
      <c r="B2244" s="257"/>
      <c r="C2244" s="260"/>
      <c r="D2244" s="263"/>
      <c r="E2244" s="263"/>
      <c r="F2244" s="266"/>
      <c r="G2244" s="256" t="s">
        <v>85</v>
      </c>
      <c r="H2244" s="159" t="s">
        <v>705</v>
      </c>
      <c r="I2244" s="158">
        <f>D2242*K2244</f>
        <v>111636.8</v>
      </c>
      <c r="J2244" s="158">
        <f>I2244/D2242</f>
        <v>44</v>
      </c>
      <c r="K2244" s="158">
        <f>41+3</f>
        <v>44</v>
      </c>
      <c r="L2244" s="7"/>
      <c r="M2244" s="7"/>
      <c r="N2244" s="7"/>
      <c r="O2244" s="7"/>
      <c r="P2244" s="7"/>
      <c r="Q2244" s="7"/>
      <c r="R2244" s="7"/>
      <c r="S2244" s="7"/>
      <c r="T2244" s="7"/>
      <c r="U2244" s="7"/>
      <c r="V2244" s="7"/>
      <c r="W2244" s="7"/>
    </row>
    <row r="2245" spans="1:23" ht="46.5" x14ac:dyDescent="0.35">
      <c r="A2245" s="257"/>
      <c r="B2245" s="257"/>
      <c r="C2245" s="260"/>
      <c r="D2245" s="263"/>
      <c r="E2245" s="263"/>
      <c r="F2245" s="266"/>
      <c r="G2245" s="258"/>
      <c r="H2245" s="159" t="s">
        <v>706</v>
      </c>
      <c r="I2245" s="158">
        <f>D2242*K2245</f>
        <v>428786.8</v>
      </c>
      <c r="J2245" s="158">
        <f>I2245/D2242</f>
        <v>169</v>
      </c>
      <c r="K2245" s="158">
        <f>156+13</f>
        <v>169</v>
      </c>
      <c r="L2245" s="7"/>
      <c r="M2245" s="7"/>
      <c r="N2245" s="7"/>
      <c r="O2245" s="7"/>
      <c r="P2245" s="7"/>
      <c r="Q2245" s="7"/>
      <c r="R2245" s="7"/>
      <c r="S2245" s="7"/>
      <c r="T2245" s="7"/>
      <c r="U2245" s="7"/>
      <c r="V2245" s="7"/>
      <c r="W2245" s="7"/>
    </row>
    <row r="2246" spans="1:23" ht="15.75" customHeight="1" x14ac:dyDescent="0.35">
      <c r="A2246" s="256">
        <f>A2242+1</f>
        <v>194</v>
      </c>
      <c r="B2246" s="256">
        <v>3389</v>
      </c>
      <c r="C2246" s="259" t="s">
        <v>393</v>
      </c>
      <c r="D2246" s="262">
        <v>1631.17</v>
      </c>
      <c r="E2246" s="268" t="s">
        <v>80</v>
      </c>
      <c r="F2246" s="268">
        <v>3</v>
      </c>
      <c r="G2246" s="256" t="s">
        <v>109</v>
      </c>
      <c r="H2246" s="159" t="s">
        <v>73</v>
      </c>
      <c r="I2246" s="158">
        <f>I2248+I2249+I2247</f>
        <v>4867411.28</v>
      </c>
      <c r="J2246" s="158">
        <f>J2248+J2249+J2247</f>
        <v>2984</v>
      </c>
      <c r="K2246" s="158">
        <f>K2248+K2249+K2247</f>
        <v>2984</v>
      </c>
      <c r="L2246" s="7"/>
      <c r="M2246" s="7"/>
      <c r="N2246" s="7"/>
      <c r="O2246" s="7"/>
      <c r="P2246" s="7"/>
      <c r="Q2246" s="7"/>
      <c r="R2246" s="7"/>
      <c r="S2246" s="7"/>
      <c r="T2246" s="7"/>
      <c r="U2246" s="7"/>
      <c r="V2246" s="7"/>
      <c r="W2246" s="7"/>
    </row>
    <row r="2247" spans="1:23" ht="31" x14ac:dyDescent="0.35">
      <c r="A2247" s="257"/>
      <c r="B2247" s="257"/>
      <c r="C2247" s="260"/>
      <c r="D2247" s="263"/>
      <c r="E2247" s="269"/>
      <c r="F2247" s="269"/>
      <c r="G2247" s="257"/>
      <c r="H2247" s="159" t="s">
        <v>666</v>
      </c>
      <c r="I2247" s="158">
        <f>D2246*K2247</f>
        <v>197371.57</v>
      </c>
      <c r="J2247" s="158">
        <f>I2247/D2246</f>
        <v>121</v>
      </c>
      <c r="K2247" s="158">
        <f>112+9</f>
        <v>121</v>
      </c>
      <c r="L2247" s="7"/>
      <c r="M2247" s="7"/>
      <c r="N2247" s="7"/>
      <c r="O2247" s="7"/>
      <c r="P2247" s="7"/>
      <c r="Q2247" s="7"/>
      <c r="R2247" s="7"/>
      <c r="S2247" s="7"/>
      <c r="T2247" s="7"/>
      <c r="U2247" s="7"/>
      <c r="V2247" s="7"/>
      <c r="W2247" s="7"/>
    </row>
    <row r="2248" spans="1:23" x14ac:dyDescent="0.35">
      <c r="A2248" s="257"/>
      <c r="B2248" s="257"/>
      <c r="C2248" s="260"/>
      <c r="D2248" s="263"/>
      <c r="E2248" s="269"/>
      <c r="F2248" s="269"/>
      <c r="G2248" s="257"/>
      <c r="H2248" s="159" t="s">
        <v>74</v>
      </c>
      <c r="I2248" s="158">
        <f>D2246*K2248</f>
        <v>4572169.51</v>
      </c>
      <c r="J2248" s="158">
        <f>I2248/D2246</f>
        <v>2803</v>
      </c>
      <c r="K2248" s="158">
        <v>2803</v>
      </c>
      <c r="L2248" s="7"/>
      <c r="M2248" s="7"/>
      <c r="N2248" s="7"/>
      <c r="O2248" s="7"/>
      <c r="P2248" s="7"/>
      <c r="Q2248" s="7"/>
      <c r="R2248" s="7"/>
      <c r="S2248" s="7"/>
      <c r="T2248" s="7"/>
      <c r="U2248" s="7"/>
      <c r="V2248" s="7"/>
      <c r="W2248" s="7"/>
    </row>
    <row r="2249" spans="1:23" ht="60.75" customHeight="1" x14ac:dyDescent="0.35">
      <c r="A2249" s="258"/>
      <c r="B2249" s="258"/>
      <c r="C2249" s="261"/>
      <c r="D2249" s="264"/>
      <c r="E2249" s="273"/>
      <c r="F2249" s="273"/>
      <c r="G2249" s="258"/>
      <c r="H2249" s="159" t="s">
        <v>76</v>
      </c>
      <c r="I2249" s="158">
        <f>D2246*K2249</f>
        <v>97870.2</v>
      </c>
      <c r="J2249" s="158">
        <f>I2249/D2246</f>
        <v>60</v>
      </c>
      <c r="K2249" s="158">
        <v>60</v>
      </c>
      <c r="L2249" s="7"/>
      <c r="M2249" s="7"/>
      <c r="N2249" s="7"/>
      <c r="O2249" s="7"/>
      <c r="P2249" s="7"/>
      <c r="Q2249" s="7"/>
      <c r="R2249" s="7"/>
      <c r="S2249" s="7"/>
      <c r="T2249" s="7"/>
      <c r="U2249" s="7"/>
      <c r="V2249" s="7"/>
      <c r="W2249" s="7"/>
    </row>
    <row r="2250" spans="1:23" ht="15.75" customHeight="1" x14ac:dyDescent="0.35">
      <c r="A2250" s="256">
        <f>A2246+1</f>
        <v>195</v>
      </c>
      <c r="B2250" s="256">
        <v>3398</v>
      </c>
      <c r="C2250" s="259" t="s">
        <v>606</v>
      </c>
      <c r="D2250" s="262">
        <v>2697.87</v>
      </c>
      <c r="E2250" s="268" t="s">
        <v>75</v>
      </c>
      <c r="F2250" s="268">
        <v>5</v>
      </c>
      <c r="G2250" s="256" t="s">
        <v>72</v>
      </c>
      <c r="H2250" s="159" t="s">
        <v>73</v>
      </c>
      <c r="I2250" s="158">
        <f>I2251</f>
        <v>442450.68</v>
      </c>
      <c r="J2250" s="158">
        <f>J2251</f>
        <v>164</v>
      </c>
      <c r="K2250" s="158">
        <f>K2251</f>
        <v>164</v>
      </c>
      <c r="L2250" s="7"/>
      <c r="M2250" s="7"/>
      <c r="N2250" s="7"/>
      <c r="O2250" s="7"/>
      <c r="P2250" s="7"/>
      <c r="Q2250" s="7"/>
      <c r="R2250" s="7"/>
      <c r="S2250" s="7"/>
      <c r="T2250" s="7"/>
      <c r="U2250" s="7"/>
      <c r="V2250" s="7"/>
      <c r="W2250" s="7"/>
    </row>
    <row r="2251" spans="1:23" ht="46.5" x14ac:dyDescent="0.35">
      <c r="A2251" s="257"/>
      <c r="B2251" s="257"/>
      <c r="C2251" s="260"/>
      <c r="D2251" s="263"/>
      <c r="E2251" s="269"/>
      <c r="F2251" s="273"/>
      <c r="G2251" s="257"/>
      <c r="H2251" s="159" t="s">
        <v>705</v>
      </c>
      <c r="I2251" s="158">
        <f>D2250*K2251</f>
        <v>442450.68</v>
      </c>
      <c r="J2251" s="158">
        <f>I2251/D2250</f>
        <v>164</v>
      </c>
      <c r="K2251" s="158">
        <f>151+13</f>
        <v>164</v>
      </c>
      <c r="L2251" s="7"/>
      <c r="M2251" s="7"/>
      <c r="N2251" s="7"/>
      <c r="O2251" s="7"/>
      <c r="P2251" s="7"/>
      <c r="Q2251" s="7"/>
      <c r="R2251" s="7"/>
      <c r="S2251" s="7"/>
      <c r="T2251" s="7"/>
      <c r="U2251" s="7"/>
      <c r="V2251" s="7"/>
      <c r="W2251" s="7"/>
    </row>
    <row r="2252" spans="1:23" ht="15.75" customHeight="1" x14ac:dyDescent="0.35">
      <c r="A2252" s="256">
        <f>A2250+1</f>
        <v>196</v>
      </c>
      <c r="B2252" s="256">
        <v>3406</v>
      </c>
      <c r="C2252" s="259" t="s">
        <v>135</v>
      </c>
      <c r="D2252" s="262">
        <v>1229.96</v>
      </c>
      <c r="E2252" s="268" t="s">
        <v>80</v>
      </c>
      <c r="F2252" s="268">
        <v>3</v>
      </c>
      <c r="G2252" s="149"/>
      <c r="H2252" s="159" t="s">
        <v>73</v>
      </c>
      <c r="I2252" s="158">
        <f>I2253+I2254+I2255</f>
        <v>480914.36</v>
      </c>
      <c r="J2252" s="158">
        <f>J2253+J2254+J2255</f>
        <v>391</v>
      </c>
      <c r="K2252" s="158">
        <f>K2253+K2254+K2255</f>
        <v>391</v>
      </c>
      <c r="L2252" s="7"/>
      <c r="M2252" s="7"/>
      <c r="N2252" s="7"/>
      <c r="O2252" s="7"/>
      <c r="P2252" s="7"/>
      <c r="Q2252" s="7"/>
      <c r="R2252" s="7"/>
      <c r="S2252" s="7"/>
      <c r="T2252" s="7"/>
      <c r="U2252" s="7"/>
      <c r="V2252" s="7"/>
      <c r="W2252" s="7"/>
    </row>
    <row r="2253" spans="1:23" ht="46.5" x14ac:dyDescent="0.35">
      <c r="A2253" s="257"/>
      <c r="B2253" s="257"/>
      <c r="C2253" s="260"/>
      <c r="D2253" s="263"/>
      <c r="E2253" s="269"/>
      <c r="F2253" s="269"/>
      <c r="G2253" s="120" t="s">
        <v>72</v>
      </c>
      <c r="H2253" s="159" t="s">
        <v>705</v>
      </c>
      <c r="I2253" s="158">
        <f>D2252*K2253</f>
        <v>218932.88</v>
      </c>
      <c r="J2253" s="158">
        <f>I2253/D2252</f>
        <v>178</v>
      </c>
      <c r="K2253" s="158">
        <f>164+14</f>
        <v>178</v>
      </c>
      <c r="L2253" s="7"/>
      <c r="M2253" s="7"/>
      <c r="N2253" s="7"/>
      <c r="O2253" s="7"/>
      <c r="P2253" s="7"/>
      <c r="Q2253" s="7"/>
      <c r="R2253" s="7"/>
      <c r="S2253" s="7"/>
      <c r="T2253" s="7"/>
      <c r="U2253" s="7"/>
      <c r="V2253" s="7"/>
      <c r="W2253" s="7"/>
    </row>
    <row r="2254" spans="1:23" ht="46.5" x14ac:dyDescent="0.35">
      <c r="A2254" s="257"/>
      <c r="B2254" s="257"/>
      <c r="C2254" s="260"/>
      <c r="D2254" s="263"/>
      <c r="E2254" s="269"/>
      <c r="F2254" s="269"/>
      <c r="G2254" s="120" t="s">
        <v>85</v>
      </c>
      <c r="H2254" s="159" t="s">
        <v>705</v>
      </c>
      <c r="I2254" s="158">
        <f>D2252*K2254</f>
        <v>113156.32</v>
      </c>
      <c r="J2254" s="158">
        <f>I2254/D2252</f>
        <v>92</v>
      </c>
      <c r="K2254" s="158">
        <f>85+7</f>
        <v>92</v>
      </c>
      <c r="L2254" s="7"/>
      <c r="M2254" s="7"/>
      <c r="N2254" s="7"/>
      <c r="O2254" s="7"/>
      <c r="P2254" s="7"/>
      <c r="Q2254" s="7"/>
      <c r="R2254" s="7"/>
      <c r="S2254" s="7"/>
      <c r="T2254" s="7"/>
      <c r="U2254" s="7"/>
      <c r="V2254" s="7"/>
      <c r="W2254" s="7"/>
    </row>
    <row r="2255" spans="1:23" ht="108.5" x14ac:dyDescent="0.35">
      <c r="A2255" s="258"/>
      <c r="B2255" s="258"/>
      <c r="C2255" s="261"/>
      <c r="D2255" s="264"/>
      <c r="E2255" s="273"/>
      <c r="F2255" s="273"/>
      <c r="G2255" s="120" t="s">
        <v>109</v>
      </c>
      <c r="H2255" s="159" t="s">
        <v>666</v>
      </c>
      <c r="I2255" s="158">
        <f>D2252*K2255</f>
        <v>148825.16</v>
      </c>
      <c r="J2255" s="158">
        <f>I2255/D2252</f>
        <v>121</v>
      </c>
      <c r="K2255" s="158">
        <f>112+9</f>
        <v>121</v>
      </c>
      <c r="L2255" s="7"/>
      <c r="M2255" s="7"/>
      <c r="N2255" s="7"/>
      <c r="O2255" s="7"/>
      <c r="P2255" s="7"/>
      <c r="Q2255" s="7"/>
      <c r="R2255" s="7"/>
      <c r="S2255" s="7"/>
      <c r="T2255" s="7"/>
      <c r="U2255" s="7"/>
      <c r="V2255" s="7"/>
      <c r="W2255" s="7"/>
    </row>
    <row r="2256" spans="1:23" ht="15.75" customHeight="1" x14ac:dyDescent="0.35">
      <c r="A2256" s="251">
        <f>A2252+1</f>
        <v>197</v>
      </c>
      <c r="B2256" s="251">
        <v>3408</v>
      </c>
      <c r="C2256" s="252" t="s">
        <v>136</v>
      </c>
      <c r="D2256" s="253">
        <v>3143.51</v>
      </c>
      <c r="E2256" s="254" t="s">
        <v>75</v>
      </c>
      <c r="F2256" s="268">
        <v>5</v>
      </c>
      <c r="G2256" s="251" t="s">
        <v>72</v>
      </c>
      <c r="H2256" s="159" t="s">
        <v>73</v>
      </c>
      <c r="I2256" s="158">
        <f>I2257</f>
        <v>515535.64</v>
      </c>
      <c r="J2256" s="158">
        <f>J2257</f>
        <v>164</v>
      </c>
      <c r="K2256" s="158">
        <f>K2257</f>
        <v>164</v>
      </c>
      <c r="L2256" s="7"/>
      <c r="M2256" s="7"/>
      <c r="N2256" s="7"/>
      <c r="O2256" s="7"/>
      <c r="P2256" s="7"/>
      <c r="Q2256" s="7"/>
      <c r="R2256" s="7"/>
      <c r="S2256" s="7"/>
      <c r="T2256" s="7"/>
      <c r="U2256" s="7"/>
      <c r="V2256" s="7"/>
      <c r="W2256" s="7"/>
    </row>
    <row r="2257" spans="1:23" ht="46.5" x14ac:dyDescent="0.35">
      <c r="A2257" s="251"/>
      <c r="B2257" s="251"/>
      <c r="C2257" s="252"/>
      <c r="D2257" s="253"/>
      <c r="E2257" s="254"/>
      <c r="F2257" s="273"/>
      <c r="G2257" s="251"/>
      <c r="H2257" s="159" t="s">
        <v>705</v>
      </c>
      <c r="I2257" s="158">
        <f>D2256*K2257</f>
        <v>515535.64</v>
      </c>
      <c r="J2257" s="158">
        <f>I2257/D2256</f>
        <v>164</v>
      </c>
      <c r="K2257" s="158">
        <f>151+13</f>
        <v>164</v>
      </c>
      <c r="L2257" s="7"/>
      <c r="M2257" s="7"/>
      <c r="N2257" s="7"/>
      <c r="O2257" s="7"/>
      <c r="P2257" s="7"/>
      <c r="Q2257" s="7"/>
      <c r="R2257" s="7"/>
      <c r="S2257" s="7"/>
      <c r="T2257" s="7"/>
      <c r="U2257" s="7"/>
      <c r="V2257" s="7"/>
      <c r="W2257" s="7"/>
    </row>
    <row r="2258" spans="1:23" ht="15.75" customHeight="1" x14ac:dyDescent="0.35">
      <c r="A2258" s="256">
        <f>A2256+1</f>
        <v>198</v>
      </c>
      <c r="B2258" s="256">
        <v>4365</v>
      </c>
      <c r="C2258" s="259" t="s">
        <v>394</v>
      </c>
      <c r="D2258" s="262">
        <v>1319.4</v>
      </c>
      <c r="E2258" s="262" t="s">
        <v>75</v>
      </c>
      <c r="F2258" s="265">
        <v>3</v>
      </c>
      <c r="G2258" s="251" t="s">
        <v>72</v>
      </c>
      <c r="H2258" s="159" t="s">
        <v>73</v>
      </c>
      <c r="I2258" s="158">
        <f>I2259+I2260+I2261+I2262</f>
        <v>7705296</v>
      </c>
      <c r="J2258" s="158">
        <f>J2259+J2260+J2261+J2262</f>
        <v>5840</v>
      </c>
      <c r="K2258" s="158">
        <f>K2259+K2260+K2261+K2262</f>
        <v>5840</v>
      </c>
      <c r="L2258" s="7"/>
      <c r="M2258" s="7"/>
      <c r="N2258" s="7"/>
      <c r="O2258" s="7"/>
      <c r="P2258" s="7"/>
      <c r="Q2258" s="7"/>
      <c r="R2258" s="7"/>
      <c r="S2258" s="7"/>
      <c r="T2258" s="7"/>
      <c r="U2258" s="7"/>
      <c r="V2258" s="7"/>
      <c r="W2258" s="7"/>
    </row>
    <row r="2259" spans="1:23" ht="46.5" x14ac:dyDescent="0.35">
      <c r="A2259" s="257"/>
      <c r="B2259" s="257"/>
      <c r="C2259" s="260"/>
      <c r="D2259" s="263"/>
      <c r="E2259" s="263"/>
      <c r="F2259" s="266"/>
      <c r="G2259" s="251"/>
      <c r="H2259" s="159" t="s">
        <v>705</v>
      </c>
      <c r="I2259" s="158">
        <f>D2258*K2259</f>
        <v>1154475</v>
      </c>
      <c r="J2259" s="158">
        <f>I2259/D2258</f>
        <v>875</v>
      </c>
      <c r="K2259" s="158">
        <f>807+68</f>
        <v>875</v>
      </c>
      <c r="L2259" s="7"/>
      <c r="M2259" s="7"/>
      <c r="N2259" s="7"/>
      <c r="O2259" s="7"/>
      <c r="P2259" s="7"/>
      <c r="Q2259" s="7"/>
      <c r="R2259" s="7"/>
      <c r="S2259" s="7"/>
      <c r="T2259" s="7"/>
      <c r="U2259" s="7"/>
      <c r="V2259" s="7"/>
      <c r="W2259" s="7"/>
    </row>
    <row r="2260" spans="1:23" ht="31" x14ac:dyDescent="0.35">
      <c r="A2260" s="257"/>
      <c r="B2260" s="257"/>
      <c r="C2260" s="260"/>
      <c r="D2260" s="263"/>
      <c r="E2260" s="263"/>
      <c r="F2260" s="266"/>
      <c r="G2260" s="251"/>
      <c r="H2260" s="159" t="s">
        <v>698</v>
      </c>
      <c r="I2260" s="158">
        <f>K2260*D2258</f>
        <v>312697.8</v>
      </c>
      <c r="J2260" s="158">
        <f>I2260/D2258</f>
        <v>237</v>
      </c>
      <c r="K2260" s="158">
        <v>237</v>
      </c>
      <c r="L2260" s="7"/>
      <c r="M2260" s="7"/>
      <c r="N2260" s="7"/>
      <c r="O2260" s="7"/>
      <c r="P2260" s="7"/>
      <c r="Q2260" s="7"/>
      <c r="R2260" s="7"/>
      <c r="S2260" s="7"/>
      <c r="T2260" s="7"/>
      <c r="U2260" s="7"/>
      <c r="V2260" s="7"/>
      <c r="W2260" s="7"/>
    </row>
    <row r="2261" spans="1:23" x14ac:dyDescent="0.35">
      <c r="A2261" s="257"/>
      <c r="B2261" s="257"/>
      <c r="C2261" s="260"/>
      <c r="D2261" s="263"/>
      <c r="E2261" s="263"/>
      <c r="F2261" s="266"/>
      <c r="G2261" s="251"/>
      <c r="H2261" s="159" t="s">
        <v>74</v>
      </c>
      <c r="I2261" s="158">
        <f>K2261*D2258</f>
        <v>6107502.5999999996</v>
      </c>
      <c r="J2261" s="158">
        <f>I2261/D2258</f>
        <v>4629</v>
      </c>
      <c r="K2261" s="158">
        <v>4629</v>
      </c>
      <c r="L2261" s="7"/>
      <c r="M2261" s="7"/>
      <c r="N2261" s="7"/>
      <c r="O2261" s="7"/>
      <c r="P2261" s="7"/>
      <c r="Q2261" s="7"/>
      <c r="R2261" s="7"/>
      <c r="S2261" s="7"/>
      <c r="T2261" s="7"/>
      <c r="U2261" s="7"/>
      <c r="V2261" s="7"/>
      <c r="W2261" s="7"/>
    </row>
    <row r="2262" spans="1:23" x14ac:dyDescent="0.35">
      <c r="A2262" s="257"/>
      <c r="B2262" s="257"/>
      <c r="C2262" s="260"/>
      <c r="D2262" s="263"/>
      <c r="E2262" s="263"/>
      <c r="F2262" s="266"/>
      <c r="G2262" s="251"/>
      <c r="H2262" s="159" t="s">
        <v>76</v>
      </c>
      <c r="I2262" s="158">
        <f>K2262*D2258</f>
        <v>130620.6</v>
      </c>
      <c r="J2262" s="158">
        <f>I2262/D2258</f>
        <v>99</v>
      </c>
      <c r="K2262" s="158">
        <v>99</v>
      </c>
      <c r="L2262" s="7"/>
      <c r="M2262" s="7"/>
      <c r="N2262" s="7"/>
      <c r="O2262" s="7"/>
      <c r="P2262" s="7"/>
      <c r="Q2262" s="7"/>
      <c r="R2262" s="7"/>
      <c r="S2262" s="7"/>
      <c r="T2262" s="7"/>
      <c r="U2262" s="7"/>
      <c r="V2262" s="7"/>
      <c r="W2262" s="7"/>
    </row>
    <row r="2263" spans="1:23" ht="15.75" customHeight="1" x14ac:dyDescent="0.35">
      <c r="A2263" s="256">
        <f>A2258+1</f>
        <v>199</v>
      </c>
      <c r="B2263" s="256">
        <v>4366</v>
      </c>
      <c r="C2263" s="259" t="s">
        <v>395</v>
      </c>
      <c r="D2263" s="262">
        <v>1864.76</v>
      </c>
      <c r="E2263" s="262" t="s">
        <v>75</v>
      </c>
      <c r="F2263" s="265">
        <v>4</v>
      </c>
      <c r="G2263" s="251" t="s">
        <v>72</v>
      </c>
      <c r="H2263" s="159" t="s">
        <v>73</v>
      </c>
      <c r="I2263" s="158">
        <f>I2264+I2265+I2266</f>
        <v>10448250.279999999</v>
      </c>
      <c r="J2263" s="158">
        <f>J2264+J2265+J2266</f>
        <v>5603</v>
      </c>
      <c r="K2263" s="158">
        <f>K2264+K2265+K2266</f>
        <v>5603</v>
      </c>
      <c r="L2263" s="7"/>
      <c r="M2263" s="7"/>
      <c r="N2263" s="7"/>
      <c r="O2263" s="7"/>
      <c r="P2263" s="7"/>
      <c r="Q2263" s="7"/>
      <c r="R2263" s="7"/>
      <c r="S2263" s="7"/>
      <c r="T2263" s="7"/>
      <c r="U2263" s="7"/>
      <c r="V2263" s="7"/>
      <c r="W2263" s="7"/>
    </row>
    <row r="2264" spans="1:23" ht="46.5" x14ac:dyDescent="0.35">
      <c r="A2264" s="257"/>
      <c r="B2264" s="257"/>
      <c r="C2264" s="260"/>
      <c r="D2264" s="263"/>
      <c r="E2264" s="263"/>
      <c r="F2264" s="266"/>
      <c r="G2264" s="251"/>
      <c r="H2264" s="159" t="s">
        <v>705</v>
      </c>
      <c r="I2264" s="158">
        <f>D2263*K2264</f>
        <v>1631665</v>
      </c>
      <c r="J2264" s="158">
        <f>I2264/D2263</f>
        <v>875</v>
      </c>
      <c r="K2264" s="158">
        <f>807+68</f>
        <v>875</v>
      </c>
      <c r="L2264" s="7"/>
      <c r="M2264" s="7"/>
      <c r="N2264" s="7"/>
      <c r="O2264" s="7"/>
      <c r="P2264" s="7"/>
      <c r="Q2264" s="7"/>
      <c r="R2264" s="7"/>
      <c r="S2264" s="7"/>
      <c r="T2264" s="7"/>
      <c r="U2264" s="7"/>
      <c r="V2264" s="7"/>
      <c r="W2264" s="7"/>
    </row>
    <row r="2265" spans="1:23" x14ac:dyDescent="0.35">
      <c r="A2265" s="257">
        <v>77</v>
      </c>
      <c r="B2265" s="257"/>
      <c r="C2265" s="260"/>
      <c r="D2265" s="263"/>
      <c r="E2265" s="263"/>
      <c r="F2265" s="266"/>
      <c r="G2265" s="251"/>
      <c r="H2265" s="159" t="s">
        <v>74</v>
      </c>
      <c r="I2265" s="158">
        <f>K2265*D2263</f>
        <v>8631974.0399999991</v>
      </c>
      <c r="J2265" s="158">
        <f>I2265/D2263</f>
        <v>4629</v>
      </c>
      <c r="K2265" s="158">
        <v>4629</v>
      </c>
      <c r="L2265" s="7"/>
      <c r="M2265" s="7"/>
      <c r="N2265" s="7"/>
      <c r="O2265" s="7"/>
      <c r="P2265" s="7"/>
      <c r="Q2265" s="7"/>
      <c r="R2265" s="7"/>
      <c r="S2265" s="7"/>
      <c r="T2265" s="7"/>
      <c r="U2265" s="7"/>
      <c r="V2265" s="7"/>
      <c r="W2265" s="7"/>
    </row>
    <row r="2266" spans="1:23" x14ac:dyDescent="0.35">
      <c r="A2266" s="257">
        <v>78</v>
      </c>
      <c r="B2266" s="257"/>
      <c r="C2266" s="260"/>
      <c r="D2266" s="263"/>
      <c r="E2266" s="263"/>
      <c r="F2266" s="266"/>
      <c r="G2266" s="251"/>
      <c r="H2266" s="159" t="s">
        <v>76</v>
      </c>
      <c r="I2266" s="158">
        <f>K2266*D2263</f>
        <v>184611.24</v>
      </c>
      <c r="J2266" s="158">
        <f>I2266/D2263</f>
        <v>99</v>
      </c>
      <c r="K2266" s="158">
        <v>99</v>
      </c>
      <c r="L2266" s="7"/>
      <c r="M2266" s="7"/>
      <c r="N2266" s="7"/>
      <c r="O2266" s="7"/>
      <c r="P2266" s="7"/>
      <c r="Q2266" s="7"/>
      <c r="R2266" s="7"/>
      <c r="S2266" s="7"/>
      <c r="T2266" s="7"/>
      <c r="U2266" s="7"/>
      <c r="V2266" s="7"/>
      <c r="W2266" s="7"/>
    </row>
    <row r="2267" spans="1:23" ht="15.75" customHeight="1" x14ac:dyDescent="0.35">
      <c r="A2267" s="256">
        <f>A2263+1</f>
        <v>200</v>
      </c>
      <c r="B2267" s="256">
        <v>4367</v>
      </c>
      <c r="C2267" s="259" t="s">
        <v>396</v>
      </c>
      <c r="D2267" s="262">
        <v>723.7</v>
      </c>
      <c r="E2267" s="262" t="s">
        <v>75</v>
      </c>
      <c r="F2267" s="265">
        <v>3</v>
      </c>
      <c r="G2267" s="251" t="s">
        <v>72</v>
      </c>
      <c r="H2267" s="159" t="s">
        <v>73</v>
      </c>
      <c r="I2267" s="158">
        <f>I2268+I2269+I2270+I2271</f>
        <v>4226408</v>
      </c>
      <c r="J2267" s="158">
        <f>J2268+J2269+J2270+J2271</f>
        <v>5840</v>
      </c>
      <c r="K2267" s="158">
        <f>K2268+K2269+K2270+K2271</f>
        <v>5840</v>
      </c>
      <c r="L2267" s="7"/>
      <c r="M2267" s="7"/>
      <c r="N2267" s="7"/>
      <c r="O2267" s="7"/>
      <c r="P2267" s="7"/>
      <c r="Q2267" s="7"/>
      <c r="R2267" s="7"/>
      <c r="S2267" s="7"/>
      <c r="T2267" s="7"/>
      <c r="U2267" s="7"/>
      <c r="V2267" s="7"/>
      <c r="W2267" s="7"/>
    </row>
    <row r="2268" spans="1:23" ht="46.5" x14ac:dyDescent="0.35">
      <c r="A2268" s="257"/>
      <c r="B2268" s="257"/>
      <c r="C2268" s="260"/>
      <c r="D2268" s="263"/>
      <c r="E2268" s="263"/>
      <c r="F2268" s="266"/>
      <c r="G2268" s="251"/>
      <c r="H2268" s="159" t="s">
        <v>705</v>
      </c>
      <c r="I2268" s="158">
        <f>D2267*K2268</f>
        <v>633237.5</v>
      </c>
      <c r="J2268" s="158">
        <f>I2268/D2267</f>
        <v>875</v>
      </c>
      <c r="K2268" s="158">
        <f>807+68</f>
        <v>875</v>
      </c>
      <c r="L2268" s="7"/>
      <c r="M2268" s="7"/>
      <c r="N2268" s="7"/>
      <c r="O2268" s="7"/>
      <c r="P2268" s="7"/>
      <c r="Q2268" s="7"/>
      <c r="R2268" s="7"/>
      <c r="S2268" s="7"/>
      <c r="T2268" s="7"/>
      <c r="U2268" s="7"/>
      <c r="V2268" s="7"/>
      <c r="W2268" s="7"/>
    </row>
    <row r="2269" spans="1:23" ht="31" x14ac:dyDescent="0.35">
      <c r="A2269" s="257"/>
      <c r="B2269" s="257"/>
      <c r="C2269" s="260"/>
      <c r="D2269" s="263"/>
      <c r="E2269" s="263"/>
      <c r="F2269" s="266"/>
      <c r="G2269" s="251"/>
      <c r="H2269" s="159" t="s">
        <v>698</v>
      </c>
      <c r="I2269" s="158">
        <f>K2269*D2267</f>
        <v>171516.9</v>
      </c>
      <c r="J2269" s="158">
        <f>I2269/D2267</f>
        <v>237</v>
      </c>
      <c r="K2269" s="158">
        <v>237</v>
      </c>
      <c r="L2269" s="7"/>
      <c r="M2269" s="7"/>
      <c r="N2269" s="7"/>
      <c r="O2269" s="7"/>
      <c r="P2269" s="7"/>
      <c r="Q2269" s="7"/>
      <c r="R2269" s="7"/>
      <c r="S2269" s="7"/>
      <c r="T2269" s="7"/>
      <c r="U2269" s="7"/>
      <c r="V2269" s="7"/>
      <c r="W2269" s="7"/>
    </row>
    <row r="2270" spans="1:23" x14ac:dyDescent="0.35">
      <c r="A2270" s="257">
        <v>77</v>
      </c>
      <c r="B2270" s="257"/>
      <c r="C2270" s="260"/>
      <c r="D2270" s="263"/>
      <c r="E2270" s="263"/>
      <c r="F2270" s="266"/>
      <c r="G2270" s="251"/>
      <c r="H2270" s="159" t="s">
        <v>74</v>
      </c>
      <c r="I2270" s="158">
        <f>K2270*D2267</f>
        <v>3350007.3</v>
      </c>
      <c r="J2270" s="158">
        <f>I2270/D2267</f>
        <v>4629</v>
      </c>
      <c r="K2270" s="158">
        <v>4629</v>
      </c>
      <c r="L2270" s="7"/>
      <c r="M2270" s="7"/>
      <c r="N2270" s="7"/>
      <c r="O2270" s="7"/>
      <c r="P2270" s="7"/>
      <c r="Q2270" s="7"/>
      <c r="R2270" s="7"/>
      <c r="S2270" s="7"/>
      <c r="T2270" s="7"/>
      <c r="U2270" s="7"/>
      <c r="V2270" s="7"/>
      <c r="W2270" s="7"/>
    </row>
    <row r="2271" spans="1:23" x14ac:dyDescent="0.35">
      <c r="A2271" s="257">
        <v>78</v>
      </c>
      <c r="B2271" s="257"/>
      <c r="C2271" s="260"/>
      <c r="D2271" s="263"/>
      <c r="E2271" s="263"/>
      <c r="F2271" s="266"/>
      <c r="G2271" s="251"/>
      <c r="H2271" s="159" t="s">
        <v>76</v>
      </c>
      <c r="I2271" s="158">
        <f>K2271*D2267</f>
        <v>71646.3</v>
      </c>
      <c r="J2271" s="158">
        <f>I2271/D2267</f>
        <v>99</v>
      </c>
      <c r="K2271" s="158">
        <v>99</v>
      </c>
      <c r="L2271" s="7"/>
      <c r="M2271" s="7"/>
      <c r="N2271" s="7"/>
      <c r="O2271" s="7"/>
      <c r="P2271" s="7"/>
      <c r="Q2271" s="7"/>
      <c r="R2271" s="7"/>
      <c r="S2271" s="7"/>
      <c r="T2271" s="7"/>
      <c r="U2271" s="7"/>
      <c r="V2271" s="7"/>
      <c r="W2271" s="7"/>
    </row>
    <row r="2272" spans="1:23" ht="15.75" customHeight="1" x14ac:dyDescent="0.35">
      <c r="A2272" s="256">
        <f>A2267+1</f>
        <v>201</v>
      </c>
      <c r="B2272" s="256">
        <v>3416</v>
      </c>
      <c r="C2272" s="259" t="s">
        <v>137</v>
      </c>
      <c r="D2272" s="262">
        <v>887</v>
      </c>
      <c r="E2272" s="268" t="s">
        <v>75</v>
      </c>
      <c r="F2272" s="268">
        <v>3</v>
      </c>
      <c r="G2272" s="256" t="s">
        <v>85</v>
      </c>
      <c r="H2272" s="159" t="s">
        <v>73</v>
      </c>
      <c r="I2272" s="158">
        <f>I2273+I2274</f>
        <v>54107</v>
      </c>
      <c r="J2272" s="158">
        <f>J2273+J2274</f>
        <v>61</v>
      </c>
      <c r="K2272" s="158">
        <f>K2273+K2274</f>
        <v>61</v>
      </c>
      <c r="L2272" s="7"/>
      <c r="M2272" s="7"/>
      <c r="N2272" s="7"/>
      <c r="O2272" s="7"/>
      <c r="P2272" s="7"/>
      <c r="Q2272" s="7"/>
      <c r="R2272" s="7"/>
      <c r="S2272" s="7"/>
      <c r="T2272" s="7"/>
      <c r="U2272" s="7"/>
      <c r="V2272" s="7"/>
      <c r="W2272" s="7"/>
    </row>
    <row r="2273" spans="1:23" ht="46.5" x14ac:dyDescent="0.35">
      <c r="A2273" s="257"/>
      <c r="B2273" s="257"/>
      <c r="C2273" s="260"/>
      <c r="D2273" s="263"/>
      <c r="E2273" s="269"/>
      <c r="F2273" s="269"/>
      <c r="G2273" s="257"/>
      <c r="H2273" s="159" t="s">
        <v>705</v>
      </c>
      <c r="I2273" s="158">
        <f>D2272*K2273</f>
        <v>39028</v>
      </c>
      <c r="J2273" s="158">
        <f>I2273/D2272</f>
        <v>44</v>
      </c>
      <c r="K2273" s="158">
        <f>41+3</f>
        <v>44</v>
      </c>
      <c r="L2273" s="7"/>
      <c r="M2273" s="7"/>
      <c r="N2273" s="7"/>
      <c r="O2273" s="7"/>
      <c r="P2273" s="7"/>
      <c r="Q2273" s="7"/>
      <c r="R2273" s="7"/>
      <c r="S2273" s="7"/>
      <c r="T2273" s="7"/>
      <c r="U2273" s="7"/>
      <c r="V2273" s="7"/>
      <c r="W2273" s="7"/>
    </row>
    <row r="2274" spans="1:23" ht="31" x14ac:dyDescent="0.35">
      <c r="A2274" s="257"/>
      <c r="B2274" s="257"/>
      <c r="C2274" s="260"/>
      <c r="D2274" s="263"/>
      <c r="E2274" s="269"/>
      <c r="F2274" s="273"/>
      <c r="G2274" s="257"/>
      <c r="H2274" s="159" t="s">
        <v>698</v>
      </c>
      <c r="I2274" s="158">
        <f>D2272*K2274</f>
        <v>15079</v>
      </c>
      <c r="J2274" s="158">
        <f>I2274/D2272</f>
        <v>17</v>
      </c>
      <c r="K2274" s="158">
        <v>17</v>
      </c>
      <c r="L2274" s="7"/>
      <c r="M2274" s="7"/>
      <c r="N2274" s="7"/>
      <c r="O2274" s="7"/>
      <c r="P2274" s="7"/>
      <c r="Q2274" s="7"/>
      <c r="R2274" s="7"/>
      <c r="S2274" s="7"/>
      <c r="T2274" s="7"/>
      <c r="U2274" s="7"/>
      <c r="V2274" s="7"/>
      <c r="W2274" s="7"/>
    </row>
    <row r="2275" spans="1:23" ht="15.75" customHeight="1" x14ac:dyDescent="0.35">
      <c r="A2275" s="256">
        <f>A2272+1</f>
        <v>202</v>
      </c>
      <c r="B2275" s="256">
        <v>3417</v>
      </c>
      <c r="C2275" s="259" t="s">
        <v>138</v>
      </c>
      <c r="D2275" s="262">
        <v>921.5</v>
      </c>
      <c r="E2275" s="268" t="s">
        <v>75</v>
      </c>
      <c r="F2275" s="268">
        <v>3</v>
      </c>
      <c r="G2275" s="144"/>
      <c r="H2275" s="159" t="s">
        <v>73</v>
      </c>
      <c r="I2275" s="158">
        <f>I2276+I2277+I2278+I2279</f>
        <v>340033.5</v>
      </c>
      <c r="J2275" s="158">
        <f>J2276+J2277+J2278+J2279</f>
        <v>369</v>
      </c>
      <c r="K2275" s="158">
        <f>K2276+K2277+K2278+K2279</f>
        <v>369</v>
      </c>
      <c r="L2275" s="7"/>
      <c r="M2275" s="7"/>
      <c r="N2275" s="7"/>
      <c r="O2275" s="7"/>
      <c r="P2275" s="7"/>
      <c r="Q2275" s="7"/>
      <c r="R2275" s="7"/>
      <c r="S2275" s="7"/>
      <c r="T2275" s="7"/>
      <c r="U2275" s="7"/>
      <c r="V2275" s="7"/>
      <c r="W2275" s="7"/>
    </row>
    <row r="2276" spans="1:23" ht="46.5" x14ac:dyDescent="0.35">
      <c r="A2276" s="257"/>
      <c r="B2276" s="257"/>
      <c r="C2276" s="260"/>
      <c r="D2276" s="263"/>
      <c r="E2276" s="269"/>
      <c r="F2276" s="269"/>
      <c r="G2276" s="256" t="s">
        <v>85</v>
      </c>
      <c r="H2276" s="159" t="s">
        <v>705</v>
      </c>
      <c r="I2276" s="158">
        <f>D2275*K2276</f>
        <v>40546</v>
      </c>
      <c r="J2276" s="158">
        <f>I2276/D2275</f>
        <v>44</v>
      </c>
      <c r="K2276" s="158">
        <f>41+3</f>
        <v>44</v>
      </c>
      <c r="L2276" s="7"/>
      <c r="M2276" s="7"/>
      <c r="N2276" s="7"/>
      <c r="O2276" s="7"/>
      <c r="P2276" s="7"/>
      <c r="Q2276" s="7"/>
      <c r="R2276" s="7"/>
      <c r="S2276" s="7"/>
      <c r="T2276" s="7"/>
      <c r="U2276" s="7"/>
      <c r="V2276" s="7"/>
      <c r="W2276" s="7"/>
    </row>
    <row r="2277" spans="1:23" ht="31" x14ac:dyDescent="0.35">
      <c r="A2277" s="257"/>
      <c r="B2277" s="257"/>
      <c r="C2277" s="260"/>
      <c r="D2277" s="263"/>
      <c r="E2277" s="269"/>
      <c r="F2277" s="269"/>
      <c r="G2277" s="258"/>
      <c r="H2277" s="159" t="s">
        <v>698</v>
      </c>
      <c r="I2277" s="158">
        <f>D2275*K2277</f>
        <v>15665.5</v>
      </c>
      <c r="J2277" s="158">
        <f>I2277/D2275</f>
        <v>17</v>
      </c>
      <c r="K2277" s="158">
        <v>17</v>
      </c>
      <c r="L2277" s="7"/>
      <c r="M2277" s="7"/>
      <c r="N2277" s="7"/>
      <c r="O2277" s="7"/>
      <c r="P2277" s="7"/>
      <c r="Q2277" s="7"/>
      <c r="R2277" s="7"/>
      <c r="S2277" s="7"/>
      <c r="T2277" s="7"/>
      <c r="U2277" s="7"/>
      <c r="V2277" s="7"/>
      <c r="W2277" s="7"/>
    </row>
    <row r="2278" spans="1:23" ht="31" x14ac:dyDescent="0.35">
      <c r="A2278" s="257"/>
      <c r="B2278" s="257"/>
      <c r="C2278" s="260"/>
      <c r="D2278" s="263"/>
      <c r="E2278" s="269"/>
      <c r="F2278" s="269"/>
      <c r="G2278" s="256" t="s">
        <v>82</v>
      </c>
      <c r="H2278" s="159" t="s">
        <v>666</v>
      </c>
      <c r="I2278" s="158">
        <f>D2275*K2278</f>
        <v>204573</v>
      </c>
      <c r="J2278" s="158">
        <f>I2278/D2275</f>
        <v>222</v>
      </c>
      <c r="K2278" s="158">
        <f>205+17</f>
        <v>222</v>
      </c>
      <c r="L2278" s="7"/>
      <c r="M2278" s="7"/>
      <c r="N2278" s="7"/>
      <c r="O2278" s="7"/>
      <c r="P2278" s="7"/>
      <c r="Q2278" s="7"/>
      <c r="R2278" s="7"/>
      <c r="S2278" s="7"/>
      <c r="T2278" s="7"/>
      <c r="U2278" s="7"/>
      <c r="V2278" s="7"/>
      <c r="W2278" s="7"/>
    </row>
    <row r="2279" spans="1:23" ht="31" x14ac:dyDescent="0.35">
      <c r="A2279" s="258"/>
      <c r="B2279" s="258"/>
      <c r="C2279" s="261"/>
      <c r="D2279" s="264"/>
      <c r="E2279" s="273"/>
      <c r="F2279" s="273"/>
      <c r="G2279" s="258"/>
      <c r="H2279" s="159" t="s">
        <v>698</v>
      </c>
      <c r="I2279" s="158">
        <f>D2275*K2279</f>
        <v>79249</v>
      </c>
      <c r="J2279" s="158">
        <f>I2279/D2275</f>
        <v>86</v>
      </c>
      <c r="K2279" s="158">
        <v>86</v>
      </c>
      <c r="L2279" s="7"/>
      <c r="M2279" s="7"/>
      <c r="N2279" s="7"/>
      <c r="O2279" s="7"/>
      <c r="P2279" s="7"/>
      <c r="Q2279" s="7"/>
      <c r="R2279" s="7"/>
      <c r="S2279" s="7"/>
      <c r="T2279" s="7"/>
      <c r="U2279" s="7"/>
      <c r="V2279" s="7"/>
      <c r="W2279" s="7"/>
    </row>
    <row r="2280" spans="1:23" ht="15.75" customHeight="1" x14ac:dyDescent="0.35">
      <c r="A2280" s="251">
        <f>A2275+1</f>
        <v>203</v>
      </c>
      <c r="B2280" s="251">
        <v>8156</v>
      </c>
      <c r="C2280" s="252" t="s">
        <v>776</v>
      </c>
      <c r="D2280" s="253">
        <v>3902.7</v>
      </c>
      <c r="E2280" s="254" t="s">
        <v>71</v>
      </c>
      <c r="F2280" s="254">
        <v>5</v>
      </c>
      <c r="G2280" s="251" t="s">
        <v>72</v>
      </c>
      <c r="H2280" s="159" t="s">
        <v>73</v>
      </c>
      <c r="I2280" s="158">
        <f>I2281</f>
        <v>569794.19999999995</v>
      </c>
      <c r="J2280" s="158">
        <f>J2281</f>
        <v>146</v>
      </c>
      <c r="K2280" s="158">
        <f>K2281</f>
        <v>146</v>
      </c>
      <c r="L2280" s="7"/>
      <c r="M2280" s="7"/>
      <c r="N2280" s="7"/>
      <c r="O2280" s="7"/>
      <c r="P2280" s="7"/>
      <c r="Q2280" s="7"/>
      <c r="R2280" s="7"/>
      <c r="S2280" s="7"/>
      <c r="T2280" s="7"/>
      <c r="U2280" s="7"/>
      <c r="V2280" s="7"/>
      <c r="W2280" s="7"/>
    </row>
    <row r="2281" spans="1:23" ht="46.5" x14ac:dyDescent="0.35">
      <c r="A2281" s="251"/>
      <c r="B2281" s="251"/>
      <c r="C2281" s="252"/>
      <c r="D2281" s="253"/>
      <c r="E2281" s="254"/>
      <c r="F2281" s="254"/>
      <c r="G2281" s="251"/>
      <c r="H2281" s="159" t="s">
        <v>796</v>
      </c>
      <c r="I2281" s="158">
        <f>D2280*K2281</f>
        <v>569794.19999999995</v>
      </c>
      <c r="J2281" s="158">
        <f>I2281/D2280</f>
        <v>146</v>
      </c>
      <c r="K2281" s="158">
        <f>135+11</f>
        <v>146</v>
      </c>
      <c r="L2281" s="7"/>
      <c r="M2281" s="7"/>
      <c r="N2281" s="7"/>
      <c r="O2281" s="7"/>
      <c r="P2281" s="7"/>
      <c r="Q2281" s="7"/>
      <c r="R2281" s="7"/>
      <c r="S2281" s="7"/>
      <c r="T2281" s="7"/>
      <c r="U2281" s="7"/>
      <c r="V2281" s="7"/>
      <c r="W2281" s="7"/>
    </row>
    <row r="2282" spans="1:23" ht="15.75" customHeight="1" x14ac:dyDescent="0.35">
      <c r="A2282" s="251">
        <f>A2280+1</f>
        <v>204</v>
      </c>
      <c r="B2282" s="251">
        <v>3147</v>
      </c>
      <c r="C2282" s="252" t="s">
        <v>397</v>
      </c>
      <c r="D2282" s="253">
        <v>7160</v>
      </c>
      <c r="E2282" s="254" t="s">
        <v>71</v>
      </c>
      <c r="F2282" s="254">
        <v>9</v>
      </c>
      <c r="G2282" s="251" t="s">
        <v>72</v>
      </c>
      <c r="H2282" s="159" t="s">
        <v>73</v>
      </c>
      <c r="I2282" s="158">
        <f>I2283</f>
        <v>1174240</v>
      </c>
      <c r="J2282" s="158">
        <f>J2283</f>
        <v>164</v>
      </c>
      <c r="K2282" s="158">
        <f>K2283</f>
        <v>164</v>
      </c>
      <c r="L2282" s="7"/>
      <c r="M2282" s="7"/>
      <c r="N2282" s="7"/>
      <c r="O2282" s="7"/>
      <c r="P2282" s="7"/>
      <c r="Q2282" s="7"/>
      <c r="R2282" s="7"/>
      <c r="S2282" s="7"/>
      <c r="T2282" s="7"/>
      <c r="U2282" s="7"/>
      <c r="V2282" s="7"/>
      <c r="W2282" s="7"/>
    </row>
    <row r="2283" spans="1:23" ht="46.5" x14ac:dyDescent="0.35">
      <c r="A2283" s="251"/>
      <c r="B2283" s="251"/>
      <c r="C2283" s="252"/>
      <c r="D2283" s="253"/>
      <c r="E2283" s="254"/>
      <c r="F2283" s="254"/>
      <c r="G2283" s="251"/>
      <c r="H2283" s="159" t="s">
        <v>705</v>
      </c>
      <c r="I2283" s="158">
        <f>D2282*K2283</f>
        <v>1174240</v>
      </c>
      <c r="J2283" s="158">
        <f>I2283/D2282</f>
        <v>164</v>
      </c>
      <c r="K2283" s="158">
        <f>151+13</f>
        <v>164</v>
      </c>
      <c r="L2283" s="7"/>
      <c r="M2283" s="7"/>
      <c r="N2283" s="7"/>
      <c r="O2283" s="7"/>
      <c r="P2283" s="7"/>
      <c r="Q2283" s="7"/>
      <c r="R2283" s="7"/>
      <c r="S2283" s="7"/>
      <c r="T2283" s="7"/>
      <c r="U2283" s="7"/>
      <c r="V2283" s="7"/>
      <c r="W2283" s="7"/>
    </row>
    <row r="2284" spans="1:23" ht="15.75" customHeight="1" x14ac:dyDescent="0.35">
      <c r="A2284" s="251">
        <f>A2282+1</f>
        <v>205</v>
      </c>
      <c r="B2284" s="251">
        <v>4254</v>
      </c>
      <c r="C2284" s="252" t="s">
        <v>777</v>
      </c>
      <c r="D2284" s="253">
        <v>4859.2</v>
      </c>
      <c r="E2284" s="254" t="s">
        <v>71</v>
      </c>
      <c r="F2284" s="268">
        <v>10</v>
      </c>
      <c r="G2284" s="123"/>
      <c r="H2284" s="159" t="s">
        <v>73</v>
      </c>
      <c r="I2284" s="158">
        <f>I2285+I2286</f>
        <v>49160</v>
      </c>
      <c r="J2284" s="158">
        <f>J2285+J2286</f>
        <v>10.119999999999999</v>
      </c>
      <c r="K2284" s="158">
        <f>K2285+K2286</f>
        <v>10.119999999999999</v>
      </c>
      <c r="L2284" s="7"/>
      <c r="M2284" s="7"/>
      <c r="N2284" s="7"/>
      <c r="O2284" s="7"/>
      <c r="P2284" s="7"/>
      <c r="Q2284" s="7"/>
      <c r="R2284" s="7"/>
      <c r="S2284" s="7"/>
      <c r="T2284" s="7"/>
      <c r="U2284" s="7"/>
      <c r="V2284" s="7"/>
      <c r="W2284" s="7"/>
    </row>
    <row r="2285" spans="1:23" ht="31" x14ac:dyDescent="0.35">
      <c r="A2285" s="251"/>
      <c r="B2285" s="251"/>
      <c r="C2285" s="252"/>
      <c r="D2285" s="253"/>
      <c r="E2285" s="254"/>
      <c r="F2285" s="269"/>
      <c r="G2285" s="120" t="s">
        <v>673</v>
      </c>
      <c r="H2285" s="159" t="s">
        <v>666</v>
      </c>
      <c r="I2285" s="158">
        <v>24580</v>
      </c>
      <c r="J2285" s="158">
        <f>I2285/D2284</f>
        <v>5.0599999999999996</v>
      </c>
      <c r="K2285" s="158">
        <f>24580/D2284</f>
        <v>5.0599999999999996</v>
      </c>
      <c r="L2285" s="7"/>
      <c r="M2285" s="7"/>
      <c r="N2285" s="7"/>
      <c r="O2285" s="7"/>
      <c r="P2285" s="7"/>
      <c r="Q2285" s="7"/>
      <c r="R2285" s="7"/>
      <c r="S2285" s="7"/>
      <c r="T2285" s="7"/>
      <c r="U2285" s="7"/>
      <c r="V2285" s="7"/>
      <c r="W2285" s="7"/>
    </row>
    <row r="2286" spans="1:23" ht="31" x14ac:dyDescent="0.35">
      <c r="A2286" s="251"/>
      <c r="B2286" s="251"/>
      <c r="C2286" s="252"/>
      <c r="D2286" s="253"/>
      <c r="E2286" s="254"/>
      <c r="F2286" s="269"/>
      <c r="G2286" s="120" t="s">
        <v>679</v>
      </c>
      <c r="H2286" s="159" t="s">
        <v>666</v>
      </c>
      <c r="I2286" s="158">
        <v>24580</v>
      </c>
      <c r="J2286" s="158">
        <f>I2286/D2284</f>
        <v>5.0599999999999996</v>
      </c>
      <c r="K2286" s="158">
        <f>24580/D2284</f>
        <v>5.0599999999999996</v>
      </c>
      <c r="L2286" s="7"/>
      <c r="M2286" s="7"/>
      <c r="N2286" s="7"/>
      <c r="O2286" s="7"/>
      <c r="P2286" s="7"/>
      <c r="Q2286" s="7"/>
      <c r="R2286" s="7"/>
      <c r="S2286" s="7"/>
      <c r="T2286" s="7"/>
      <c r="U2286" s="7"/>
      <c r="V2286" s="7"/>
      <c r="W2286" s="7"/>
    </row>
    <row r="2287" spans="1:23" ht="15.75" customHeight="1" x14ac:dyDescent="0.35">
      <c r="A2287" s="251">
        <f>A2284+1</f>
        <v>206</v>
      </c>
      <c r="B2287" s="251">
        <v>3438</v>
      </c>
      <c r="C2287" s="252" t="s">
        <v>778</v>
      </c>
      <c r="D2287" s="253">
        <v>10071.02</v>
      </c>
      <c r="E2287" s="254" t="s">
        <v>71</v>
      </c>
      <c r="F2287" s="254">
        <v>9</v>
      </c>
      <c r="G2287" s="251" t="s">
        <v>72</v>
      </c>
      <c r="H2287" s="159" t="s">
        <v>73</v>
      </c>
      <c r="I2287" s="158">
        <f>I2288</f>
        <v>1651647.28</v>
      </c>
      <c r="J2287" s="158">
        <f>J2288</f>
        <v>164</v>
      </c>
      <c r="K2287" s="158">
        <f>K2288</f>
        <v>164</v>
      </c>
      <c r="L2287" s="7"/>
      <c r="M2287" s="7"/>
      <c r="N2287" s="7"/>
      <c r="O2287" s="7"/>
      <c r="P2287" s="7"/>
      <c r="Q2287" s="7"/>
      <c r="R2287" s="7"/>
      <c r="S2287" s="7"/>
      <c r="T2287" s="7"/>
      <c r="U2287" s="7"/>
      <c r="V2287" s="7"/>
      <c r="W2287" s="7"/>
    </row>
    <row r="2288" spans="1:23" ht="46.5" x14ac:dyDescent="0.35">
      <c r="A2288" s="251"/>
      <c r="B2288" s="251"/>
      <c r="C2288" s="252"/>
      <c r="D2288" s="253"/>
      <c r="E2288" s="254"/>
      <c r="F2288" s="254"/>
      <c r="G2288" s="251"/>
      <c r="H2288" s="159" t="s">
        <v>705</v>
      </c>
      <c r="I2288" s="158">
        <f>D2287*K2288</f>
        <v>1651647.28</v>
      </c>
      <c r="J2288" s="158">
        <f>I2288/D2287</f>
        <v>164</v>
      </c>
      <c r="K2288" s="158">
        <f>151+13</f>
        <v>164</v>
      </c>
      <c r="L2288" s="7"/>
      <c r="M2288" s="7"/>
      <c r="N2288" s="7"/>
      <c r="O2288" s="7"/>
      <c r="P2288" s="7"/>
      <c r="Q2288" s="7"/>
      <c r="R2288" s="7"/>
      <c r="S2288" s="7"/>
      <c r="T2288" s="7"/>
      <c r="U2288" s="7"/>
      <c r="V2288" s="7"/>
      <c r="W2288" s="7"/>
    </row>
    <row r="2289" spans="1:23" ht="15.75" customHeight="1" x14ac:dyDescent="0.35">
      <c r="A2289" s="251">
        <f>A2287+1</f>
        <v>207</v>
      </c>
      <c r="B2289" s="251">
        <v>8032</v>
      </c>
      <c r="C2289" s="252" t="s">
        <v>609</v>
      </c>
      <c r="D2289" s="253">
        <v>2459.3000000000002</v>
      </c>
      <c r="E2289" s="254" t="s">
        <v>75</v>
      </c>
      <c r="F2289" s="268">
        <v>9</v>
      </c>
      <c r="G2289" s="123"/>
      <c r="H2289" s="159" t="s">
        <v>73</v>
      </c>
      <c r="I2289" s="158">
        <f>I2290+I2291+I2292</f>
        <v>1769972</v>
      </c>
      <c r="J2289" s="158">
        <f>J2290+J2291+J2292</f>
        <v>719.71</v>
      </c>
      <c r="K2289" s="158">
        <f>K2290+K2291+K2292</f>
        <v>719.71</v>
      </c>
      <c r="L2289" s="7"/>
      <c r="M2289" s="7"/>
      <c r="N2289" s="7"/>
      <c r="O2289" s="7"/>
      <c r="P2289" s="7"/>
      <c r="Q2289" s="7"/>
      <c r="R2289" s="7"/>
      <c r="S2289" s="7"/>
      <c r="T2289" s="7"/>
      <c r="U2289" s="7"/>
      <c r="V2289" s="7"/>
      <c r="W2289" s="7"/>
    </row>
    <row r="2290" spans="1:23" ht="31" x14ac:dyDescent="0.35">
      <c r="A2290" s="251"/>
      <c r="B2290" s="251"/>
      <c r="C2290" s="252"/>
      <c r="D2290" s="253"/>
      <c r="E2290" s="254"/>
      <c r="F2290" s="269"/>
      <c r="G2290" s="256" t="s">
        <v>673</v>
      </c>
      <c r="H2290" s="159" t="s">
        <v>666</v>
      </c>
      <c r="I2290" s="158">
        <v>24580</v>
      </c>
      <c r="J2290" s="158">
        <f>I2290/D2289</f>
        <v>9.99</v>
      </c>
      <c r="K2290" s="158">
        <f>24580/D2289</f>
        <v>9.99</v>
      </c>
      <c r="L2290" s="7"/>
      <c r="M2290" s="7"/>
      <c r="N2290" s="7"/>
      <c r="O2290" s="7"/>
      <c r="P2290" s="7"/>
      <c r="Q2290" s="7"/>
      <c r="R2290" s="7"/>
      <c r="S2290" s="7"/>
      <c r="T2290" s="7"/>
      <c r="U2290" s="7"/>
      <c r="V2290" s="7"/>
      <c r="W2290" s="7"/>
    </row>
    <row r="2291" spans="1:23" x14ac:dyDescent="0.35">
      <c r="A2291" s="251">
        <v>756</v>
      </c>
      <c r="B2291" s="251"/>
      <c r="C2291" s="252"/>
      <c r="D2291" s="253"/>
      <c r="E2291" s="254"/>
      <c r="F2291" s="269"/>
      <c r="G2291" s="257"/>
      <c r="H2291" s="159" t="s">
        <v>674</v>
      </c>
      <c r="I2291" s="158">
        <v>1708823</v>
      </c>
      <c r="J2291" s="158">
        <f>I2291/D2289+0.01</f>
        <v>694.85</v>
      </c>
      <c r="K2291" s="158">
        <f>1708823/D2289+0.01</f>
        <v>694.85</v>
      </c>
      <c r="L2291" s="7"/>
      <c r="M2291" s="7"/>
      <c r="N2291" s="7"/>
      <c r="O2291" s="7"/>
      <c r="P2291" s="7"/>
      <c r="Q2291" s="7"/>
      <c r="R2291" s="7"/>
      <c r="S2291" s="7"/>
      <c r="T2291" s="7"/>
      <c r="U2291" s="7"/>
      <c r="V2291" s="7"/>
      <c r="W2291" s="7"/>
    </row>
    <row r="2292" spans="1:23" x14ac:dyDescent="0.35">
      <c r="A2292" s="251">
        <v>757</v>
      </c>
      <c r="B2292" s="251"/>
      <c r="C2292" s="252"/>
      <c r="D2292" s="253"/>
      <c r="E2292" s="254"/>
      <c r="F2292" s="273"/>
      <c r="G2292" s="258"/>
      <c r="H2292" s="159" t="s">
        <v>76</v>
      </c>
      <c r="I2292" s="158">
        <v>36569</v>
      </c>
      <c r="J2292" s="158">
        <f>I2292/D2289</f>
        <v>14.87</v>
      </c>
      <c r="K2292" s="158">
        <f>36569/D2289</f>
        <v>14.87</v>
      </c>
      <c r="L2292" s="7"/>
      <c r="M2292" s="7"/>
      <c r="N2292" s="7"/>
      <c r="O2292" s="7"/>
      <c r="P2292" s="7"/>
      <c r="Q2292" s="7"/>
      <c r="R2292" s="7"/>
      <c r="S2292" s="7"/>
      <c r="T2292" s="7"/>
      <c r="U2292" s="7"/>
      <c r="V2292" s="7"/>
      <c r="W2292" s="7"/>
    </row>
    <row r="2293" spans="1:23" ht="15.75" customHeight="1" x14ac:dyDescent="0.35">
      <c r="A2293" s="251">
        <f>A2289+1</f>
        <v>208</v>
      </c>
      <c r="B2293" s="251">
        <v>2427</v>
      </c>
      <c r="C2293" s="252" t="s">
        <v>139</v>
      </c>
      <c r="D2293" s="253">
        <v>3713.1</v>
      </c>
      <c r="E2293" s="254" t="s">
        <v>75</v>
      </c>
      <c r="F2293" s="254">
        <v>5</v>
      </c>
      <c r="G2293" s="251" t="s">
        <v>72</v>
      </c>
      <c r="H2293" s="159" t="s">
        <v>73</v>
      </c>
      <c r="I2293" s="158">
        <f>I2294</f>
        <v>608948.4</v>
      </c>
      <c r="J2293" s="158">
        <f>J2294</f>
        <v>164</v>
      </c>
      <c r="K2293" s="158">
        <f>K2294</f>
        <v>164</v>
      </c>
      <c r="L2293" s="7"/>
      <c r="M2293" s="7"/>
      <c r="N2293" s="7"/>
      <c r="O2293" s="7"/>
      <c r="P2293" s="7"/>
      <c r="Q2293" s="7"/>
      <c r="R2293" s="7"/>
      <c r="S2293" s="7"/>
      <c r="T2293" s="7"/>
      <c r="U2293" s="7"/>
      <c r="V2293" s="7"/>
      <c r="W2293" s="7"/>
    </row>
    <row r="2294" spans="1:23" ht="46.5" x14ac:dyDescent="0.35">
      <c r="A2294" s="251"/>
      <c r="B2294" s="251"/>
      <c r="C2294" s="252"/>
      <c r="D2294" s="253"/>
      <c r="E2294" s="254"/>
      <c r="F2294" s="254"/>
      <c r="G2294" s="251"/>
      <c r="H2294" s="159" t="s">
        <v>705</v>
      </c>
      <c r="I2294" s="158">
        <f>D2293*K2294</f>
        <v>608948.4</v>
      </c>
      <c r="J2294" s="158">
        <f>I2294/D2293</f>
        <v>164</v>
      </c>
      <c r="K2294" s="158">
        <f>151+13</f>
        <v>164</v>
      </c>
      <c r="L2294" s="7"/>
      <c r="M2294" s="7"/>
      <c r="N2294" s="7"/>
      <c r="O2294" s="7"/>
      <c r="P2294" s="7"/>
      <c r="Q2294" s="7"/>
      <c r="R2294" s="7"/>
      <c r="S2294" s="7"/>
      <c r="T2294" s="7"/>
      <c r="U2294" s="7"/>
      <c r="V2294" s="7"/>
      <c r="W2294" s="7"/>
    </row>
    <row r="2295" spans="1:23" ht="15.75" customHeight="1" x14ac:dyDescent="0.35">
      <c r="A2295" s="251">
        <f>A2293+1</f>
        <v>209</v>
      </c>
      <c r="B2295" s="251">
        <v>2258</v>
      </c>
      <c r="C2295" s="252" t="s">
        <v>399</v>
      </c>
      <c r="D2295" s="253">
        <v>4516</v>
      </c>
      <c r="E2295" s="254" t="s">
        <v>75</v>
      </c>
      <c r="F2295" s="254">
        <v>5</v>
      </c>
      <c r="G2295" s="251" t="s">
        <v>72</v>
      </c>
      <c r="H2295" s="159" t="s">
        <v>73</v>
      </c>
      <c r="I2295" s="158">
        <f>I2296+I2297</f>
        <v>7341250.8899999997</v>
      </c>
      <c r="J2295" s="158">
        <f>J2296+J2297</f>
        <v>1625.61</v>
      </c>
      <c r="K2295" s="158">
        <f>K2296+K2297</f>
        <v>2831</v>
      </c>
      <c r="L2295" s="7"/>
      <c r="M2295" s="7"/>
      <c r="N2295" s="7"/>
      <c r="O2295" s="7"/>
      <c r="P2295" s="7"/>
      <c r="Q2295" s="7"/>
      <c r="R2295" s="7"/>
      <c r="S2295" s="7"/>
      <c r="T2295" s="7"/>
      <c r="U2295" s="7"/>
      <c r="V2295" s="7"/>
      <c r="W2295" s="7"/>
    </row>
    <row r="2296" spans="1:23" x14ac:dyDescent="0.35">
      <c r="A2296" s="251">
        <v>77</v>
      </c>
      <c r="B2296" s="251"/>
      <c r="C2296" s="252"/>
      <c r="D2296" s="253"/>
      <c r="E2296" s="254"/>
      <c r="F2296" s="254"/>
      <c r="G2296" s="251"/>
      <c r="H2296" s="159" t="s">
        <v>74</v>
      </c>
      <c r="I2296" s="158">
        <f>10176394.36*0.7</f>
        <v>7123476.0499999998</v>
      </c>
      <c r="J2296" s="158">
        <f>I2296/D2295</f>
        <v>1577.39</v>
      </c>
      <c r="K2296" s="158">
        <v>2772</v>
      </c>
      <c r="L2296" s="7"/>
      <c r="M2296" s="7"/>
      <c r="N2296" s="7"/>
      <c r="O2296" s="7"/>
      <c r="P2296" s="7"/>
      <c r="Q2296" s="7"/>
      <c r="R2296" s="7"/>
      <c r="S2296" s="7"/>
      <c r="T2296" s="7"/>
      <c r="U2296" s="7"/>
      <c r="V2296" s="7"/>
      <c r="W2296" s="7"/>
    </row>
    <row r="2297" spans="1:23" x14ac:dyDescent="0.35">
      <c r="A2297" s="251">
        <v>78</v>
      </c>
      <c r="B2297" s="251"/>
      <c r="C2297" s="252"/>
      <c r="D2297" s="253"/>
      <c r="E2297" s="254"/>
      <c r="F2297" s="254"/>
      <c r="G2297" s="251"/>
      <c r="H2297" s="159" t="s">
        <v>76</v>
      </c>
      <c r="I2297" s="158">
        <f>10176394.36*0.0214</f>
        <v>217774.84</v>
      </c>
      <c r="J2297" s="158">
        <f>I2297/D2295</f>
        <v>48.22</v>
      </c>
      <c r="K2297" s="158">
        <v>59</v>
      </c>
      <c r="L2297" s="7"/>
      <c r="M2297" s="7"/>
      <c r="N2297" s="7"/>
      <c r="O2297" s="7"/>
      <c r="P2297" s="7"/>
      <c r="Q2297" s="7"/>
      <c r="R2297" s="7"/>
      <c r="S2297" s="7"/>
      <c r="T2297" s="7"/>
      <c r="U2297" s="7"/>
      <c r="V2297" s="7"/>
      <c r="W2297" s="7"/>
    </row>
    <row r="2298" spans="1:23" ht="15.75" customHeight="1" x14ac:dyDescent="0.35">
      <c r="A2298" s="251">
        <f>A2295+1</f>
        <v>210</v>
      </c>
      <c r="B2298" s="251">
        <v>8169</v>
      </c>
      <c r="C2298" s="252" t="s">
        <v>610</v>
      </c>
      <c r="D2298" s="253">
        <v>3616.91</v>
      </c>
      <c r="E2298" s="254" t="s">
        <v>75</v>
      </c>
      <c r="F2298" s="254">
        <v>4</v>
      </c>
      <c r="G2298" s="251" t="s">
        <v>72</v>
      </c>
      <c r="H2298" s="159" t="s">
        <v>73</v>
      </c>
      <c r="I2298" s="158">
        <f>I2299</f>
        <v>593173.24</v>
      </c>
      <c r="J2298" s="158">
        <f>J2299</f>
        <v>164</v>
      </c>
      <c r="K2298" s="158">
        <f>K2299</f>
        <v>164</v>
      </c>
      <c r="L2298" s="7"/>
      <c r="M2298" s="7"/>
      <c r="N2298" s="7"/>
      <c r="O2298" s="7"/>
      <c r="P2298" s="7"/>
      <c r="Q2298" s="7"/>
      <c r="R2298" s="7"/>
      <c r="S2298" s="7"/>
      <c r="T2298" s="7"/>
      <c r="U2298" s="7"/>
      <c r="V2298" s="7"/>
      <c r="W2298" s="7"/>
    </row>
    <row r="2299" spans="1:23" ht="46.5" x14ac:dyDescent="0.35">
      <c r="A2299" s="251"/>
      <c r="B2299" s="251"/>
      <c r="C2299" s="252"/>
      <c r="D2299" s="253"/>
      <c r="E2299" s="254"/>
      <c r="F2299" s="254"/>
      <c r="G2299" s="251"/>
      <c r="H2299" s="159" t="s">
        <v>705</v>
      </c>
      <c r="I2299" s="158">
        <f>D2298*K2299</f>
        <v>593173.24</v>
      </c>
      <c r="J2299" s="158">
        <f>I2299/D2298</f>
        <v>164</v>
      </c>
      <c r="K2299" s="158">
        <f>151+13</f>
        <v>164</v>
      </c>
      <c r="L2299" s="7"/>
      <c r="M2299" s="7"/>
      <c r="N2299" s="7"/>
      <c r="O2299" s="7"/>
      <c r="P2299" s="7"/>
      <c r="Q2299" s="7"/>
      <c r="R2299" s="7"/>
      <c r="S2299" s="7"/>
      <c r="T2299" s="7"/>
      <c r="U2299" s="7"/>
      <c r="V2299" s="7"/>
      <c r="W2299" s="7"/>
    </row>
    <row r="2300" spans="1:23" x14ac:dyDescent="0.35">
      <c r="A2300" s="251">
        <f>A2298+1</f>
        <v>211</v>
      </c>
      <c r="B2300" s="251">
        <v>2345</v>
      </c>
      <c r="C2300" s="252" t="s">
        <v>402</v>
      </c>
      <c r="D2300" s="253">
        <v>2866.7</v>
      </c>
      <c r="E2300" s="254" t="s">
        <v>71</v>
      </c>
      <c r="F2300" s="254">
        <v>5</v>
      </c>
      <c r="G2300" s="251" t="s">
        <v>72</v>
      </c>
      <c r="H2300" s="159" t="s">
        <v>73</v>
      </c>
      <c r="I2300" s="158">
        <f>I2301+I2302</f>
        <v>6044549.9900000002</v>
      </c>
      <c r="J2300" s="158">
        <f>J2301+J2302</f>
        <v>2108.54</v>
      </c>
      <c r="K2300" s="158">
        <f>K2301+K2302</f>
        <v>3449</v>
      </c>
      <c r="L2300" s="7"/>
      <c r="M2300" s="7"/>
      <c r="N2300" s="7"/>
      <c r="O2300" s="7"/>
      <c r="P2300" s="7"/>
      <c r="Q2300" s="7"/>
      <c r="R2300" s="7"/>
      <c r="S2300" s="7"/>
      <c r="T2300" s="7"/>
      <c r="U2300" s="7"/>
      <c r="V2300" s="7"/>
      <c r="W2300" s="7"/>
    </row>
    <row r="2301" spans="1:23" ht="31" x14ac:dyDescent="0.35">
      <c r="A2301" s="251">
        <v>77</v>
      </c>
      <c r="B2301" s="251"/>
      <c r="C2301" s="252"/>
      <c r="D2301" s="253"/>
      <c r="E2301" s="254"/>
      <c r="F2301" s="254"/>
      <c r="G2301" s="251"/>
      <c r="H2301" s="159" t="s">
        <v>86</v>
      </c>
      <c r="I2301" s="158">
        <f>8378915.99*0.7</f>
        <v>5865241.1900000004</v>
      </c>
      <c r="J2301" s="158">
        <f>I2301/D2300</f>
        <v>2045.99</v>
      </c>
      <c r="K2301" s="158">
        <v>3377</v>
      </c>
      <c r="L2301" s="7"/>
      <c r="M2301" s="7"/>
      <c r="N2301" s="7"/>
      <c r="O2301" s="7"/>
      <c r="P2301" s="7"/>
      <c r="Q2301" s="7"/>
      <c r="R2301" s="7"/>
      <c r="S2301" s="7"/>
      <c r="T2301" s="7"/>
      <c r="U2301" s="7"/>
      <c r="V2301" s="7"/>
      <c r="W2301" s="7"/>
    </row>
    <row r="2302" spans="1:23" x14ac:dyDescent="0.35">
      <c r="A2302" s="251">
        <v>78</v>
      </c>
      <c r="B2302" s="251"/>
      <c r="C2302" s="252"/>
      <c r="D2302" s="253"/>
      <c r="E2302" s="254"/>
      <c r="F2302" s="254"/>
      <c r="G2302" s="251"/>
      <c r="H2302" s="159" t="s">
        <v>76</v>
      </c>
      <c r="I2302" s="158">
        <f>8378915.99*0.0214</f>
        <v>179308.79999999999</v>
      </c>
      <c r="J2302" s="158">
        <f>I2302/D2300</f>
        <v>62.55</v>
      </c>
      <c r="K2302" s="158">
        <v>72</v>
      </c>
      <c r="L2302" s="7"/>
      <c r="M2302" s="7"/>
      <c r="N2302" s="7"/>
      <c r="O2302" s="7"/>
      <c r="P2302" s="7"/>
      <c r="Q2302" s="7"/>
      <c r="R2302" s="7"/>
      <c r="S2302" s="7"/>
      <c r="T2302" s="7"/>
      <c r="U2302" s="7"/>
      <c r="V2302" s="7"/>
      <c r="W2302" s="7"/>
    </row>
    <row r="2303" spans="1:23" x14ac:dyDescent="0.35">
      <c r="A2303" s="251">
        <f>A2300+1</f>
        <v>212</v>
      </c>
      <c r="B2303" s="251">
        <v>2213</v>
      </c>
      <c r="C2303" s="252" t="s">
        <v>403</v>
      </c>
      <c r="D2303" s="253">
        <v>3314</v>
      </c>
      <c r="E2303" s="254" t="s">
        <v>71</v>
      </c>
      <c r="F2303" s="254">
        <v>5</v>
      </c>
      <c r="G2303" s="251" t="s">
        <v>72</v>
      </c>
      <c r="H2303" s="159" t="s">
        <v>73</v>
      </c>
      <c r="I2303" s="158">
        <f>I2304+I2305</f>
        <v>7809843.5499999998</v>
      </c>
      <c r="J2303" s="158">
        <f>J2304+J2305</f>
        <v>2356.62</v>
      </c>
      <c r="K2303" s="158">
        <f>K2304+K2305</f>
        <v>3449</v>
      </c>
      <c r="L2303" s="7"/>
      <c r="M2303" s="7"/>
      <c r="N2303" s="7"/>
      <c r="O2303" s="7"/>
      <c r="P2303" s="7"/>
      <c r="Q2303" s="7"/>
      <c r="R2303" s="7"/>
      <c r="S2303" s="7"/>
      <c r="T2303" s="7"/>
      <c r="U2303" s="7"/>
      <c r="V2303" s="7"/>
      <c r="W2303" s="7"/>
    </row>
    <row r="2304" spans="1:23" ht="31" x14ac:dyDescent="0.35">
      <c r="A2304" s="251">
        <v>77</v>
      </c>
      <c r="B2304" s="251"/>
      <c r="C2304" s="252"/>
      <c r="D2304" s="253"/>
      <c r="E2304" s="254"/>
      <c r="F2304" s="254"/>
      <c r="G2304" s="251"/>
      <c r="H2304" s="159" t="s">
        <v>86</v>
      </c>
      <c r="I2304" s="158">
        <f>10825954.46*0.7</f>
        <v>7578168.1200000001</v>
      </c>
      <c r="J2304" s="158">
        <f>I2304/D2303</f>
        <v>2286.71</v>
      </c>
      <c r="K2304" s="158">
        <v>3377</v>
      </c>
      <c r="L2304" s="7"/>
      <c r="M2304" s="7"/>
      <c r="N2304" s="7"/>
      <c r="O2304" s="7"/>
      <c r="P2304" s="7"/>
      <c r="Q2304" s="7"/>
      <c r="R2304" s="7"/>
      <c r="S2304" s="7"/>
      <c r="T2304" s="7"/>
      <c r="U2304" s="7"/>
      <c r="V2304" s="7"/>
      <c r="W2304" s="7"/>
    </row>
    <row r="2305" spans="1:23" x14ac:dyDescent="0.35">
      <c r="A2305" s="251">
        <v>78</v>
      </c>
      <c r="B2305" s="251"/>
      <c r="C2305" s="252"/>
      <c r="D2305" s="253"/>
      <c r="E2305" s="254"/>
      <c r="F2305" s="254"/>
      <c r="G2305" s="251"/>
      <c r="H2305" s="159" t="s">
        <v>76</v>
      </c>
      <c r="I2305" s="158">
        <f>10825954.46*0.0214</f>
        <v>231675.43</v>
      </c>
      <c r="J2305" s="158">
        <f>I2305/D2303</f>
        <v>69.91</v>
      </c>
      <c r="K2305" s="158">
        <v>72</v>
      </c>
      <c r="L2305" s="7"/>
      <c r="M2305" s="7"/>
      <c r="N2305" s="7"/>
      <c r="O2305" s="7"/>
      <c r="P2305" s="7"/>
      <c r="Q2305" s="7"/>
      <c r="R2305" s="7"/>
      <c r="S2305" s="7"/>
      <c r="T2305" s="7"/>
      <c r="U2305" s="7"/>
      <c r="V2305" s="7"/>
      <c r="W2305" s="7"/>
    </row>
    <row r="2306" spans="1:23" x14ac:dyDescent="0.35">
      <c r="A2306" s="251">
        <f>A2303+1</f>
        <v>213</v>
      </c>
      <c r="B2306" s="251">
        <v>2215</v>
      </c>
      <c r="C2306" s="252" t="s">
        <v>404</v>
      </c>
      <c r="D2306" s="253">
        <v>3550.3</v>
      </c>
      <c r="E2306" s="254" t="s">
        <v>71</v>
      </c>
      <c r="F2306" s="254">
        <v>5</v>
      </c>
      <c r="G2306" s="251" t="s">
        <v>72</v>
      </c>
      <c r="H2306" s="159" t="s">
        <v>73</v>
      </c>
      <c r="I2306" s="158">
        <f>I2307+I2308</f>
        <v>6959371.46</v>
      </c>
      <c r="J2306" s="158">
        <f>J2307+J2308</f>
        <v>1960.22</v>
      </c>
      <c r="K2306" s="158">
        <f>K2307+K2308</f>
        <v>2831</v>
      </c>
      <c r="L2306" s="7"/>
      <c r="M2306" s="7"/>
      <c r="N2306" s="7"/>
      <c r="O2306" s="7"/>
      <c r="P2306" s="7"/>
      <c r="Q2306" s="7"/>
      <c r="R2306" s="7"/>
      <c r="S2306" s="7"/>
      <c r="T2306" s="7"/>
      <c r="U2306" s="7"/>
      <c r="V2306" s="7"/>
      <c r="W2306" s="7"/>
    </row>
    <row r="2307" spans="1:23" x14ac:dyDescent="0.35">
      <c r="A2307" s="251">
        <v>77</v>
      </c>
      <c r="B2307" s="251"/>
      <c r="C2307" s="252"/>
      <c r="D2307" s="253"/>
      <c r="E2307" s="254"/>
      <c r="F2307" s="254"/>
      <c r="G2307" s="251"/>
      <c r="H2307" s="159" t="s">
        <v>74</v>
      </c>
      <c r="I2307" s="158">
        <f>9187652.92*1.05*0.7</f>
        <v>6752924.9000000004</v>
      </c>
      <c r="J2307" s="158">
        <f>I2307/D2306</f>
        <v>1902.07</v>
      </c>
      <c r="K2307" s="158">
        <v>2772</v>
      </c>
      <c r="L2307" s="7"/>
      <c r="M2307" s="7"/>
      <c r="N2307" s="7"/>
      <c r="O2307" s="7"/>
      <c r="P2307" s="7"/>
      <c r="Q2307" s="7"/>
      <c r="R2307" s="7"/>
      <c r="S2307" s="7"/>
      <c r="T2307" s="7"/>
      <c r="U2307" s="7"/>
      <c r="V2307" s="7"/>
      <c r="W2307" s="7"/>
    </row>
    <row r="2308" spans="1:23" x14ac:dyDescent="0.35">
      <c r="A2308" s="251">
        <v>78</v>
      </c>
      <c r="B2308" s="251"/>
      <c r="C2308" s="252"/>
      <c r="D2308" s="253"/>
      <c r="E2308" s="254"/>
      <c r="F2308" s="254"/>
      <c r="G2308" s="251"/>
      <c r="H2308" s="159" t="s">
        <v>76</v>
      </c>
      <c r="I2308" s="158">
        <f>9187652.92*1.05*0.0214</f>
        <v>206446.56</v>
      </c>
      <c r="J2308" s="158">
        <f>I2308/D2306</f>
        <v>58.15</v>
      </c>
      <c r="K2308" s="158">
        <v>59</v>
      </c>
      <c r="L2308" s="7"/>
      <c r="M2308" s="7"/>
      <c r="N2308" s="7"/>
      <c r="O2308" s="7"/>
      <c r="P2308" s="7"/>
      <c r="Q2308" s="7"/>
      <c r="R2308" s="7"/>
      <c r="S2308" s="7"/>
      <c r="T2308" s="7"/>
      <c r="U2308" s="7"/>
      <c r="V2308" s="7"/>
      <c r="W2308" s="7"/>
    </row>
    <row r="2309" spans="1:23" ht="15.75" customHeight="1" x14ac:dyDescent="0.35">
      <c r="A2309" s="251">
        <f>A2306+1</f>
        <v>214</v>
      </c>
      <c r="B2309" s="251">
        <v>2475</v>
      </c>
      <c r="C2309" s="252" t="s">
        <v>611</v>
      </c>
      <c r="D2309" s="253">
        <v>14771.39</v>
      </c>
      <c r="E2309" s="253" t="s">
        <v>71</v>
      </c>
      <c r="F2309" s="255">
        <v>10</v>
      </c>
      <c r="G2309" s="123"/>
      <c r="H2309" s="159" t="s">
        <v>73</v>
      </c>
      <c r="I2309" s="158">
        <f>I2310+I2311+I2312+I2313+I2314+I2315</f>
        <v>3539944</v>
      </c>
      <c r="J2309" s="158">
        <f>J2310+J2311+J2312+J2313+J2314+J2315</f>
        <v>239.65</v>
      </c>
      <c r="K2309" s="158">
        <f>K2310+K2311+K2312+K2313+K2314+K2315</f>
        <v>239.65</v>
      </c>
      <c r="L2309" s="7"/>
      <c r="M2309" s="7"/>
      <c r="N2309" s="7"/>
      <c r="O2309" s="7"/>
      <c r="P2309" s="7"/>
      <c r="Q2309" s="7"/>
      <c r="R2309" s="7"/>
      <c r="S2309" s="7"/>
      <c r="T2309" s="7"/>
      <c r="U2309" s="7"/>
      <c r="V2309" s="7"/>
      <c r="W2309" s="7"/>
    </row>
    <row r="2310" spans="1:23" ht="31" x14ac:dyDescent="0.35">
      <c r="A2310" s="251"/>
      <c r="B2310" s="251"/>
      <c r="C2310" s="252"/>
      <c r="D2310" s="253"/>
      <c r="E2310" s="253"/>
      <c r="F2310" s="255"/>
      <c r="G2310" s="256" t="s">
        <v>682</v>
      </c>
      <c r="H2310" s="159" t="s">
        <v>666</v>
      </c>
      <c r="I2310" s="158">
        <v>24580</v>
      </c>
      <c r="J2310" s="158">
        <f>I2310/D2309</f>
        <v>1.66</v>
      </c>
      <c r="K2310" s="158">
        <f>24580/D2309</f>
        <v>1.66</v>
      </c>
      <c r="L2310" s="7"/>
      <c r="M2310" s="7"/>
      <c r="N2310" s="7"/>
      <c r="O2310" s="7"/>
      <c r="P2310" s="7"/>
      <c r="Q2310" s="7"/>
      <c r="R2310" s="7"/>
      <c r="S2310" s="7"/>
      <c r="T2310" s="7"/>
      <c r="U2310" s="7"/>
      <c r="V2310" s="7"/>
      <c r="W2310" s="7"/>
    </row>
    <row r="2311" spans="1:23" x14ac:dyDescent="0.35">
      <c r="A2311" s="251">
        <v>756</v>
      </c>
      <c r="B2311" s="251"/>
      <c r="C2311" s="252"/>
      <c r="D2311" s="253"/>
      <c r="E2311" s="253"/>
      <c r="F2311" s="255"/>
      <c r="G2311" s="257"/>
      <c r="H2311" s="159" t="s">
        <v>674</v>
      </c>
      <c r="I2311" s="158">
        <v>1708823</v>
      </c>
      <c r="J2311" s="158">
        <f>I2311/D2309+0.01</f>
        <v>115.69</v>
      </c>
      <c r="K2311" s="158">
        <f>1708823/D2309+0.01</f>
        <v>115.69</v>
      </c>
      <c r="L2311" s="7"/>
      <c r="M2311" s="7"/>
      <c r="N2311" s="7"/>
      <c r="O2311" s="7"/>
      <c r="P2311" s="7"/>
      <c r="Q2311" s="7"/>
      <c r="R2311" s="7"/>
      <c r="S2311" s="7"/>
      <c r="T2311" s="7"/>
      <c r="U2311" s="7"/>
      <c r="V2311" s="7"/>
      <c r="W2311" s="7"/>
    </row>
    <row r="2312" spans="1:23" x14ac:dyDescent="0.35">
      <c r="A2312" s="251">
        <v>757</v>
      </c>
      <c r="B2312" s="251"/>
      <c r="C2312" s="252"/>
      <c r="D2312" s="253"/>
      <c r="E2312" s="253"/>
      <c r="F2312" s="255"/>
      <c r="G2312" s="258"/>
      <c r="H2312" s="159" t="s">
        <v>76</v>
      </c>
      <c r="I2312" s="158">
        <v>36569</v>
      </c>
      <c r="J2312" s="158">
        <f>I2312/D2309</f>
        <v>2.48</v>
      </c>
      <c r="K2312" s="158">
        <f>36569/D2309</f>
        <v>2.48</v>
      </c>
      <c r="L2312" s="7"/>
      <c r="M2312" s="7"/>
      <c r="N2312" s="7"/>
      <c r="O2312" s="7"/>
      <c r="P2312" s="7"/>
      <c r="Q2312" s="7"/>
      <c r="R2312" s="7"/>
      <c r="S2312" s="7"/>
      <c r="T2312" s="7"/>
      <c r="U2312" s="7"/>
      <c r="V2312" s="7"/>
      <c r="W2312" s="7"/>
    </row>
    <row r="2313" spans="1:23" ht="31" x14ac:dyDescent="0.35">
      <c r="A2313" s="251"/>
      <c r="B2313" s="251"/>
      <c r="C2313" s="252"/>
      <c r="D2313" s="253"/>
      <c r="E2313" s="253"/>
      <c r="F2313" s="255"/>
      <c r="G2313" s="256" t="s">
        <v>683</v>
      </c>
      <c r="H2313" s="159" t="s">
        <v>666</v>
      </c>
      <c r="I2313" s="158">
        <v>24580</v>
      </c>
      <c r="J2313" s="158">
        <f>I2313/D2309-0.01</f>
        <v>1.65</v>
      </c>
      <c r="K2313" s="158">
        <f>24580/D2309-0.01</f>
        <v>1.65</v>
      </c>
      <c r="L2313" s="7"/>
      <c r="M2313" s="7"/>
      <c r="N2313" s="7"/>
      <c r="O2313" s="7"/>
      <c r="P2313" s="7"/>
      <c r="Q2313" s="7"/>
      <c r="R2313" s="7"/>
      <c r="S2313" s="7"/>
      <c r="T2313" s="7"/>
      <c r="U2313" s="7"/>
      <c r="V2313" s="7"/>
      <c r="W2313" s="7"/>
    </row>
    <row r="2314" spans="1:23" x14ac:dyDescent="0.35">
      <c r="A2314" s="251"/>
      <c r="B2314" s="251"/>
      <c r="C2314" s="252"/>
      <c r="D2314" s="253"/>
      <c r="E2314" s="253"/>
      <c r="F2314" s="255"/>
      <c r="G2314" s="257"/>
      <c r="H2314" s="159" t="s">
        <v>674</v>
      </c>
      <c r="I2314" s="158">
        <v>1708823</v>
      </c>
      <c r="J2314" s="158">
        <f>I2314/D2309+0.01</f>
        <v>115.69</v>
      </c>
      <c r="K2314" s="158">
        <f>1708823/D2309+0.01</f>
        <v>115.69</v>
      </c>
      <c r="L2314" s="7"/>
      <c r="M2314" s="7"/>
      <c r="N2314" s="7"/>
      <c r="O2314" s="7"/>
      <c r="P2314" s="7"/>
      <c r="Q2314" s="7"/>
      <c r="R2314" s="7"/>
      <c r="S2314" s="7"/>
      <c r="T2314" s="7"/>
      <c r="U2314" s="7"/>
      <c r="V2314" s="7"/>
      <c r="W2314" s="7"/>
    </row>
    <row r="2315" spans="1:23" x14ac:dyDescent="0.35">
      <c r="A2315" s="251"/>
      <c r="B2315" s="251"/>
      <c r="C2315" s="252"/>
      <c r="D2315" s="253"/>
      <c r="E2315" s="253"/>
      <c r="F2315" s="255"/>
      <c r="G2315" s="258"/>
      <c r="H2315" s="159" t="s">
        <v>76</v>
      </c>
      <c r="I2315" s="158">
        <v>36569</v>
      </c>
      <c r="J2315" s="158">
        <f>I2315/D2309</f>
        <v>2.48</v>
      </c>
      <c r="K2315" s="158">
        <f>36569/D2309</f>
        <v>2.48</v>
      </c>
      <c r="L2315" s="7"/>
      <c r="M2315" s="7"/>
      <c r="N2315" s="7"/>
      <c r="O2315" s="7"/>
      <c r="P2315" s="7"/>
      <c r="Q2315" s="7"/>
      <c r="R2315" s="7"/>
      <c r="S2315" s="7"/>
      <c r="T2315" s="7"/>
      <c r="U2315" s="7"/>
      <c r="V2315" s="7"/>
      <c r="W2315" s="7"/>
    </row>
    <row r="2316" spans="1:23" x14ac:dyDescent="0.35">
      <c r="A2316" s="251">
        <f>A2309+1</f>
        <v>215</v>
      </c>
      <c r="B2316" s="251">
        <v>2217</v>
      </c>
      <c r="C2316" s="252" t="s">
        <v>405</v>
      </c>
      <c r="D2316" s="253">
        <v>3563</v>
      </c>
      <c r="E2316" s="254" t="s">
        <v>71</v>
      </c>
      <c r="F2316" s="254">
        <v>5</v>
      </c>
      <c r="G2316" s="251" t="s">
        <v>72</v>
      </c>
      <c r="H2316" s="159" t="s">
        <v>73</v>
      </c>
      <c r="I2316" s="158">
        <f>I2317+I2318</f>
        <v>6959371.46</v>
      </c>
      <c r="J2316" s="158">
        <f>J2317+J2318</f>
        <v>1953.23</v>
      </c>
      <c r="K2316" s="158">
        <f>K2317+K2318</f>
        <v>2831</v>
      </c>
      <c r="L2316" s="7"/>
      <c r="M2316" s="7"/>
      <c r="N2316" s="7"/>
      <c r="O2316" s="7"/>
      <c r="P2316" s="7"/>
      <c r="Q2316" s="7"/>
      <c r="R2316" s="7"/>
      <c r="S2316" s="7"/>
      <c r="T2316" s="7"/>
      <c r="U2316" s="7"/>
      <c r="V2316" s="7"/>
      <c r="W2316" s="7"/>
    </row>
    <row r="2317" spans="1:23" x14ac:dyDescent="0.35">
      <c r="A2317" s="251">
        <v>77</v>
      </c>
      <c r="B2317" s="251"/>
      <c r="C2317" s="252"/>
      <c r="D2317" s="253"/>
      <c r="E2317" s="254"/>
      <c r="F2317" s="254"/>
      <c r="G2317" s="251"/>
      <c r="H2317" s="159" t="s">
        <v>74</v>
      </c>
      <c r="I2317" s="158">
        <f>9187652.92*1.05*0.7</f>
        <v>6752924.9000000004</v>
      </c>
      <c r="J2317" s="158">
        <f>I2317/D2316</f>
        <v>1895.29</v>
      </c>
      <c r="K2317" s="158">
        <v>2772</v>
      </c>
      <c r="L2317" s="7"/>
      <c r="M2317" s="7"/>
      <c r="N2317" s="7"/>
      <c r="O2317" s="7"/>
      <c r="P2317" s="7"/>
      <c r="Q2317" s="7"/>
      <c r="R2317" s="7"/>
      <c r="S2317" s="7"/>
      <c r="T2317" s="7"/>
      <c r="U2317" s="7"/>
      <c r="V2317" s="7"/>
      <c r="W2317" s="7"/>
    </row>
    <row r="2318" spans="1:23" x14ac:dyDescent="0.35">
      <c r="A2318" s="251">
        <v>78</v>
      </c>
      <c r="B2318" s="251"/>
      <c r="C2318" s="252"/>
      <c r="D2318" s="253"/>
      <c r="E2318" s="254"/>
      <c r="F2318" s="254"/>
      <c r="G2318" s="251"/>
      <c r="H2318" s="159" t="s">
        <v>76</v>
      </c>
      <c r="I2318" s="158">
        <f>9187652.92*1.05*0.0214</f>
        <v>206446.56</v>
      </c>
      <c r="J2318" s="158">
        <f>I2318/D2316</f>
        <v>57.94</v>
      </c>
      <c r="K2318" s="158">
        <v>59</v>
      </c>
      <c r="L2318" s="7"/>
      <c r="M2318" s="7"/>
      <c r="N2318" s="7"/>
      <c r="O2318" s="7"/>
      <c r="P2318" s="7"/>
      <c r="Q2318" s="7"/>
      <c r="R2318" s="7"/>
      <c r="S2318" s="7"/>
      <c r="T2318" s="7"/>
      <c r="U2318" s="7"/>
      <c r="V2318" s="7"/>
      <c r="W2318" s="7"/>
    </row>
    <row r="2319" spans="1:23" ht="15.75" customHeight="1" x14ac:dyDescent="0.35">
      <c r="A2319" s="256">
        <f>A2316+1</f>
        <v>216</v>
      </c>
      <c r="B2319" s="256">
        <v>2536</v>
      </c>
      <c r="C2319" s="259" t="s">
        <v>140</v>
      </c>
      <c r="D2319" s="262">
        <v>775.9</v>
      </c>
      <c r="E2319" s="268" t="s">
        <v>80</v>
      </c>
      <c r="F2319" s="268">
        <v>3</v>
      </c>
      <c r="G2319" s="256" t="s">
        <v>85</v>
      </c>
      <c r="H2319" s="159" t="s">
        <v>73</v>
      </c>
      <c r="I2319" s="158">
        <f>I2320</f>
        <v>164490.79999999999</v>
      </c>
      <c r="J2319" s="158">
        <f>J2320</f>
        <v>212</v>
      </c>
      <c r="K2319" s="158">
        <f>K2320</f>
        <v>212</v>
      </c>
      <c r="L2319" s="7"/>
      <c r="M2319" s="7"/>
      <c r="N2319" s="7"/>
      <c r="O2319" s="7"/>
      <c r="P2319" s="7"/>
      <c r="Q2319" s="7"/>
      <c r="R2319" s="7"/>
      <c r="S2319" s="7"/>
      <c r="T2319" s="7"/>
      <c r="U2319" s="7"/>
      <c r="V2319" s="7"/>
      <c r="W2319" s="7"/>
    </row>
    <row r="2320" spans="1:23" ht="46.5" x14ac:dyDescent="0.35">
      <c r="A2320" s="257"/>
      <c r="B2320" s="257"/>
      <c r="C2320" s="260"/>
      <c r="D2320" s="263"/>
      <c r="E2320" s="269"/>
      <c r="F2320" s="269"/>
      <c r="G2320" s="257"/>
      <c r="H2320" s="159" t="s">
        <v>705</v>
      </c>
      <c r="I2320" s="158">
        <f>D2319*K2320</f>
        <v>164490.79999999999</v>
      </c>
      <c r="J2320" s="158">
        <f>I2320/D2319</f>
        <v>212</v>
      </c>
      <c r="K2320" s="158">
        <f>196+16</f>
        <v>212</v>
      </c>
      <c r="L2320" s="7"/>
      <c r="M2320" s="7"/>
      <c r="N2320" s="7"/>
      <c r="O2320" s="7"/>
      <c r="P2320" s="7"/>
      <c r="Q2320" s="7"/>
      <c r="R2320" s="7"/>
      <c r="S2320" s="7"/>
      <c r="T2320" s="7"/>
      <c r="U2320" s="7"/>
      <c r="V2320" s="7"/>
      <c r="W2320" s="7"/>
    </row>
    <row r="2321" spans="1:23" ht="15.75" customHeight="1" x14ac:dyDescent="0.35">
      <c r="A2321" s="251">
        <f>A2319+1</f>
        <v>217</v>
      </c>
      <c r="B2321" s="251">
        <v>2409</v>
      </c>
      <c r="C2321" s="252" t="s">
        <v>141</v>
      </c>
      <c r="D2321" s="253">
        <v>2414.56</v>
      </c>
      <c r="E2321" s="253" t="s">
        <v>75</v>
      </c>
      <c r="F2321" s="255">
        <v>5</v>
      </c>
      <c r="G2321" s="251" t="s">
        <v>72</v>
      </c>
      <c r="H2321" s="159" t="s">
        <v>73</v>
      </c>
      <c r="I2321" s="158">
        <f>I2322</f>
        <v>395987.84</v>
      </c>
      <c r="J2321" s="158">
        <f>J2322</f>
        <v>164</v>
      </c>
      <c r="K2321" s="158">
        <f>K2322</f>
        <v>164</v>
      </c>
      <c r="L2321" s="7"/>
      <c r="M2321" s="7"/>
      <c r="N2321" s="7"/>
      <c r="O2321" s="7"/>
      <c r="P2321" s="7"/>
      <c r="Q2321" s="7"/>
      <c r="R2321" s="7"/>
      <c r="S2321" s="7"/>
      <c r="T2321" s="7"/>
      <c r="U2321" s="7"/>
      <c r="V2321" s="7"/>
      <c r="W2321" s="7"/>
    </row>
    <row r="2322" spans="1:23" ht="46.5" x14ac:dyDescent="0.35">
      <c r="A2322" s="251"/>
      <c r="B2322" s="251"/>
      <c r="C2322" s="252"/>
      <c r="D2322" s="253"/>
      <c r="E2322" s="253"/>
      <c r="F2322" s="255"/>
      <c r="G2322" s="251"/>
      <c r="H2322" s="159" t="s">
        <v>705</v>
      </c>
      <c r="I2322" s="158">
        <f>D2321*K2322</f>
        <v>395987.84</v>
      </c>
      <c r="J2322" s="158">
        <f>I2322/D2321</f>
        <v>164</v>
      </c>
      <c r="K2322" s="158">
        <f>151+13</f>
        <v>164</v>
      </c>
      <c r="L2322" s="7"/>
      <c r="M2322" s="7"/>
      <c r="N2322" s="7"/>
      <c r="O2322" s="7"/>
      <c r="P2322" s="7"/>
      <c r="Q2322" s="7"/>
      <c r="R2322" s="7"/>
      <c r="S2322" s="7"/>
      <c r="T2322" s="7"/>
      <c r="U2322" s="7"/>
      <c r="V2322" s="7"/>
      <c r="W2322" s="7"/>
    </row>
    <row r="2323" spans="1:23" x14ac:dyDescent="0.35">
      <c r="A2323" s="251">
        <f>A2321+1</f>
        <v>218</v>
      </c>
      <c r="B2323" s="251">
        <v>2222</v>
      </c>
      <c r="C2323" s="252" t="s">
        <v>408</v>
      </c>
      <c r="D2323" s="253">
        <v>5780.42</v>
      </c>
      <c r="E2323" s="254" t="s">
        <v>71</v>
      </c>
      <c r="F2323" s="254">
        <v>5</v>
      </c>
      <c r="G2323" s="251" t="s">
        <v>72</v>
      </c>
      <c r="H2323" s="159" t="s">
        <v>73</v>
      </c>
      <c r="I2323" s="158">
        <f>I2324+I2325</f>
        <v>14080525.08</v>
      </c>
      <c r="J2323" s="158">
        <f>J2324+J2325</f>
        <v>2435.9</v>
      </c>
      <c r="K2323" s="158">
        <f>K2324+K2325</f>
        <v>3449</v>
      </c>
      <c r="L2323" s="7"/>
      <c r="M2323" s="7"/>
      <c r="N2323" s="7"/>
      <c r="O2323" s="7"/>
      <c r="P2323" s="7"/>
      <c r="Q2323" s="7"/>
      <c r="R2323" s="7"/>
      <c r="S2323" s="7"/>
      <c r="T2323" s="7"/>
      <c r="U2323" s="7"/>
      <c r="V2323" s="7"/>
      <c r="W2323" s="7"/>
    </row>
    <row r="2324" spans="1:23" ht="31" x14ac:dyDescent="0.35">
      <c r="A2324" s="251">
        <v>77</v>
      </c>
      <c r="B2324" s="251"/>
      <c r="C2324" s="252"/>
      <c r="D2324" s="253"/>
      <c r="E2324" s="254"/>
      <c r="F2324" s="254"/>
      <c r="G2324" s="251"/>
      <c r="H2324" s="159" t="s">
        <v>86</v>
      </c>
      <c r="I2324" s="158">
        <f>K2324*D2323*0.7</f>
        <v>13664334.84</v>
      </c>
      <c r="J2324" s="158">
        <f>I2324/D2323</f>
        <v>2363.9</v>
      </c>
      <c r="K2324" s="158">
        <v>3377</v>
      </c>
      <c r="L2324" s="7"/>
      <c r="M2324" s="7"/>
      <c r="N2324" s="7"/>
      <c r="O2324" s="7"/>
      <c r="P2324" s="7"/>
      <c r="Q2324" s="7"/>
      <c r="R2324" s="7"/>
      <c r="S2324" s="7"/>
      <c r="T2324" s="7"/>
      <c r="U2324" s="7"/>
      <c r="V2324" s="7"/>
      <c r="W2324" s="7"/>
    </row>
    <row r="2325" spans="1:23" x14ac:dyDescent="0.35">
      <c r="A2325" s="251">
        <v>78</v>
      </c>
      <c r="B2325" s="251"/>
      <c r="C2325" s="252"/>
      <c r="D2325" s="253"/>
      <c r="E2325" s="254"/>
      <c r="F2325" s="254"/>
      <c r="G2325" s="251"/>
      <c r="H2325" s="159" t="s">
        <v>76</v>
      </c>
      <c r="I2325" s="158">
        <f>K2325*D2323</f>
        <v>416190.24</v>
      </c>
      <c r="J2325" s="158">
        <f>I2325/D2323</f>
        <v>72</v>
      </c>
      <c r="K2325" s="158">
        <v>72</v>
      </c>
      <c r="L2325" s="7"/>
      <c r="M2325" s="7"/>
      <c r="N2325" s="7"/>
      <c r="O2325" s="7"/>
      <c r="P2325" s="7"/>
      <c r="Q2325" s="7"/>
      <c r="R2325" s="7"/>
      <c r="S2325" s="7"/>
      <c r="T2325" s="7"/>
      <c r="U2325" s="7"/>
      <c r="V2325" s="7"/>
      <c r="W2325" s="7"/>
    </row>
    <row r="2326" spans="1:23" x14ac:dyDescent="0.35">
      <c r="A2326" s="251">
        <f>A2323+1</f>
        <v>219</v>
      </c>
      <c r="B2326" s="251">
        <v>2223</v>
      </c>
      <c r="C2326" s="252" t="s">
        <v>409</v>
      </c>
      <c r="D2326" s="253">
        <v>4630</v>
      </c>
      <c r="E2326" s="254" t="s">
        <v>75</v>
      </c>
      <c r="F2326" s="254">
        <v>5</v>
      </c>
      <c r="G2326" s="251" t="s">
        <v>72</v>
      </c>
      <c r="H2326" s="159" t="s">
        <v>73</v>
      </c>
      <c r="I2326" s="158">
        <f>I2327+I2328</f>
        <v>9257222</v>
      </c>
      <c r="J2326" s="158">
        <f>J2327+J2328</f>
        <v>1999.4</v>
      </c>
      <c r="K2326" s="158">
        <f>K2327+K2328</f>
        <v>2831</v>
      </c>
      <c r="L2326" s="7"/>
      <c r="M2326" s="7"/>
      <c r="N2326" s="7"/>
      <c r="O2326" s="7"/>
      <c r="P2326" s="7"/>
      <c r="Q2326" s="7"/>
      <c r="R2326" s="7"/>
      <c r="S2326" s="7"/>
      <c r="T2326" s="7"/>
      <c r="U2326" s="7"/>
      <c r="V2326" s="7"/>
      <c r="W2326" s="7"/>
    </row>
    <row r="2327" spans="1:23" x14ac:dyDescent="0.35">
      <c r="A2327" s="251">
        <v>77</v>
      </c>
      <c r="B2327" s="251"/>
      <c r="C2327" s="252"/>
      <c r="D2327" s="253"/>
      <c r="E2327" s="254"/>
      <c r="F2327" s="254"/>
      <c r="G2327" s="251"/>
      <c r="H2327" s="159" t="s">
        <v>74</v>
      </c>
      <c r="I2327" s="158">
        <f>K2327*D2326*0.7</f>
        <v>8984052</v>
      </c>
      <c r="J2327" s="158">
        <f>I2327/D2326</f>
        <v>1940.4</v>
      </c>
      <c r="K2327" s="158">
        <v>2772</v>
      </c>
      <c r="L2327" s="7"/>
      <c r="M2327" s="7"/>
      <c r="N2327" s="7"/>
      <c r="O2327" s="7"/>
      <c r="P2327" s="7"/>
      <c r="Q2327" s="7"/>
      <c r="R2327" s="7"/>
      <c r="S2327" s="7"/>
      <c r="T2327" s="7"/>
      <c r="U2327" s="7"/>
      <c r="V2327" s="7"/>
      <c r="W2327" s="7"/>
    </row>
    <row r="2328" spans="1:23" x14ac:dyDescent="0.35">
      <c r="A2328" s="251">
        <v>78</v>
      </c>
      <c r="B2328" s="251"/>
      <c r="C2328" s="252"/>
      <c r="D2328" s="253"/>
      <c r="E2328" s="254"/>
      <c r="F2328" s="254"/>
      <c r="G2328" s="251"/>
      <c r="H2328" s="159" t="s">
        <v>76</v>
      </c>
      <c r="I2328" s="158">
        <f>K2328*D2326</f>
        <v>273170</v>
      </c>
      <c r="J2328" s="158">
        <f>I2328/D2326</f>
        <v>59</v>
      </c>
      <c r="K2328" s="158">
        <v>59</v>
      </c>
      <c r="L2328" s="7"/>
      <c r="M2328" s="7"/>
      <c r="N2328" s="7"/>
      <c r="O2328" s="7"/>
      <c r="P2328" s="7"/>
      <c r="Q2328" s="7"/>
      <c r="R2328" s="7"/>
      <c r="S2328" s="7"/>
      <c r="T2328" s="7"/>
      <c r="U2328" s="7"/>
      <c r="V2328" s="7"/>
      <c r="W2328" s="7"/>
    </row>
    <row r="2329" spans="1:23" x14ac:dyDescent="0.35">
      <c r="A2329" s="251">
        <f>A2326+1</f>
        <v>220</v>
      </c>
      <c r="B2329" s="251">
        <v>2103</v>
      </c>
      <c r="C2329" s="252" t="s">
        <v>410</v>
      </c>
      <c r="D2329" s="253">
        <v>3273.5</v>
      </c>
      <c r="E2329" s="254" t="s">
        <v>75</v>
      </c>
      <c r="F2329" s="254">
        <v>5</v>
      </c>
      <c r="G2329" s="251" t="s">
        <v>72</v>
      </c>
      <c r="H2329" s="159" t="s">
        <v>73</v>
      </c>
      <c r="I2329" s="158">
        <f>I2330+I2331</f>
        <v>6796233.6200000001</v>
      </c>
      <c r="J2329" s="158">
        <f>J2330+J2331</f>
        <v>2076.14</v>
      </c>
      <c r="K2329" s="158">
        <f>K2330+K2331</f>
        <v>3449</v>
      </c>
      <c r="L2329" s="7"/>
      <c r="M2329" s="7"/>
      <c r="N2329" s="7"/>
      <c r="O2329" s="7"/>
      <c r="P2329" s="7"/>
      <c r="Q2329" s="7"/>
      <c r="R2329" s="7"/>
      <c r="S2329" s="7"/>
      <c r="T2329" s="7"/>
      <c r="U2329" s="7"/>
      <c r="V2329" s="7"/>
      <c r="W2329" s="7"/>
    </row>
    <row r="2330" spans="1:23" ht="31" x14ac:dyDescent="0.35">
      <c r="A2330" s="251">
        <v>77</v>
      </c>
      <c r="B2330" s="251"/>
      <c r="C2330" s="252"/>
      <c r="D2330" s="253"/>
      <c r="E2330" s="254"/>
      <c r="F2330" s="254"/>
      <c r="G2330" s="251"/>
      <c r="H2330" s="159" t="s">
        <v>86</v>
      </c>
      <c r="I2330" s="158">
        <f>9420894.95*0.7</f>
        <v>6594626.4699999997</v>
      </c>
      <c r="J2330" s="158">
        <f>I2330/D2329</f>
        <v>2014.55</v>
      </c>
      <c r="K2330" s="158">
        <v>3377</v>
      </c>
      <c r="L2330" s="7"/>
      <c r="M2330" s="7"/>
      <c r="N2330" s="7"/>
      <c r="O2330" s="7"/>
      <c r="P2330" s="7"/>
      <c r="Q2330" s="7"/>
      <c r="R2330" s="7"/>
      <c r="S2330" s="7"/>
      <c r="T2330" s="7"/>
      <c r="U2330" s="7"/>
      <c r="V2330" s="7"/>
      <c r="W2330" s="7"/>
    </row>
    <row r="2331" spans="1:23" x14ac:dyDescent="0.35">
      <c r="A2331" s="251">
        <v>78</v>
      </c>
      <c r="B2331" s="251"/>
      <c r="C2331" s="252"/>
      <c r="D2331" s="253"/>
      <c r="E2331" s="254"/>
      <c r="F2331" s="254"/>
      <c r="G2331" s="251"/>
      <c r="H2331" s="159" t="s">
        <v>76</v>
      </c>
      <c r="I2331" s="158">
        <f>9420894.95*0.0214</f>
        <v>201607.15</v>
      </c>
      <c r="J2331" s="158">
        <f>I2331/D2329</f>
        <v>61.59</v>
      </c>
      <c r="K2331" s="158">
        <v>72</v>
      </c>
      <c r="L2331" s="7"/>
      <c r="M2331" s="7"/>
      <c r="N2331" s="7"/>
      <c r="O2331" s="7"/>
      <c r="P2331" s="7"/>
      <c r="Q2331" s="7"/>
      <c r="R2331" s="7"/>
      <c r="S2331" s="7"/>
      <c r="T2331" s="7"/>
      <c r="U2331" s="7"/>
      <c r="V2331" s="7"/>
      <c r="W2331" s="7"/>
    </row>
    <row r="2332" spans="1:23" ht="15.75" customHeight="1" x14ac:dyDescent="0.35">
      <c r="A2332" s="251">
        <f>A2329+1</f>
        <v>221</v>
      </c>
      <c r="B2332" s="251">
        <v>2496</v>
      </c>
      <c r="C2332" s="252" t="s">
        <v>613</v>
      </c>
      <c r="D2332" s="253">
        <v>655.1</v>
      </c>
      <c r="E2332" s="253" t="s">
        <v>80</v>
      </c>
      <c r="F2332" s="255">
        <v>2</v>
      </c>
      <c r="G2332" s="270" t="s">
        <v>109</v>
      </c>
      <c r="H2332" s="159" t="s">
        <v>73</v>
      </c>
      <c r="I2332" s="158">
        <f>I2333+I2334+I2335</f>
        <v>1954818.4</v>
      </c>
      <c r="J2332" s="158">
        <f>J2333+J2334+J2335</f>
        <v>2984</v>
      </c>
      <c r="K2332" s="158">
        <f>K2333+K2334+K2335</f>
        <v>2984</v>
      </c>
      <c r="L2332" s="7"/>
      <c r="M2332" s="7"/>
      <c r="N2332" s="7"/>
      <c r="O2332" s="7"/>
      <c r="P2332" s="7"/>
      <c r="Q2332" s="7"/>
      <c r="R2332" s="7"/>
      <c r="S2332" s="7"/>
      <c r="T2332" s="7"/>
      <c r="U2332" s="7"/>
      <c r="V2332" s="7"/>
      <c r="W2332" s="7"/>
    </row>
    <row r="2333" spans="1:23" ht="31" x14ac:dyDescent="0.35">
      <c r="A2333" s="251"/>
      <c r="B2333" s="251"/>
      <c r="C2333" s="252"/>
      <c r="D2333" s="253"/>
      <c r="E2333" s="253"/>
      <c r="F2333" s="255"/>
      <c r="G2333" s="271"/>
      <c r="H2333" s="159" t="s">
        <v>666</v>
      </c>
      <c r="I2333" s="158">
        <f>D2332*K2333</f>
        <v>79267.100000000006</v>
      </c>
      <c r="J2333" s="158">
        <f>I2333/D2332</f>
        <v>121</v>
      </c>
      <c r="K2333" s="158">
        <f>112+9</f>
        <v>121</v>
      </c>
      <c r="L2333" s="7"/>
      <c r="M2333" s="7"/>
      <c r="N2333" s="7"/>
      <c r="O2333" s="7"/>
      <c r="P2333" s="7"/>
      <c r="Q2333" s="7"/>
      <c r="R2333" s="7"/>
      <c r="S2333" s="7"/>
      <c r="T2333" s="7"/>
      <c r="U2333" s="7"/>
      <c r="V2333" s="7"/>
      <c r="W2333" s="7"/>
    </row>
    <row r="2334" spans="1:23" x14ac:dyDescent="0.35">
      <c r="A2334" s="251"/>
      <c r="B2334" s="251"/>
      <c r="C2334" s="252"/>
      <c r="D2334" s="253"/>
      <c r="E2334" s="253"/>
      <c r="F2334" s="255"/>
      <c r="G2334" s="271"/>
      <c r="H2334" s="159" t="s">
        <v>74</v>
      </c>
      <c r="I2334" s="158">
        <f>K2334*D2332</f>
        <v>1836245.3</v>
      </c>
      <c r="J2334" s="158">
        <f>I2334/D2332</f>
        <v>2803</v>
      </c>
      <c r="K2334" s="158">
        <v>2803</v>
      </c>
      <c r="L2334" s="7"/>
      <c r="M2334" s="7"/>
      <c r="N2334" s="7"/>
      <c r="O2334" s="7"/>
      <c r="P2334" s="7"/>
      <c r="Q2334" s="7"/>
      <c r="R2334" s="7"/>
      <c r="S2334" s="7"/>
      <c r="T2334" s="7"/>
      <c r="U2334" s="7"/>
      <c r="V2334" s="7"/>
      <c r="W2334" s="7"/>
    </row>
    <row r="2335" spans="1:23" ht="58.5" customHeight="1" x14ac:dyDescent="0.35">
      <c r="A2335" s="251">
        <v>75</v>
      </c>
      <c r="B2335" s="251"/>
      <c r="C2335" s="252"/>
      <c r="D2335" s="253"/>
      <c r="E2335" s="253"/>
      <c r="F2335" s="255"/>
      <c r="G2335" s="272"/>
      <c r="H2335" s="159" t="s">
        <v>76</v>
      </c>
      <c r="I2335" s="158">
        <f>K2335*D2332</f>
        <v>39306</v>
      </c>
      <c r="J2335" s="158">
        <f>I2335/D2332</f>
        <v>60</v>
      </c>
      <c r="K2335" s="158">
        <v>60</v>
      </c>
      <c r="L2335" s="7"/>
      <c r="M2335" s="7"/>
      <c r="N2335" s="7"/>
      <c r="O2335" s="7"/>
      <c r="P2335" s="7"/>
      <c r="Q2335" s="7"/>
      <c r="R2335" s="7"/>
      <c r="S2335" s="7"/>
      <c r="T2335" s="7"/>
      <c r="U2335" s="7"/>
      <c r="V2335" s="7"/>
      <c r="W2335" s="7"/>
    </row>
    <row r="2336" spans="1:23" x14ac:dyDescent="0.35">
      <c r="A2336" s="251">
        <f>A2332+1</f>
        <v>222</v>
      </c>
      <c r="B2336" s="256">
        <v>2368</v>
      </c>
      <c r="C2336" s="252" t="s">
        <v>412</v>
      </c>
      <c r="D2336" s="253">
        <v>4326</v>
      </c>
      <c r="E2336" s="254" t="s">
        <v>75</v>
      </c>
      <c r="F2336" s="254">
        <v>5</v>
      </c>
      <c r="G2336" s="251" t="s">
        <v>72</v>
      </c>
      <c r="H2336" s="159" t="s">
        <v>73</v>
      </c>
      <c r="I2336" s="158">
        <f>I2337+I2338</f>
        <v>9993853.2100000009</v>
      </c>
      <c r="J2336" s="158">
        <f>J2337+J2338</f>
        <v>2310.1799999999998</v>
      </c>
      <c r="K2336" s="158">
        <f>K2337+K2338</f>
        <v>3449</v>
      </c>
      <c r="L2336" s="7"/>
      <c r="M2336" s="7"/>
      <c r="N2336" s="7"/>
      <c r="O2336" s="7"/>
      <c r="P2336" s="7"/>
      <c r="Q2336" s="7"/>
      <c r="R2336" s="7"/>
      <c r="S2336" s="7"/>
      <c r="T2336" s="7"/>
      <c r="U2336" s="7"/>
      <c r="V2336" s="7"/>
      <c r="W2336" s="7"/>
    </row>
    <row r="2337" spans="1:23" ht="31" x14ac:dyDescent="0.35">
      <c r="A2337" s="251">
        <v>77</v>
      </c>
      <c r="B2337" s="257"/>
      <c r="C2337" s="252"/>
      <c r="D2337" s="253"/>
      <c r="E2337" s="254"/>
      <c r="F2337" s="254"/>
      <c r="G2337" s="251"/>
      <c r="H2337" s="159" t="s">
        <v>86</v>
      </c>
      <c r="I2337" s="158">
        <f>13853414.49*0.7</f>
        <v>9697390.1400000006</v>
      </c>
      <c r="J2337" s="158">
        <f>I2337/D2336</f>
        <v>2241.65</v>
      </c>
      <c r="K2337" s="158">
        <v>3377</v>
      </c>
      <c r="L2337" s="7"/>
      <c r="M2337" s="7"/>
      <c r="N2337" s="7"/>
      <c r="O2337" s="7"/>
      <c r="P2337" s="7"/>
      <c r="Q2337" s="7"/>
      <c r="R2337" s="7"/>
      <c r="S2337" s="7"/>
      <c r="T2337" s="7"/>
      <c r="U2337" s="7"/>
      <c r="V2337" s="7"/>
      <c r="W2337" s="7"/>
    </row>
    <row r="2338" spans="1:23" x14ac:dyDescent="0.35">
      <c r="A2338" s="251">
        <v>78</v>
      </c>
      <c r="B2338" s="258"/>
      <c r="C2338" s="252"/>
      <c r="D2338" s="253"/>
      <c r="E2338" s="254"/>
      <c r="F2338" s="254"/>
      <c r="G2338" s="251"/>
      <c r="H2338" s="159" t="s">
        <v>76</v>
      </c>
      <c r="I2338" s="158">
        <f>13853414.49*0.0214</f>
        <v>296463.07</v>
      </c>
      <c r="J2338" s="158">
        <f>I2338/D2336</f>
        <v>68.53</v>
      </c>
      <c r="K2338" s="158">
        <v>72</v>
      </c>
      <c r="L2338" s="7"/>
      <c r="M2338" s="7"/>
      <c r="N2338" s="7"/>
      <c r="O2338" s="7"/>
      <c r="P2338" s="7"/>
      <c r="Q2338" s="7"/>
      <c r="R2338" s="7"/>
      <c r="S2338" s="7"/>
      <c r="T2338" s="7"/>
      <c r="U2338" s="7"/>
      <c r="V2338" s="7"/>
      <c r="W2338" s="7"/>
    </row>
    <row r="2339" spans="1:23" ht="15.75" customHeight="1" x14ac:dyDescent="0.35">
      <c r="A2339" s="256">
        <f>A2336+1</f>
        <v>223</v>
      </c>
      <c r="B2339" s="256">
        <v>2235</v>
      </c>
      <c r="C2339" s="259" t="s">
        <v>142</v>
      </c>
      <c r="D2339" s="262">
        <v>3471.8</v>
      </c>
      <c r="E2339" s="262" t="s">
        <v>75</v>
      </c>
      <c r="F2339" s="265">
        <v>10</v>
      </c>
      <c r="G2339" s="144"/>
      <c r="H2339" s="159" t="s">
        <v>73</v>
      </c>
      <c r="I2339" s="158">
        <f>I2340+I2341</f>
        <v>722134.4</v>
      </c>
      <c r="J2339" s="158">
        <f>J2340+J2341</f>
        <v>208</v>
      </c>
      <c r="K2339" s="158">
        <f>K2340+K2341</f>
        <v>208</v>
      </c>
      <c r="L2339" s="7"/>
      <c r="M2339" s="7"/>
      <c r="N2339" s="7"/>
      <c r="O2339" s="7"/>
      <c r="P2339" s="7"/>
      <c r="Q2339" s="7"/>
      <c r="R2339" s="7"/>
      <c r="S2339" s="7"/>
      <c r="T2339" s="7"/>
      <c r="U2339" s="7"/>
      <c r="V2339" s="7"/>
      <c r="W2339" s="7"/>
    </row>
    <row r="2340" spans="1:23" ht="46.5" x14ac:dyDescent="0.35">
      <c r="A2340" s="257"/>
      <c r="B2340" s="257"/>
      <c r="C2340" s="260"/>
      <c r="D2340" s="263"/>
      <c r="E2340" s="263"/>
      <c r="F2340" s="266"/>
      <c r="G2340" s="123" t="s">
        <v>72</v>
      </c>
      <c r="H2340" s="159" t="s">
        <v>705</v>
      </c>
      <c r="I2340" s="158">
        <f>D2339*K2340</f>
        <v>569375.19999999995</v>
      </c>
      <c r="J2340" s="158">
        <f>I2340/D2339</f>
        <v>164</v>
      </c>
      <c r="K2340" s="158">
        <f>151+13</f>
        <v>164</v>
      </c>
      <c r="L2340" s="7"/>
      <c r="M2340" s="7"/>
      <c r="N2340" s="7"/>
      <c r="O2340" s="7"/>
      <c r="P2340" s="7"/>
      <c r="Q2340" s="7"/>
      <c r="R2340" s="7"/>
      <c r="S2340" s="7"/>
      <c r="T2340" s="7"/>
      <c r="U2340" s="7"/>
      <c r="V2340" s="7"/>
      <c r="W2340" s="7"/>
    </row>
    <row r="2341" spans="1:23" ht="46.5" x14ac:dyDescent="0.35">
      <c r="A2341" s="257"/>
      <c r="B2341" s="257"/>
      <c r="C2341" s="260"/>
      <c r="D2341" s="263"/>
      <c r="E2341" s="263"/>
      <c r="F2341" s="266"/>
      <c r="G2341" s="123" t="s">
        <v>85</v>
      </c>
      <c r="H2341" s="159" t="s">
        <v>705</v>
      </c>
      <c r="I2341" s="158">
        <f>D2339*K2341</f>
        <v>152759.20000000001</v>
      </c>
      <c r="J2341" s="158">
        <f>I2341/D2339</f>
        <v>44</v>
      </c>
      <c r="K2341" s="158">
        <f>41+3</f>
        <v>44</v>
      </c>
      <c r="L2341" s="7"/>
      <c r="M2341" s="7"/>
      <c r="N2341" s="7"/>
      <c r="O2341" s="7"/>
      <c r="P2341" s="7"/>
      <c r="Q2341" s="7"/>
      <c r="R2341" s="7"/>
      <c r="S2341" s="7"/>
      <c r="T2341" s="7"/>
      <c r="U2341" s="7"/>
      <c r="V2341" s="7"/>
      <c r="W2341" s="7"/>
    </row>
    <row r="2342" spans="1:23" ht="15.75" customHeight="1" x14ac:dyDescent="0.35">
      <c r="A2342" s="251">
        <f>A2339+1</f>
        <v>224</v>
      </c>
      <c r="B2342" s="251">
        <v>2411</v>
      </c>
      <c r="C2342" s="252" t="s">
        <v>143</v>
      </c>
      <c r="D2342" s="253">
        <v>812.8</v>
      </c>
      <c r="E2342" s="253" t="s">
        <v>75</v>
      </c>
      <c r="F2342" s="255">
        <v>3</v>
      </c>
      <c r="G2342" s="251" t="s">
        <v>72</v>
      </c>
      <c r="H2342" s="159" t="s">
        <v>73</v>
      </c>
      <c r="I2342" s="158">
        <f>I2343</f>
        <v>133299.20000000001</v>
      </c>
      <c r="J2342" s="158">
        <f>J2343</f>
        <v>164</v>
      </c>
      <c r="K2342" s="158">
        <f>K2343</f>
        <v>164</v>
      </c>
      <c r="L2342" s="7"/>
      <c r="M2342" s="7"/>
      <c r="N2342" s="7"/>
      <c r="O2342" s="7"/>
      <c r="P2342" s="7"/>
      <c r="Q2342" s="7"/>
      <c r="R2342" s="7"/>
      <c r="S2342" s="7"/>
      <c r="T2342" s="7"/>
      <c r="U2342" s="7"/>
      <c r="V2342" s="7"/>
      <c r="W2342" s="7"/>
    </row>
    <row r="2343" spans="1:23" ht="46.5" x14ac:dyDescent="0.35">
      <c r="A2343" s="251"/>
      <c r="B2343" s="251"/>
      <c r="C2343" s="252"/>
      <c r="D2343" s="253"/>
      <c r="E2343" s="253"/>
      <c r="F2343" s="255"/>
      <c r="G2343" s="251"/>
      <c r="H2343" s="159" t="s">
        <v>705</v>
      </c>
      <c r="I2343" s="158">
        <f>D2342*K2343</f>
        <v>133299.20000000001</v>
      </c>
      <c r="J2343" s="158">
        <f>I2343/D2342</f>
        <v>164</v>
      </c>
      <c r="K2343" s="158">
        <f>151+13</f>
        <v>164</v>
      </c>
      <c r="L2343" s="7"/>
      <c r="M2343" s="7"/>
      <c r="N2343" s="7"/>
      <c r="O2343" s="7"/>
      <c r="P2343" s="7"/>
      <c r="Q2343" s="7"/>
      <c r="R2343" s="7"/>
      <c r="S2343" s="7"/>
      <c r="T2343" s="7"/>
      <c r="U2343" s="7"/>
      <c r="V2343" s="7"/>
      <c r="W2343" s="7"/>
    </row>
    <row r="2344" spans="1:23" ht="15.75" customHeight="1" x14ac:dyDescent="0.35">
      <c r="A2344" s="256">
        <f>A2342+1</f>
        <v>225</v>
      </c>
      <c r="B2344" s="256">
        <v>2570</v>
      </c>
      <c r="C2344" s="259" t="s">
        <v>144</v>
      </c>
      <c r="D2344" s="262">
        <v>628.4</v>
      </c>
      <c r="E2344" s="268" t="s">
        <v>75</v>
      </c>
      <c r="F2344" s="268">
        <v>3</v>
      </c>
      <c r="G2344" s="256" t="s">
        <v>85</v>
      </c>
      <c r="H2344" s="159" t="s">
        <v>73</v>
      </c>
      <c r="I2344" s="158">
        <f>I2345</f>
        <v>27649.599999999999</v>
      </c>
      <c r="J2344" s="158">
        <f>J2345</f>
        <v>44</v>
      </c>
      <c r="K2344" s="158">
        <f>K2345</f>
        <v>44</v>
      </c>
      <c r="L2344" s="7"/>
      <c r="M2344" s="7"/>
      <c r="N2344" s="7"/>
      <c r="O2344" s="7"/>
      <c r="P2344" s="7"/>
      <c r="Q2344" s="7"/>
      <c r="R2344" s="7"/>
      <c r="S2344" s="7"/>
      <c r="T2344" s="7"/>
      <c r="U2344" s="7"/>
      <c r="V2344" s="7"/>
      <c r="W2344" s="7"/>
    </row>
    <row r="2345" spans="1:23" ht="46.5" x14ac:dyDescent="0.35">
      <c r="A2345" s="257"/>
      <c r="B2345" s="257"/>
      <c r="C2345" s="260"/>
      <c r="D2345" s="263"/>
      <c r="E2345" s="269"/>
      <c r="F2345" s="269"/>
      <c r="G2345" s="257"/>
      <c r="H2345" s="159" t="s">
        <v>705</v>
      </c>
      <c r="I2345" s="158">
        <f>D2344*K2345</f>
        <v>27649.599999999999</v>
      </c>
      <c r="J2345" s="158">
        <f>I2345/D2344</f>
        <v>44</v>
      </c>
      <c r="K2345" s="158">
        <f>41+3</f>
        <v>44</v>
      </c>
      <c r="L2345" s="7"/>
      <c r="M2345" s="7"/>
      <c r="N2345" s="7"/>
      <c r="O2345" s="7"/>
      <c r="P2345" s="7"/>
      <c r="Q2345" s="7"/>
      <c r="R2345" s="7"/>
      <c r="S2345" s="7"/>
      <c r="T2345" s="7"/>
      <c r="U2345" s="7"/>
      <c r="V2345" s="7"/>
      <c r="W2345" s="7"/>
    </row>
    <row r="2346" spans="1:23" ht="15.75" customHeight="1" x14ac:dyDescent="0.35">
      <c r="A2346" s="251">
        <f>A2344+1</f>
        <v>226</v>
      </c>
      <c r="B2346" s="251">
        <v>2236</v>
      </c>
      <c r="C2346" s="252" t="s">
        <v>414</v>
      </c>
      <c r="D2346" s="253">
        <v>1767.2</v>
      </c>
      <c r="E2346" s="254" t="s">
        <v>75</v>
      </c>
      <c r="F2346" s="254">
        <v>6</v>
      </c>
      <c r="G2346" s="251" t="s">
        <v>77</v>
      </c>
      <c r="H2346" s="159" t="s">
        <v>73</v>
      </c>
      <c r="I2346" s="158">
        <f>I2347+I2348</f>
        <v>4858032.8</v>
      </c>
      <c r="J2346" s="158">
        <f>J2347+J2348</f>
        <v>2749</v>
      </c>
      <c r="K2346" s="158">
        <f>K2347+K2348</f>
        <v>2749</v>
      </c>
      <c r="L2346" s="7"/>
      <c r="M2346" s="7"/>
      <c r="N2346" s="7"/>
      <c r="O2346" s="7"/>
      <c r="P2346" s="7"/>
      <c r="Q2346" s="7"/>
      <c r="R2346" s="7"/>
      <c r="S2346" s="7"/>
      <c r="T2346" s="7"/>
      <c r="U2346" s="7"/>
      <c r="V2346" s="7"/>
      <c r="W2346" s="7"/>
    </row>
    <row r="2347" spans="1:23" x14ac:dyDescent="0.35">
      <c r="A2347" s="251">
        <v>77</v>
      </c>
      <c r="B2347" s="251"/>
      <c r="C2347" s="252"/>
      <c r="D2347" s="253"/>
      <c r="E2347" s="254"/>
      <c r="F2347" s="254"/>
      <c r="G2347" s="251"/>
      <c r="H2347" s="159" t="s">
        <v>74</v>
      </c>
      <c r="I2347" s="158">
        <f>K2347*D2346</f>
        <v>4755535.2</v>
      </c>
      <c r="J2347" s="158">
        <f>I2347/D2346</f>
        <v>2691</v>
      </c>
      <c r="K2347" s="158">
        <v>2691</v>
      </c>
      <c r="L2347" s="7"/>
      <c r="M2347" s="7"/>
      <c r="N2347" s="7"/>
      <c r="O2347" s="7"/>
      <c r="P2347" s="7"/>
      <c r="Q2347" s="7"/>
      <c r="R2347" s="7"/>
      <c r="S2347" s="7"/>
      <c r="T2347" s="7"/>
      <c r="U2347" s="7"/>
      <c r="V2347" s="7"/>
      <c r="W2347" s="7"/>
    </row>
    <row r="2348" spans="1:23" x14ac:dyDescent="0.35">
      <c r="A2348" s="251">
        <v>78</v>
      </c>
      <c r="B2348" s="251"/>
      <c r="C2348" s="252"/>
      <c r="D2348" s="253"/>
      <c r="E2348" s="254"/>
      <c r="F2348" s="254"/>
      <c r="G2348" s="251"/>
      <c r="H2348" s="159" t="s">
        <v>76</v>
      </c>
      <c r="I2348" s="158">
        <f>K2348*D2346</f>
        <v>102497.60000000001</v>
      </c>
      <c r="J2348" s="158">
        <f>I2348/D2346</f>
        <v>58</v>
      </c>
      <c r="K2348" s="158">
        <v>58</v>
      </c>
      <c r="L2348" s="7"/>
      <c r="M2348" s="7"/>
      <c r="N2348" s="7"/>
      <c r="O2348" s="7"/>
      <c r="P2348" s="7"/>
      <c r="Q2348" s="7"/>
      <c r="R2348" s="7"/>
      <c r="S2348" s="7"/>
      <c r="T2348" s="7"/>
      <c r="U2348" s="7"/>
      <c r="V2348" s="7"/>
      <c r="W2348" s="7"/>
    </row>
    <row r="2349" spans="1:23" ht="15.75" customHeight="1" x14ac:dyDescent="0.35">
      <c r="A2349" s="251">
        <f>A2346+1</f>
        <v>227</v>
      </c>
      <c r="B2349" s="251">
        <v>2412</v>
      </c>
      <c r="C2349" s="252" t="s">
        <v>145</v>
      </c>
      <c r="D2349" s="253">
        <v>1324.2</v>
      </c>
      <c r="E2349" s="254" t="s">
        <v>75</v>
      </c>
      <c r="F2349" s="254">
        <v>5</v>
      </c>
      <c r="G2349" s="251" t="s">
        <v>72</v>
      </c>
      <c r="H2349" s="159" t="s">
        <v>73</v>
      </c>
      <c r="I2349" s="158">
        <f>I2350</f>
        <v>217168.8</v>
      </c>
      <c r="J2349" s="158">
        <f>J2350</f>
        <v>164</v>
      </c>
      <c r="K2349" s="158">
        <f>K2350</f>
        <v>164</v>
      </c>
      <c r="L2349" s="7"/>
      <c r="M2349" s="7"/>
      <c r="N2349" s="7"/>
      <c r="O2349" s="7"/>
      <c r="P2349" s="7"/>
      <c r="Q2349" s="7"/>
      <c r="R2349" s="7"/>
      <c r="S2349" s="7"/>
      <c r="T2349" s="7"/>
      <c r="U2349" s="7"/>
      <c r="V2349" s="7"/>
      <c r="W2349" s="7"/>
    </row>
    <row r="2350" spans="1:23" ht="46.5" x14ac:dyDescent="0.35">
      <c r="A2350" s="251"/>
      <c r="B2350" s="251"/>
      <c r="C2350" s="252"/>
      <c r="D2350" s="253"/>
      <c r="E2350" s="254"/>
      <c r="F2350" s="254"/>
      <c r="G2350" s="251"/>
      <c r="H2350" s="159" t="s">
        <v>705</v>
      </c>
      <c r="I2350" s="158">
        <f>D2349*K2350</f>
        <v>217168.8</v>
      </c>
      <c r="J2350" s="158">
        <f>I2350/D2349</f>
        <v>164</v>
      </c>
      <c r="K2350" s="158">
        <f>151+13</f>
        <v>164</v>
      </c>
      <c r="L2350" s="7"/>
      <c r="M2350" s="7"/>
      <c r="N2350" s="7"/>
      <c r="O2350" s="7"/>
      <c r="P2350" s="7"/>
      <c r="Q2350" s="7"/>
      <c r="R2350" s="7"/>
      <c r="S2350" s="7"/>
      <c r="T2350" s="7"/>
      <c r="U2350" s="7"/>
      <c r="V2350" s="7"/>
      <c r="W2350" s="7"/>
    </row>
    <row r="2351" spans="1:23" ht="15.75" customHeight="1" x14ac:dyDescent="0.35">
      <c r="A2351" s="251">
        <f>A2349+1</f>
        <v>228</v>
      </c>
      <c r="B2351" s="251">
        <v>2416</v>
      </c>
      <c r="C2351" s="252" t="s">
        <v>146</v>
      </c>
      <c r="D2351" s="253">
        <v>2375.6</v>
      </c>
      <c r="E2351" s="254" t="s">
        <v>75</v>
      </c>
      <c r="F2351" s="254">
        <v>5</v>
      </c>
      <c r="G2351" s="251" t="s">
        <v>72</v>
      </c>
      <c r="H2351" s="159" t="s">
        <v>73</v>
      </c>
      <c r="I2351" s="158">
        <f>I2352</f>
        <v>389598.4</v>
      </c>
      <c r="J2351" s="158">
        <f>J2352</f>
        <v>164</v>
      </c>
      <c r="K2351" s="158">
        <f>K2352</f>
        <v>164</v>
      </c>
      <c r="L2351" s="7"/>
      <c r="M2351" s="7"/>
      <c r="N2351" s="7"/>
      <c r="O2351" s="7"/>
      <c r="P2351" s="7"/>
      <c r="Q2351" s="7"/>
      <c r="R2351" s="7"/>
      <c r="S2351" s="7"/>
      <c r="T2351" s="7"/>
      <c r="U2351" s="7"/>
      <c r="V2351" s="7"/>
      <c r="W2351" s="7"/>
    </row>
    <row r="2352" spans="1:23" ht="46.5" x14ac:dyDescent="0.35">
      <c r="A2352" s="251"/>
      <c r="B2352" s="251"/>
      <c r="C2352" s="252"/>
      <c r="D2352" s="253"/>
      <c r="E2352" s="254"/>
      <c r="F2352" s="254"/>
      <c r="G2352" s="251"/>
      <c r="H2352" s="159" t="s">
        <v>705</v>
      </c>
      <c r="I2352" s="158">
        <f>D2351*K2352</f>
        <v>389598.4</v>
      </c>
      <c r="J2352" s="158">
        <f>I2352/D2351</f>
        <v>164</v>
      </c>
      <c r="K2352" s="158">
        <f>151+13</f>
        <v>164</v>
      </c>
      <c r="L2352" s="7"/>
      <c r="M2352" s="7"/>
      <c r="N2352" s="7"/>
      <c r="O2352" s="7"/>
      <c r="P2352" s="7"/>
      <c r="Q2352" s="7"/>
      <c r="R2352" s="7"/>
      <c r="S2352" s="7"/>
      <c r="T2352" s="7"/>
      <c r="U2352" s="7"/>
      <c r="V2352" s="7"/>
      <c r="W2352" s="7"/>
    </row>
    <row r="2353" spans="1:23" ht="15.75" customHeight="1" x14ac:dyDescent="0.35">
      <c r="A2353" s="251">
        <f>A2351+1</f>
        <v>229</v>
      </c>
      <c r="B2353" s="251">
        <v>2489</v>
      </c>
      <c r="C2353" s="252" t="s">
        <v>779</v>
      </c>
      <c r="D2353" s="253">
        <v>4049.2</v>
      </c>
      <c r="E2353" s="254" t="s">
        <v>75</v>
      </c>
      <c r="F2353" s="254">
        <v>9</v>
      </c>
      <c r="G2353" s="251" t="s">
        <v>72</v>
      </c>
      <c r="H2353" s="159" t="s">
        <v>73</v>
      </c>
      <c r="I2353" s="158">
        <f>I2354</f>
        <v>664068.80000000005</v>
      </c>
      <c r="J2353" s="158">
        <f>J2354</f>
        <v>164</v>
      </c>
      <c r="K2353" s="158">
        <f>K2354</f>
        <v>164</v>
      </c>
      <c r="L2353" s="7"/>
      <c r="M2353" s="7"/>
      <c r="N2353" s="7"/>
      <c r="O2353" s="7"/>
      <c r="P2353" s="7"/>
      <c r="Q2353" s="7"/>
      <c r="R2353" s="7"/>
      <c r="S2353" s="7"/>
      <c r="T2353" s="7"/>
      <c r="U2353" s="7"/>
      <c r="V2353" s="7"/>
      <c r="W2353" s="7"/>
    </row>
    <row r="2354" spans="1:23" ht="46.5" x14ac:dyDescent="0.35">
      <c r="A2354" s="251"/>
      <c r="B2354" s="251"/>
      <c r="C2354" s="252"/>
      <c r="D2354" s="253"/>
      <c r="E2354" s="254"/>
      <c r="F2354" s="254"/>
      <c r="G2354" s="251"/>
      <c r="H2354" s="159" t="s">
        <v>705</v>
      </c>
      <c r="I2354" s="158">
        <f>D2353*K2354</f>
        <v>664068.80000000005</v>
      </c>
      <c r="J2354" s="158">
        <f>I2354/D2353</f>
        <v>164</v>
      </c>
      <c r="K2354" s="158">
        <f>151+13</f>
        <v>164</v>
      </c>
      <c r="L2354" s="7"/>
      <c r="M2354" s="7"/>
      <c r="N2354" s="7"/>
      <c r="O2354" s="7"/>
      <c r="P2354" s="7"/>
      <c r="Q2354" s="7"/>
      <c r="R2354" s="7"/>
      <c r="S2354" s="7"/>
      <c r="T2354" s="7"/>
      <c r="U2354" s="7"/>
      <c r="V2354" s="7"/>
      <c r="W2354" s="7"/>
    </row>
    <row r="2355" spans="1:23" ht="15.75" customHeight="1" x14ac:dyDescent="0.35">
      <c r="A2355" s="256">
        <f>A2353+1</f>
        <v>230</v>
      </c>
      <c r="B2355" s="256">
        <v>2239</v>
      </c>
      <c r="C2355" s="259" t="s">
        <v>780</v>
      </c>
      <c r="D2355" s="262">
        <v>4698.6000000000004</v>
      </c>
      <c r="E2355" s="262" t="s">
        <v>71</v>
      </c>
      <c r="F2355" s="265">
        <v>5</v>
      </c>
      <c r="G2355" s="149"/>
      <c r="H2355" s="159" t="s">
        <v>73</v>
      </c>
      <c r="I2355" s="158">
        <f>I2356+I2357</f>
        <v>977308.8</v>
      </c>
      <c r="J2355" s="158">
        <f>J2356+J2357</f>
        <v>208</v>
      </c>
      <c r="K2355" s="158">
        <f>K2356+K2357</f>
        <v>208</v>
      </c>
      <c r="L2355" s="7"/>
      <c r="M2355" s="7"/>
      <c r="N2355" s="7"/>
      <c r="O2355" s="7"/>
      <c r="P2355" s="7"/>
      <c r="Q2355" s="7"/>
      <c r="R2355" s="7"/>
      <c r="S2355" s="7"/>
      <c r="T2355" s="7"/>
      <c r="U2355" s="7"/>
      <c r="V2355" s="7"/>
      <c r="W2355" s="7"/>
    </row>
    <row r="2356" spans="1:23" ht="46.5" x14ac:dyDescent="0.35">
      <c r="A2356" s="257"/>
      <c r="B2356" s="257"/>
      <c r="C2356" s="260"/>
      <c r="D2356" s="263"/>
      <c r="E2356" s="263"/>
      <c r="F2356" s="266"/>
      <c r="G2356" s="120" t="s">
        <v>72</v>
      </c>
      <c r="H2356" s="159" t="s">
        <v>705</v>
      </c>
      <c r="I2356" s="158">
        <f>D2355*K2356</f>
        <v>770570.4</v>
      </c>
      <c r="J2356" s="158">
        <f>I2356/D2355</f>
        <v>164</v>
      </c>
      <c r="K2356" s="158">
        <f>151+13</f>
        <v>164</v>
      </c>
      <c r="L2356" s="7"/>
      <c r="M2356" s="7"/>
      <c r="N2356" s="7"/>
      <c r="O2356" s="7"/>
      <c r="P2356" s="7"/>
      <c r="Q2356" s="7"/>
      <c r="R2356" s="7"/>
      <c r="S2356" s="7"/>
      <c r="T2356" s="7"/>
      <c r="U2356" s="7"/>
      <c r="V2356" s="7"/>
      <c r="W2356" s="7"/>
    </row>
    <row r="2357" spans="1:23" ht="46.5" x14ac:dyDescent="0.35">
      <c r="A2357" s="257"/>
      <c r="B2357" s="257"/>
      <c r="C2357" s="260"/>
      <c r="D2357" s="263"/>
      <c r="E2357" s="263"/>
      <c r="F2357" s="266"/>
      <c r="G2357" s="120" t="s">
        <v>85</v>
      </c>
      <c r="H2357" s="159" t="s">
        <v>705</v>
      </c>
      <c r="I2357" s="158">
        <f>D2355*K2357</f>
        <v>206738.4</v>
      </c>
      <c r="J2357" s="158">
        <f>I2357/D2355</f>
        <v>44</v>
      </c>
      <c r="K2357" s="158">
        <f>41+3</f>
        <v>44</v>
      </c>
      <c r="L2357" s="7"/>
      <c r="M2357" s="7"/>
      <c r="N2357" s="7"/>
      <c r="O2357" s="7"/>
      <c r="P2357" s="7"/>
      <c r="Q2357" s="7"/>
      <c r="R2357" s="7"/>
      <c r="S2357" s="7"/>
      <c r="T2357" s="7"/>
      <c r="U2357" s="7"/>
      <c r="V2357" s="7"/>
      <c r="W2357" s="7"/>
    </row>
    <row r="2358" spans="1:23" ht="15.75" customHeight="1" x14ac:dyDescent="0.35">
      <c r="A2358" s="251">
        <f>A2355+1</f>
        <v>231</v>
      </c>
      <c r="B2358" s="251">
        <v>2422</v>
      </c>
      <c r="C2358" s="252" t="s">
        <v>781</v>
      </c>
      <c r="D2358" s="253">
        <v>6937.3</v>
      </c>
      <c r="E2358" s="254" t="s">
        <v>71</v>
      </c>
      <c r="F2358" s="254">
        <v>10</v>
      </c>
      <c r="G2358" s="251" t="s">
        <v>77</v>
      </c>
      <c r="H2358" s="159" t="s">
        <v>73</v>
      </c>
      <c r="I2358" s="158">
        <f>I2359</f>
        <v>638231.6</v>
      </c>
      <c r="J2358" s="158">
        <f>J2359</f>
        <v>92</v>
      </c>
      <c r="K2358" s="158">
        <f>K2359</f>
        <v>92</v>
      </c>
      <c r="L2358" s="7"/>
      <c r="M2358" s="7"/>
      <c r="N2358" s="7"/>
      <c r="O2358" s="7"/>
      <c r="P2358" s="7"/>
      <c r="Q2358" s="7"/>
      <c r="R2358" s="7"/>
      <c r="S2358" s="7"/>
      <c r="T2358" s="7"/>
      <c r="U2358" s="7"/>
      <c r="V2358" s="7"/>
      <c r="W2358" s="7"/>
    </row>
    <row r="2359" spans="1:23" ht="31" x14ac:dyDescent="0.35">
      <c r="A2359" s="251"/>
      <c r="B2359" s="251"/>
      <c r="C2359" s="252"/>
      <c r="D2359" s="253"/>
      <c r="E2359" s="254"/>
      <c r="F2359" s="254"/>
      <c r="G2359" s="251"/>
      <c r="H2359" s="159" t="s">
        <v>666</v>
      </c>
      <c r="I2359" s="158">
        <f>D2358*K2359</f>
        <v>638231.6</v>
      </c>
      <c r="J2359" s="158">
        <f>I2359/D2358</f>
        <v>92</v>
      </c>
      <c r="K2359" s="158">
        <f>85+7</f>
        <v>92</v>
      </c>
      <c r="L2359" s="7"/>
      <c r="M2359" s="7"/>
      <c r="N2359" s="7"/>
      <c r="O2359" s="7"/>
      <c r="P2359" s="7"/>
      <c r="Q2359" s="7"/>
      <c r="R2359" s="7"/>
      <c r="S2359" s="7"/>
      <c r="T2359" s="7"/>
      <c r="U2359" s="7"/>
      <c r="V2359" s="7"/>
      <c r="W2359" s="7"/>
    </row>
    <row r="2360" spans="1:23" ht="15.75" customHeight="1" x14ac:dyDescent="0.35">
      <c r="A2360" s="256">
        <f>A2358+1</f>
        <v>232</v>
      </c>
      <c r="B2360" s="256">
        <v>2432</v>
      </c>
      <c r="C2360" s="259" t="s">
        <v>147</v>
      </c>
      <c r="D2360" s="262">
        <v>1229.0999999999999</v>
      </c>
      <c r="E2360" s="268" t="s">
        <v>75</v>
      </c>
      <c r="F2360" s="268">
        <v>4</v>
      </c>
      <c r="G2360" s="256" t="s">
        <v>85</v>
      </c>
      <c r="H2360" s="159" t="s">
        <v>73</v>
      </c>
      <c r="I2360" s="158">
        <f>I2361</f>
        <v>54080.4</v>
      </c>
      <c r="J2360" s="158">
        <f>J2361</f>
        <v>44</v>
      </c>
      <c r="K2360" s="158">
        <f>K2361</f>
        <v>44</v>
      </c>
      <c r="L2360" s="7"/>
      <c r="M2360" s="7"/>
      <c r="N2360" s="7"/>
      <c r="O2360" s="7"/>
      <c r="P2360" s="7"/>
      <c r="Q2360" s="7"/>
      <c r="R2360" s="7"/>
      <c r="S2360" s="7"/>
      <c r="T2360" s="7"/>
      <c r="U2360" s="7"/>
      <c r="V2360" s="7"/>
      <c r="W2360" s="7"/>
    </row>
    <row r="2361" spans="1:23" ht="46.5" x14ac:dyDescent="0.35">
      <c r="A2361" s="257"/>
      <c r="B2361" s="257"/>
      <c r="C2361" s="260"/>
      <c r="D2361" s="263"/>
      <c r="E2361" s="269"/>
      <c r="F2361" s="269"/>
      <c r="G2361" s="257"/>
      <c r="H2361" s="159" t="s">
        <v>705</v>
      </c>
      <c r="I2361" s="158">
        <f>D2360*K2361</f>
        <v>54080.4</v>
      </c>
      <c r="J2361" s="158">
        <f>I2361/D2360</f>
        <v>44</v>
      </c>
      <c r="K2361" s="158">
        <f>41+3</f>
        <v>44</v>
      </c>
      <c r="L2361" s="7"/>
      <c r="M2361" s="7"/>
      <c r="N2361" s="7"/>
      <c r="O2361" s="7"/>
      <c r="P2361" s="7"/>
      <c r="Q2361" s="7"/>
      <c r="R2361" s="7"/>
      <c r="S2361" s="7"/>
      <c r="T2361" s="7"/>
      <c r="U2361" s="7"/>
      <c r="V2361" s="7"/>
      <c r="W2361" s="7"/>
    </row>
    <row r="2362" spans="1:23" ht="15.75" customHeight="1" x14ac:dyDescent="0.35">
      <c r="A2362" s="251">
        <f>A2360+1</f>
        <v>233</v>
      </c>
      <c r="B2362" s="251">
        <v>2733</v>
      </c>
      <c r="C2362" s="252" t="s">
        <v>422</v>
      </c>
      <c r="D2362" s="253">
        <v>822.4</v>
      </c>
      <c r="E2362" s="254" t="s">
        <v>75</v>
      </c>
      <c r="F2362" s="254">
        <v>3</v>
      </c>
      <c r="G2362" s="251" t="s">
        <v>72</v>
      </c>
      <c r="H2362" s="159" t="s">
        <v>73</v>
      </c>
      <c r="I2362" s="158">
        <f>I2363+I2364</f>
        <v>3888307.2</v>
      </c>
      <c r="J2362" s="158">
        <f>J2363+J2364</f>
        <v>4728</v>
      </c>
      <c r="K2362" s="158">
        <f>K2363+K2364</f>
        <v>4728</v>
      </c>
      <c r="L2362" s="7"/>
      <c r="M2362" s="7"/>
      <c r="N2362" s="7"/>
      <c r="O2362" s="7"/>
      <c r="P2362" s="7"/>
      <c r="Q2362" s="7"/>
      <c r="R2362" s="7"/>
      <c r="S2362" s="7"/>
      <c r="T2362" s="7"/>
      <c r="U2362" s="7"/>
      <c r="V2362" s="7"/>
      <c r="W2362" s="7"/>
    </row>
    <row r="2363" spans="1:23" x14ac:dyDescent="0.35">
      <c r="A2363" s="251">
        <v>75</v>
      </c>
      <c r="B2363" s="251"/>
      <c r="C2363" s="252"/>
      <c r="D2363" s="253"/>
      <c r="E2363" s="254"/>
      <c r="F2363" s="254"/>
      <c r="G2363" s="251"/>
      <c r="H2363" s="159" t="s">
        <v>74</v>
      </c>
      <c r="I2363" s="158">
        <f>D2362*K2363</f>
        <v>3806889.6</v>
      </c>
      <c r="J2363" s="158">
        <f>I2363/D2362</f>
        <v>4629</v>
      </c>
      <c r="K2363" s="158">
        <v>4629</v>
      </c>
      <c r="L2363" s="7"/>
      <c r="M2363" s="7"/>
      <c r="N2363" s="7"/>
      <c r="O2363" s="7"/>
      <c r="P2363" s="7"/>
      <c r="Q2363" s="7"/>
      <c r="R2363" s="7"/>
      <c r="S2363" s="7"/>
      <c r="T2363" s="7"/>
      <c r="U2363" s="7"/>
      <c r="V2363" s="7"/>
      <c r="W2363" s="7"/>
    </row>
    <row r="2364" spans="1:23" x14ac:dyDescent="0.35">
      <c r="A2364" s="251"/>
      <c r="B2364" s="251"/>
      <c r="C2364" s="252"/>
      <c r="D2364" s="253"/>
      <c r="E2364" s="254"/>
      <c r="F2364" s="254"/>
      <c r="G2364" s="251"/>
      <c r="H2364" s="159" t="s">
        <v>76</v>
      </c>
      <c r="I2364" s="158">
        <f>D2362*K2364</f>
        <v>81417.600000000006</v>
      </c>
      <c r="J2364" s="158">
        <f>I2364/D2362</f>
        <v>99</v>
      </c>
      <c r="K2364" s="158">
        <v>99</v>
      </c>
      <c r="L2364" s="7"/>
      <c r="M2364" s="7"/>
      <c r="N2364" s="7"/>
      <c r="O2364" s="7"/>
      <c r="P2364" s="7"/>
      <c r="Q2364" s="7"/>
      <c r="R2364" s="7"/>
      <c r="S2364" s="7"/>
      <c r="T2364" s="7"/>
      <c r="U2364" s="7"/>
      <c r="V2364" s="7"/>
      <c r="W2364" s="7"/>
    </row>
    <row r="2365" spans="1:23" x14ac:dyDescent="0.35">
      <c r="A2365" s="251">
        <f>A2362+1</f>
        <v>234</v>
      </c>
      <c r="B2365" s="251">
        <v>2268</v>
      </c>
      <c r="C2365" s="252" t="s">
        <v>423</v>
      </c>
      <c r="D2365" s="253">
        <v>3547.2</v>
      </c>
      <c r="E2365" s="254" t="s">
        <v>71</v>
      </c>
      <c r="F2365" s="254">
        <v>5</v>
      </c>
      <c r="G2365" s="251" t="s">
        <v>72</v>
      </c>
      <c r="H2365" s="159" t="s">
        <v>73</v>
      </c>
      <c r="I2365" s="158">
        <f>I2366+I2367</f>
        <v>7520743.0199999996</v>
      </c>
      <c r="J2365" s="158">
        <f>J2366+J2367</f>
        <v>2120.19</v>
      </c>
      <c r="K2365" s="158">
        <f>K2366+K2367</f>
        <v>3449</v>
      </c>
      <c r="L2365" s="7"/>
      <c r="M2365" s="7"/>
      <c r="N2365" s="7"/>
      <c r="O2365" s="7"/>
      <c r="P2365" s="7"/>
      <c r="Q2365" s="7"/>
      <c r="R2365" s="7"/>
      <c r="S2365" s="7"/>
      <c r="T2365" s="7"/>
      <c r="U2365" s="7"/>
      <c r="V2365" s="7"/>
      <c r="W2365" s="7"/>
    </row>
    <row r="2366" spans="1:23" ht="31" x14ac:dyDescent="0.35">
      <c r="A2366" s="251">
        <v>77</v>
      </c>
      <c r="B2366" s="251"/>
      <c r="C2366" s="252"/>
      <c r="D2366" s="253"/>
      <c r="E2366" s="254"/>
      <c r="F2366" s="254"/>
      <c r="G2366" s="251"/>
      <c r="H2366" s="159" t="s">
        <v>86</v>
      </c>
      <c r="I2366" s="158">
        <f>10425205.19*0.7</f>
        <v>7297643.6299999999</v>
      </c>
      <c r="J2366" s="158">
        <f>I2366/D2365</f>
        <v>2057.3000000000002</v>
      </c>
      <c r="K2366" s="158">
        <v>3377</v>
      </c>
      <c r="L2366" s="7"/>
      <c r="M2366" s="7"/>
      <c r="N2366" s="7"/>
      <c r="O2366" s="7"/>
      <c r="P2366" s="7"/>
      <c r="Q2366" s="7"/>
      <c r="R2366" s="7"/>
      <c r="S2366" s="7"/>
      <c r="T2366" s="7"/>
      <c r="U2366" s="7"/>
      <c r="V2366" s="7"/>
      <c r="W2366" s="7"/>
    </row>
    <row r="2367" spans="1:23" x14ac:dyDescent="0.35">
      <c r="A2367" s="251">
        <v>78</v>
      </c>
      <c r="B2367" s="251"/>
      <c r="C2367" s="252"/>
      <c r="D2367" s="253"/>
      <c r="E2367" s="254"/>
      <c r="F2367" s="254"/>
      <c r="G2367" s="251"/>
      <c r="H2367" s="159" t="s">
        <v>76</v>
      </c>
      <c r="I2367" s="158">
        <f>10425205.19*0.0214</f>
        <v>223099.39</v>
      </c>
      <c r="J2367" s="158">
        <f>I2367/D2365</f>
        <v>62.89</v>
      </c>
      <c r="K2367" s="158">
        <v>72</v>
      </c>
      <c r="L2367" s="7"/>
      <c r="M2367" s="7"/>
      <c r="N2367" s="7"/>
      <c r="O2367" s="7"/>
      <c r="P2367" s="7"/>
      <c r="Q2367" s="7"/>
      <c r="R2367" s="7"/>
      <c r="S2367" s="7"/>
      <c r="T2367" s="7"/>
      <c r="U2367" s="7"/>
      <c r="V2367" s="7"/>
      <c r="W2367" s="7"/>
    </row>
    <row r="2368" spans="1:23" ht="15.75" customHeight="1" x14ac:dyDescent="0.35">
      <c r="A2368" s="251">
        <f>A2365+1</f>
        <v>235</v>
      </c>
      <c r="B2368" s="251">
        <v>2269</v>
      </c>
      <c r="C2368" s="252" t="s">
        <v>424</v>
      </c>
      <c r="D2368" s="253">
        <v>3668.87</v>
      </c>
      <c r="E2368" s="254" t="s">
        <v>71</v>
      </c>
      <c r="F2368" s="254">
        <v>5</v>
      </c>
      <c r="G2368" s="251" t="s">
        <v>72</v>
      </c>
      <c r="H2368" s="159" t="s">
        <v>73</v>
      </c>
      <c r="I2368" s="158">
        <f>I2369+I2370</f>
        <v>5478430.7599999998</v>
      </c>
      <c r="J2368" s="158">
        <f>J2369+J2370</f>
        <v>1493.22</v>
      </c>
      <c r="K2368" s="158">
        <f>K2369+K2370</f>
        <v>2831</v>
      </c>
      <c r="L2368" s="7"/>
      <c r="M2368" s="7"/>
      <c r="N2368" s="7"/>
      <c r="O2368" s="7"/>
      <c r="P2368" s="7"/>
      <c r="Q2368" s="7"/>
      <c r="R2368" s="7"/>
      <c r="S2368" s="7"/>
      <c r="T2368" s="7"/>
      <c r="U2368" s="7"/>
      <c r="V2368" s="7"/>
      <c r="W2368" s="7"/>
    </row>
    <row r="2369" spans="1:23" x14ac:dyDescent="0.35">
      <c r="A2369" s="251">
        <v>77</v>
      </c>
      <c r="B2369" s="251"/>
      <c r="C2369" s="252"/>
      <c r="D2369" s="253"/>
      <c r="E2369" s="254"/>
      <c r="F2369" s="254"/>
      <c r="G2369" s="251"/>
      <c r="H2369" s="159" t="s">
        <v>74</v>
      </c>
      <c r="I2369" s="158">
        <f>7594165.18*0.7</f>
        <v>5315915.63</v>
      </c>
      <c r="J2369" s="158">
        <f>I2369/D2368</f>
        <v>1448.92</v>
      </c>
      <c r="K2369" s="158">
        <v>2772</v>
      </c>
      <c r="L2369" s="7"/>
      <c r="M2369" s="7"/>
      <c r="N2369" s="7"/>
      <c r="O2369" s="7"/>
      <c r="P2369" s="7"/>
      <c r="Q2369" s="7"/>
      <c r="R2369" s="7"/>
      <c r="S2369" s="7"/>
      <c r="T2369" s="7"/>
      <c r="U2369" s="7"/>
      <c r="V2369" s="7"/>
      <c r="W2369" s="7"/>
    </row>
    <row r="2370" spans="1:23" x14ac:dyDescent="0.35">
      <c r="A2370" s="251">
        <v>78</v>
      </c>
      <c r="B2370" s="251"/>
      <c r="C2370" s="252"/>
      <c r="D2370" s="253"/>
      <c r="E2370" s="254"/>
      <c r="F2370" s="254"/>
      <c r="G2370" s="251"/>
      <c r="H2370" s="159" t="s">
        <v>76</v>
      </c>
      <c r="I2370" s="158">
        <f>7594165.18*0.0214</f>
        <v>162515.13</v>
      </c>
      <c r="J2370" s="158">
        <f>I2370/D2368</f>
        <v>44.3</v>
      </c>
      <c r="K2370" s="158">
        <v>59</v>
      </c>
      <c r="L2370" s="7"/>
      <c r="M2370" s="7"/>
      <c r="N2370" s="7"/>
      <c r="O2370" s="7"/>
      <c r="P2370" s="7"/>
      <c r="Q2370" s="7"/>
      <c r="R2370" s="7"/>
      <c r="S2370" s="7"/>
      <c r="T2370" s="7"/>
      <c r="U2370" s="7"/>
      <c r="V2370" s="7"/>
      <c r="W2370" s="7"/>
    </row>
    <row r="2371" spans="1:23" ht="15.75" customHeight="1" x14ac:dyDescent="0.35">
      <c r="A2371" s="251">
        <f>A2368+1</f>
        <v>236</v>
      </c>
      <c r="B2371" s="251">
        <v>2434</v>
      </c>
      <c r="C2371" s="252" t="s">
        <v>148</v>
      </c>
      <c r="D2371" s="253">
        <v>3278.05</v>
      </c>
      <c r="E2371" s="254" t="s">
        <v>71</v>
      </c>
      <c r="F2371" s="254">
        <v>5</v>
      </c>
      <c r="G2371" s="251" t="s">
        <v>72</v>
      </c>
      <c r="H2371" s="159" t="s">
        <v>73</v>
      </c>
      <c r="I2371" s="158">
        <f>I2372</f>
        <v>478595.3</v>
      </c>
      <c r="J2371" s="158">
        <f>J2372</f>
        <v>146</v>
      </c>
      <c r="K2371" s="158">
        <f>K2372</f>
        <v>146</v>
      </c>
      <c r="L2371" s="7"/>
      <c r="M2371" s="7"/>
      <c r="N2371" s="7"/>
      <c r="O2371" s="7"/>
      <c r="P2371" s="7"/>
      <c r="Q2371" s="7"/>
      <c r="R2371" s="7"/>
      <c r="S2371" s="7"/>
      <c r="T2371" s="7"/>
      <c r="U2371" s="7"/>
      <c r="V2371" s="7"/>
      <c r="W2371" s="7"/>
    </row>
    <row r="2372" spans="1:23" ht="46.5" x14ac:dyDescent="0.35">
      <c r="A2372" s="251"/>
      <c r="B2372" s="251"/>
      <c r="C2372" s="252"/>
      <c r="D2372" s="253"/>
      <c r="E2372" s="254"/>
      <c r="F2372" s="254"/>
      <c r="G2372" s="251"/>
      <c r="H2372" s="159" t="s">
        <v>796</v>
      </c>
      <c r="I2372" s="158">
        <f>D2371*K2372</f>
        <v>478595.3</v>
      </c>
      <c r="J2372" s="158">
        <f>I2372/D2371</f>
        <v>146</v>
      </c>
      <c r="K2372" s="158">
        <f>135+11</f>
        <v>146</v>
      </c>
      <c r="L2372" s="7"/>
      <c r="M2372" s="7"/>
      <c r="N2372" s="7"/>
      <c r="O2372" s="7"/>
      <c r="P2372" s="7"/>
      <c r="Q2372" s="7"/>
      <c r="R2372" s="7"/>
      <c r="S2372" s="7"/>
      <c r="T2372" s="7"/>
      <c r="U2372" s="7"/>
      <c r="V2372" s="7"/>
      <c r="W2372" s="7"/>
    </row>
    <row r="2373" spans="1:23" ht="15.75" customHeight="1" x14ac:dyDescent="0.35">
      <c r="A2373" s="256">
        <f>A2371+1</f>
        <v>237</v>
      </c>
      <c r="B2373" s="256">
        <v>2967</v>
      </c>
      <c r="C2373" s="259" t="s">
        <v>701</v>
      </c>
      <c r="D2373" s="262">
        <v>3510.7</v>
      </c>
      <c r="E2373" s="262" t="s">
        <v>71</v>
      </c>
      <c r="F2373" s="265">
        <v>5</v>
      </c>
      <c r="G2373" s="149"/>
      <c r="H2373" s="159" t="s">
        <v>73</v>
      </c>
      <c r="I2373" s="158">
        <f>I2374+I2375</f>
        <v>200812.03</v>
      </c>
      <c r="J2373" s="158">
        <f>J2374+J2375</f>
        <v>57.2</v>
      </c>
      <c r="K2373" s="158">
        <f>K2374+K2375</f>
        <v>172</v>
      </c>
      <c r="L2373" s="7"/>
      <c r="M2373" s="7"/>
      <c r="N2373" s="7"/>
      <c r="O2373" s="7"/>
      <c r="P2373" s="7"/>
      <c r="Q2373" s="7"/>
      <c r="R2373" s="7"/>
      <c r="S2373" s="7"/>
      <c r="T2373" s="7"/>
      <c r="U2373" s="7"/>
      <c r="V2373" s="7"/>
      <c r="W2373" s="7"/>
    </row>
    <row r="2374" spans="1:23" ht="31" x14ac:dyDescent="0.35">
      <c r="A2374" s="257"/>
      <c r="B2374" s="257"/>
      <c r="C2374" s="260"/>
      <c r="D2374" s="263"/>
      <c r="E2374" s="263"/>
      <c r="F2374" s="266"/>
      <c r="G2374" s="256" t="s">
        <v>84</v>
      </c>
      <c r="H2374" s="159" t="s">
        <v>666</v>
      </c>
      <c r="I2374" s="158">
        <f>24574.89+1*D2373</f>
        <v>28085.59</v>
      </c>
      <c r="J2374" s="158">
        <f>I2374/D2373</f>
        <v>8</v>
      </c>
      <c r="K2374" s="158">
        <f>7+1</f>
        <v>8</v>
      </c>
      <c r="L2374" s="7"/>
      <c r="M2374" s="7"/>
      <c r="N2374" s="7"/>
      <c r="O2374" s="7"/>
      <c r="P2374" s="7"/>
      <c r="Q2374" s="7"/>
      <c r="R2374" s="7"/>
      <c r="S2374" s="7"/>
      <c r="T2374" s="7"/>
      <c r="U2374" s="7"/>
      <c r="V2374" s="7"/>
      <c r="W2374" s="7"/>
    </row>
    <row r="2375" spans="1:23" x14ac:dyDescent="0.35">
      <c r="A2375" s="258"/>
      <c r="B2375" s="258"/>
      <c r="C2375" s="261"/>
      <c r="D2375" s="264"/>
      <c r="E2375" s="264"/>
      <c r="F2375" s="267"/>
      <c r="G2375" s="258"/>
      <c r="H2375" s="159" t="s">
        <v>74</v>
      </c>
      <c r="I2375" s="158">
        <f>K2375*D2373*0.3</f>
        <v>172726.44</v>
      </c>
      <c r="J2375" s="158">
        <f>I2375/D2373</f>
        <v>49.2</v>
      </c>
      <c r="K2375" s="158">
        <v>164</v>
      </c>
      <c r="L2375" s="7"/>
      <c r="M2375" s="7"/>
      <c r="N2375" s="7"/>
      <c r="O2375" s="7"/>
      <c r="P2375" s="7"/>
      <c r="Q2375" s="7"/>
      <c r="R2375" s="7"/>
      <c r="S2375" s="7"/>
      <c r="T2375" s="7"/>
      <c r="U2375" s="7"/>
      <c r="V2375" s="7"/>
      <c r="W2375" s="7"/>
    </row>
    <row r="2376" spans="1:23" ht="15.75" customHeight="1" x14ac:dyDescent="0.35">
      <c r="A2376" s="251">
        <f>A2373+1</f>
        <v>238</v>
      </c>
      <c r="B2376" s="251">
        <v>2286</v>
      </c>
      <c r="C2376" s="252" t="s">
        <v>782</v>
      </c>
      <c r="D2376" s="253">
        <v>18477.8</v>
      </c>
      <c r="E2376" s="254" t="s">
        <v>71</v>
      </c>
      <c r="F2376" s="254">
        <v>9</v>
      </c>
      <c r="G2376" s="251" t="s">
        <v>72</v>
      </c>
      <c r="H2376" s="159" t="s">
        <v>73</v>
      </c>
      <c r="I2376" s="158">
        <f>I2377</f>
        <v>3030359.2</v>
      </c>
      <c r="J2376" s="158">
        <f>J2377</f>
        <v>164</v>
      </c>
      <c r="K2376" s="158">
        <f>K2377</f>
        <v>164</v>
      </c>
      <c r="L2376" s="7"/>
      <c r="M2376" s="7"/>
      <c r="N2376" s="7"/>
      <c r="O2376" s="7"/>
      <c r="P2376" s="7"/>
      <c r="Q2376" s="7"/>
      <c r="R2376" s="7"/>
      <c r="S2376" s="7"/>
      <c r="T2376" s="7"/>
      <c r="U2376" s="7"/>
      <c r="V2376" s="7"/>
      <c r="W2376" s="7"/>
    </row>
    <row r="2377" spans="1:23" ht="46.5" x14ac:dyDescent="0.35">
      <c r="A2377" s="251"/>
      <c r="B2377" s="251"/>
      <c r="C2377" s="252"/>
      <c r="D2377" s="253"/>
      <c r="E2377" s="254"/>
      <c r="F2377" s="254"/>
      <c r="G2377" s="251"/>
      <c r="H2377" s="159" t="s">
        <v>705</v>
      </c>
      <c r="I2377" s="158">
        <f>D2376*K2377</f>
        <v>3030359.2</v>
      </c>
      <c r="J2377" s="158">
        <f>I2377/D2376</f>
        <v>164</v>
      </c>
      <c r="K2377" s="158">
        <f>151+13</f>
        <v>164</v>
      </c>
      <c r="L2377" s="7"/>
      <c r="M2377" s="7"/>
      <c r="N2377" s="7"/>
      <c r="O2377" s="7"/>
      <c r="P2377" s="7"/>
      <c r="Q2377" s="7"/>
      <c r="R2377" s="7"/>
      <c r="S2377" s="7"/>
      <c r="T2377" s="7"/>
      <c r="U2377" s="7"/>
      <c r="V2377" s="7"/>
      <c r="W2377" s="7"/>
    </row>
    <row r="2378" spans="1:23" ht="15.75" customHeight="1" x14ac:dyDescent="0.35">
      <c r="A2378" s="251">
        <f>A2376+1</f>
        <v>239</v>
      </c>
      <c r="B2378" s="251">
        <v>2163</v>
      </c>
      <c r="C2378" s="252" t="s">
        <v>783</v>
      </c>
      <c r="D2378" s="253">
        <v>18241.8</v>
      </c>
      <c r="E2378" s="254" t="s">
        <v>75</v>
      </c>
      <c r="F2378" s="254">
        <v>10</v>
      </c>
      <c r="G2378" s="251" t="s">
        <v>77</v>
      </c>
      <c r="H2378" s="159" t="s">
        <v>73</v>
      </c>
      <c r="I2378" s="158">
        <f>I2379</f>
        <v>985057.2</v>
      </c>
      <c r="J2378" s="158">
        <f>J2379</f>
        <v>54</v>
      </c>
      <c r="K2378" s="158">
        <f>K2379</f>
        <v>54</v>
      </c>
      <c r="L2378" s="7"/>
      <c r="M2378" s="7"/>
      <c r="N2378" s="7"/>
      <c r="O2378" s="7"/>
      <c r="P2378" s="7"/>
      <c r="Q2378" s="7"/>
      <c r="R2378" s="7"/>
      <c r="S2378" s="7"/>
      <c r="T2378" s="7"/>
      <c r="U2378" s="7"/>
      <c r="V2378" s="7"/>
      <c r="W2378" s="7"/>
    </row>
    <row r="2379" spans="1:23" ht="31" x14ac:dyDescent="0.35">
      <c r="A2379" s="251"/>
      <c r="B2379" s="251"/>
      <c r="C2379" s="252"/>
      <c r="D2379" s="253"/>
      <c r="E2379" s="254"/>
      <c r="F2379" s="254"/>
      <c r="G2379" s="251"/>
      <c r="H2379" s="159" t="s">
        <v>666</v>
      </c>
      <c r="I2379" s="158">
        <f>D2378*K2379</f>
        <v>985057.2</v>
      </c>
      <c r="J2379" s="158">
        <f>I2379/D2378</f>
        <v>54</v>
      </c>
      <c r="K2379" s="158">
        <f>50+4</f>
        <v>54</v>
      </c>
      <c r="L2379" s="7"/>
      <c r="M2379" s="7"/>
      <c r="N2379" s="7"/>
      <c r="O2379" s="7"/>
      <c r="P2379" s="7"/>
      <c r="Q2379" s="7"/>
      <c r="R2379" s="7"/>
      <c r="S2379" s="7"/>
      <c r="T2379" s="7"/>
      <c r="U2379" s="7"/>
      <c r="V2379" s="7"/>
      <c r="W2379" s="7"/>
    </row>
    <row r="2380" spans="1:23" ht="15.75" customHeight="1" x14ac:dyDescent="0.35">
      <c r="A2380" s="251">
        <f>A2378+1</f>
        <v>240</v>
      </c>
      <c r="B2380" s="251">
        <v>2438</v>
      </c>
      <c r="C2380" s="252" t="s">
        <v>784</v>
      </c>
      <c r="D2380" s="253">
        <v>2393.4699999999998</v>
      </c>
      <c r="E2380" s="254" t="s">
        <v>71</v>
      </c>
      <c r="F2380" s="254">
        <v>5</v>
      </c>
      <c r="G2380" s="251" t="s">
        <v>72</v>
      </c>
      <c r="H2380" s="159" t="s">
        <v>73</v>
      </c>
      <c r="I2380" s="158">
        <f>I2381</f>
        <v>349446.62</v>
      </c>
      <c r="J2380" s="158">
        <f>J2381</f>
        <v>146</v>
      </c>
      <c r="K2380" s="158">
        <f>K2381</f>
        <v>146</v>
      </c>
      <c r="L2380" s="7"/>
      <c r="M2380" s="7"/>
      <c r="N2380" s="7"/>
      <c r="O2380" s="7"/>
      <c r="P2380" s="7"/>
      <c r="Q2380" s="7"/>
      <c r="R2380" s="7"/>
      <c r="S2380" s="7"/>
      <c r="T2380" s="7"/>
      <c r="U2380" s="7"/>
      <c r="V2380" s="7"/>
      <c r="W2380" s="7"/>
    </row>
    <row r="2381" spans="1:23" ht="46.5" x14ac:dyDescent="0.35">
      <c r="A2381" s="251"/>
      <c r="B2381" s="251"/>
      <c r="C2381" s="252"/>
      <c r="D2381" s="253"/>
      <c r="E2381" s="254"/>
      <c r="F2381" s="254"/>
      <c r="G2381" s="251"/>
      <c r="H2381" s="159" t="s">
        <v>796</v>
      </c>
      <c r="I2381" s="158">
        <f>D2380*K2381</f>
        <v>349446.62</v>
      </c>
      <c r="J2381" s="158">
        <f>I2381/D2380</f>
        <v>146</v>
      </c>
      <c r="K2381" s="158">
        <f>135+11</f>
        <v>146</v>
      </c>
      <c r="L2381" s="7"/>
      <c r="M2381" s="7"/>
      <c r="N2381" s="7"/>
      <c r="O2381" s="7"/>
      <c r="P2381" s="7"/>
      <c r="Q2381" s="7"/>
      <c r="R2381" s="7"/>
      <c r="S2381" s="7"/>
      <c r="T2381" s="7"/>
      <c r="U2381" s="7"/>
      <c r="V2381" s="7"/>
      <c r="W2381" s="7"/>
    </row>
    <row r="2382" spans="1:23" ht="15.75" customHeight="1" x14ac:dyDescent="0.35">
      <c r="A2382" s="251">
        <f>A2380+1</f>
        <v>241</v>
      </c>
      <c r="B2382" s="251">
        <v>2291</v>
      </c>
      <c r="C2382" s="252" t="s">
        <v>149</v>
      </c>
      <c r="D2382" s="253">
        <v>1274.0999999999999</v>
      </c>
      <c r="E2382" s="254" t="s">
        <v>75</v>
      </c>
      <c r="F2382" s="254">
        <v>4</v>
      </c>
      <c r="G2382" s="251" t="s">
        <v>72</v>
      </c>
      <c r="H2382" s="159" t="s">
        <v>73</v>
      </c>
      <c r="I2382" s="158">
        <f>I2383</f>
        <v>208952.4</v>
      </c>
      <c r="J2382" s="158">
        <f>J2383</f>
        <v>164</v>
      </c>
      <c r="K2382" s="158">
        <f>K2383</f>
        <v>164</v>
      </c>
      <c r="L2382" s="7"/>
      <c r="M2382" s="7"/>
      <c r="N2382" s="7"/>
      <c r="O2382" s="7"/>
      <c r="P2382" s="7"/>
      <c r="Q2382" s="7"/>
      <c r="R2382" s="7"/>
      <c r="S2382" s="7"/>
      <c r="T2382" s="7"/>
      <c r="U2382" s="7"/>
      <c r="V2382" s="7"/>
      <c r="W2382" s="7"/>
    </row>
    <row r="2383" spans="1:23" ht="46.5" x14ac:dyDescent="0.35">
      <c r="A2383" s="251"/>
      <c r="B2383" s="251"/>
      <c r="C2383" s="252"/>
      <c r="D2383" s="253"/>
      <c r="E2383" s="254"/>
      <c r="F2383" s="254"/>
      <c r="G2383" s="251"/>
      <c r="H2383" s="159" t="s">
        <v>705</v>
      </c>
      <c r="I2383" s="158">
        <f>D2382*K2383</f>
        <v>208952.4</v>
      </c>
      <c r="J2383" s="158">
        <f>I2383/D2382</f>
        <v>164</v>
      </c>
      <c r="K2383" s="158">
        <f>151+13</f>
        <v>164</v>
      </c>
      <c r="L2383" s="7"/>
      <c r="M2383" s="7"/>
      <c r="N2383" s="7"/>
      <c r="O2383" s="7"/>
      <c r="P2383" s="7"/>
      <c r="Q2383" s="7"/>
      <c r="R2383" s="7"/>
      <c r="S2383" s="7"/>
      <c r="T2383" s="7"/>
      <c r="U2383" s="7"/>
      <c r="V2383" s="7"/>
      <c r="W2383" s="7"/>
    </row>
    <row r="2384" spans="1:23" x14ac:dyDescent="0.35">
      <c r="A2384" s="251">
        <f>A2382+1</f>
        <v>242</v>
      </c>
      <c r="B2384" s="251">
        <v>2449</v>
      </c>
      <c r="C2384" s="252" t="s">
        <v>427</v>
      </c>
      <c r="D2384" s="253">
        <v>2723.4</v>
      </c>
      <c r="E2384" s="254" t="s">
        <v>75</v>
      </c>
      <c r="F2384" s="254">
        <v>5</v>
      </c>
      <c r="G2384" s="251" t="s">
        <v>72</v>
      </c>
      <c r="H2384" s="159" t="s">
        <v>73</v>
      </c>
      <c r="I2384" s="158">
        <f>I2385+I2386</f>
        <v>5445165.96</v>
      </c>
      <c r="J2384" s="158">
        <f>J2385+J2386</f>
        <v>1999.4</v>
      </c>
      <c r="K2384" s="158">
        <f>K2385+K2386</f>
        <v>2831</v>
      </c>
      <c r="L2384" s="7"/>
      <c r="M2384" s="7"/>
      <c r="N2384" s="7"/>
      <c r="O2384" s="7"/>
      <c r="P2384" s="7"/>
      <c r="Q2384" s="7"/>
      <c r="R2384" s="7"/>
      <c r="S2384" s="7"/>
      <c r="T2384" s="7"/>
      <c r="U2384" s="7"/>
      <c r="V2384" s="7"/>
      <c r="W2384" s="7"/>
    </row>
    <row r="2385" spans="1:23" x14ac:dyDescent="0.35">
      <c r="A2385" s="251">
        <v>77</v>
      </c>
      <c r="B2385" s="251"/>
      <c r="C2385" s="252"/>
      <c r="D2385" s="253"/>
      <c r="E2385" s="254"/>
      <c r="F2385" s="254"/>
      <c r="G2385" s="251"/>
      <c r="H2385" s="159" t="s">
        <v>74</v>
      </c>
      <c r="I2385" s="158">
        <f>K2385*D2384*0.7</f>
        <v>5284485.3600000003</v>
      </c>
      <c r="J2385" s="158">
        <f>I2385/D2384</f>
        <v>1940.4</v>
      </c>
      <c r="K2385" s="158">
        <v>2772</v>
      </c>
      <c r="L2385" s="7"/>
      <c r="M2385" s="7"/>
      <c r="N2385" s="7"/>
      <c r="O2385" s="7"/>
      <c r="P2385" s="7"/>
      <c r="Q2385" s="7"/>
      <c r="R2385" s="7"/>
      <c r="S2385" s="7"/>
      <c r="T2385" s="7"/>
      <c r="U2385" s="7"/>
      <c r="V2385" s="7"/>
      <c r="W2385" s="7"/>
    </row>
    <row r="2386" spans="1:23" x14ac:dyDescent="0.35">
      <c r="A2386" s="251">
        <v>78</v>
      </c>
      <c r="B2386" s="251"/>
      <c r="C2386" s="252"/>
      <c r="D2386" s="253"/>
      <c r="E2386" s="254"/>
      <c r="F2386" s="254"/>
      <c r="G2386" s="251"/>
      <c r="H2386" s="159" t="s">
        <v>76</v>
      </c>
      <c r="I2386" s="158">
        <f>K2386*D2384</f>
        <v>160680.6</v>
      </c>
      <c r="J2386" s="158">
        <f>I2386/D2384</f>
        <v>59</v>
      </c>
      <c r="K2386" s="158">
        <v>59</v>
      </c>
      <c r="L2386" s="7"/>
      <c r="M2386" s="7"/>
      <c r="N2386" s="7"/>
      <c r="O2386" s="7"/>
      <c r="P2386" s="7"/>
      <c r="Q2386" s="7"/>
      <c r="R2386" s="7"/>
      <c r="S2386" s="7"/>
      <c r="T2386" s="7"/>
      <c r="U2386" s="7"/>
      <c r="V2386" s="7"/>
      <c r="W2386" s="7"/>
    </row>
    <row r="2387" spans="1:23" ht="15.75" customHeight="1" x14ac:dyDescent="0.35">
      <c r="A2387" s="251">
        <f>A2384+1</f>
        <v>243</v>
      </c>
      <c r="B2387" s="251">
        <v>2451</v>
      </c>
      <c r="C2387" s="252" t="s">
        <v>150</v>
      </c>
      <c r="D2387" s="253">
        <v>3730.46</v>
      </c>
      <c r="E2387" s="253" t="s">
        <v>71</v>
      </c>
      <c r="F2387" s="255">
        <v>5</v>
      </c>
      <c r="G2387" s="251" t="s">
        <v>72</v>
      </c>
      <c r="H2387" s="159" t="s">
        <v>73</v>
      </c>
      <c r="I2387" s="158">
        <f>I2388</f>
        <v>611795.43999999994</v>
      </c>
      <c r="J2387" s="158">
        <f>J2388</f>
        <v>164</v>
      </c>
      <c r="K2387" s="158">
        <f>K2388</f>
        <v>164</v>
      </c>
      <c r="L2387" s="7"/>
      <c r="M2387" s="7"/>
      <c r="N2387" s="7"/>
      <c r="O2387" s="7"/>
      <c r="P2387" s="7"/>
      <c r="Q2387" s="7"/>
      <c r="R2387" s="7"/>
      <c r="S2387" s="7"/>
      <c r="T2387" s="7"/>
      <c r="U2387" s="7"/>
      <c r="V2387" s="7"/>
      <c r="W2387" s="7"/>
    </row>
    <row r="2388" spans="1:23" ht="46.5" x14ac:dyDescent="0.35">
      <c r="A2388" s="251"/>
      <c r="B2388" s="251"/>
      <c r="C2388" s="252"/>
      <c r="D2388" s="253"/>
      <c r="E2388" s="253"/>
      <c r="F2388" s="255"/>
      <c r="G2388" s="251"/>
      <c r="H2388" s="159" t="s">
        <v>705</v>
      </c>
      <c r="I2388" s="158">
        <f>D2387*K2388</f>
        <v>611795.43999999994</v>
      </c>
      <c r="J2388" s="158">
        <f>I2388/D2387</f>
        <v>164</v>
      </c>
      <c r="K2388" s="158">
        <f>151+13</f>
        <v>164</v>
      </c>
      <c r="L2388" s="7"/>
      <c r="M2388" s="7"/>
      <c r="N2388" s="7"/>
      <c r="O2388" s="7"/>
      <c r="P2388" s="7"/>
      <c r="Q2388" s="7"/>
      <c r="R2388" s="7"/>
      <c r="S2388" s="7"/>
      <c r="T2388" s="7"/>
      <c r="U2388" s="7"/>
      <c r="V2388" s="7"/>
      <c r="W2388" s="7"/>
    </row>
    <row r="2389" spans="1:23" ht="15.75" customHeight="1" x14ac:dyDescent="0.35">
      <c r="A2389" s="251">
        <f>A2387+1</f>
        <v>244</v>
      </c>
      <c r="B2389" s="251">
        <v>2452</v>
      </c>
      <c r="C2389" s="252" t="s">
        <v>151</v>
      </c>
      <c r="D2389" s="253">
        <v>1545.52</v>
      </c>
      <c r="E2389" s="254" t="s">
        <v>75</v>
      </c>
      <c r="F2389" s="254">
        <v>3</v>
      </c>
      <c r="G2389" s="251" t="s">
        <v>72</v>
      </c>
      <c r="H2389" s="159" t="s">
        <v>73</v>
      </c>
      <c r="I2389" s="158">
        <f>I2390</f>
        <v>253465.28</v>
      </c>
      <c r="J2389" s="158">
        <f>J2390</f>
        <v>164</v>
      </c>
      <c r="K2389" s="158">
        <f>K2390</f>
        <v>164</v>
      </c>
      <c r="L2389" s="7"/>
      <c r="M2389" s="7"/>
      <c r="N2389" s="7"/>
      <c r="O2389" s="7"/>
      <c r="P2389" s="7"/>
      <c r="Q2389" s="7"/>
      <c r="R2389" s="7"/>
      <c r="S2389" s="7"/>
      <c r="T2389" s="7"/>
      <c r="U2389" s="7"/>
      <c r="V2389" s="7"/>
      <c r="W2389" s="7"/>
    </row>
    <row r="2390" spans="1:23" ht="46.5" x14ac:dyDescent="0.35">
      <c r="A2390" s="251"/>
      <c r="B2390" s="251"/>
      <c r="C2390" s="252"/>
      <c r="D2390" s="253"/>
      <c r="E2390" s="254"/>
      <c r="F2390" s="254"/>
      <c r="G2390" s="251"/>
      <c r="H2390" s="159" t="s">
        <v>705</v>
      </c>
      <c r="I2390" s="158">
        <f>D2389*K2390</f>
        <v>253465.28</v>
      </c>
      <c r="J2390" s="158">
        <f>I2390/D2389</f>
        <v>164</v>
      </c>
      <c r="K2390" s="158">
        <f>151+13</f>
        <v>164</v>
      </c>
      <c r="L2390" s="7"/>
      <c r="M2390" s="7"/>
      <c r="N2390" s="7"/>
      <c r="O2390" s="7"/>
      <c r="P2390" s="7"/>
      <c r="Q2390" s="7"/>
      <c r="R2390" s="7"/>
      <c r="S2390" s="7"/>
      <c r="T2390" s="7"/>
      <c r="U2390" s="7"/>
      <c r="V2390" s="7"/>
      <c r="W2390" s="7"/>
    </row>
    <row r="2391" spans="1:23" ht="15.75" customHeight="1" x14ac:dyDescent="0.35">
      <c r="A2391" s="251">
        <f>A2389+1</f>
        <v>245</v>
      </c>
      <c r="B2391" s="251">
        <v>2454</v>
      </c>
      <c r="C2391" s="252" t="s">
        <v>615</v>
      </c>
      <c r="D2391" s="253">
        <v>3640.78</v>
      </c>
      <c r="E2391" s="254" t="s">
        <v>71</v>
      </c>
      <c r="F2391" s="254">
        <v>5</v>
      </c>
      <c r="G2391" s="251" t="s">
        <v>72</v>
      </c>
      <c r="H2391" s="159" t="s">
        <v>73</v>
      </c>
      <c r="I2391" s="158">
        <f>I2392</f>
        <v>597087.92000000004</v>
      </c>
      <c r="J2391" s="158">
        <f>J2392</f>
        <v>164</v>
      </c>
      <c r="K2391" s="158">
        <f>K2392</f>
        <v>164</v>
      </c>
      <c r="L2391" s="7"/>
      <c r="M2391" s="7"/>
      <c r="N2391" s="7"/>
      <c r="O2391" s="7"/>
      <c r="P2391" s="7"/>
      <c r="Q2391" s="7"/>
      <c r="R2391" s="7"/>
      <c r="S2391" s="7"/>
      <c r="T2391" s="7"/>
      <c r="U2391" s="7"/>
      <c r="V2391" s="7"/>
      <c r="W2391" s="7"/>
    </row>
    <row r="2392" spans="1:23" ht="46.5" x14ac:dyDescent="0.35">
      <c r="A2392" s="251"/>
      <c r="B2392" s="251"/>
      <c r="C2392" s="252"/>
      <c r="D2392" s="253"/>
      <c r="E2392" s="254"/>
      <c r="F2392" s="254"/>
      <c r="G2392" s="251"/>
      <c r="H2392" s="159" t="s">
        <v>705</v>
      </c>
      <c r="I2392" s="158">
        <f>D2391*K2392</f>
        <v>597087.92000000004</v>
      </c>
      <c r="J2392" s="158">
        <f>I2392/D2391</f>
        <v>164</v>
      </c>
      <c r="K2392" s="158">
        <f>151+13</f>
        <v>164</v>
      </c>
      <c r="L2392" s="7"/>
      <c r="M2392" s="7"/>
      <c r="N2392" s="7"/>
      <c r="O2392" s="7"/>
      <c r="P2392" s="7"/>
      <c r="Q2392" s="7"/>
      <c r="R2392" s="7"/>
      <c r="S2392" s="7"/>
      <c r="T2392" s="7"/>
      <c r="U2392" s="7"/>
      <c r="V2392" s="7"/>
      <c r="W2392" s="7"/>
    </row>
    <row r="2393" spans="1:23" ht="15.75" customHeight="1" x14ac:dyDescent="0.35">
      <c r="A2393" s="251">
        <f>A2391+1</f>
        <v>246</v>
      </c>
      <c r="B2393" s="251">
        <v>2455</v>
      </c>
      <c r="C2393" s="252" t="s">
        <v>616</v>
      </c>
      <c r="D2393" s="253">
        <v>2363.5</v>
      </c>
      <c r="E2393" s="254" t="s">
        <v>71</v>
      </c>
      <c r="F2393" s="254">
        <v>5</v>
      </c>
      <c r="G2393" s="251" t="s">
        <v>72</v>
      </c>
      <c r="H2393" s="159" t="s">
        <v>73</v>
      </c>
      <c r="I2393" s="158">
        <f>I2394</f>
        <v>387614</v>
      </c>
      <c r="J2393" s="158">
        <f>J2394</f>
        <v>164</v>
      </c>
      <c r="K2393" s="158">
        <f>K2394</f>
        <v>164</v>
      </c>
      <c r="L2393" s="7"/>
      <c r="M2393" s="7"/>
      <c r="N2393" s="7"/>
      <c r="O2393" s="7"/>
      <c r="P2393" s="7"/>
      <c r="Q2393" s="7"/>
      <c r="R2393" s="7"/>
      <c r="S2393" s="7"/>
      <c r="T2393" s="7"/>
      <c r="U2393" s="7"/>
      <c r="V2393" s="7"/>
      <c r="W2393" s="7"/>
    </row>
    <row r="2394" spans="1:23" ht="46.5" x14ac:dyDescent="0.35">
      <c r="A2394" s="251"/>
      <c r="B2394" s="251"/>
      <c r="C2394" s="252"/>
      <c r="D2394" s="253"/>
      <c r="E2394" s="254"/>
      <c r="F2394" s="254"/>
      <c r="G2394" s="251"/>
      <c r="H2394" s="159" t="s">
        <v>705</v>
      </c>
      <c r="I2394" s="158">
        <f>D2393*K2394</f>
        <v>387614</v>
      </c>
      <c r="J2394" s="158">
        <f>I2394/D2393</f>
        <v>164</v>
      </c>
      <c r="K2394" s="158">
        <f>151+13</f>
        <v>164</v>
      </c>
      <c r="L2394" s="7"/>
      <c r="M2394" s="7"/>
      <c r="N2394" s="7"/>
      <c r="O2394" s="7"/>
      <c r="P2394" s="7"/>
      <c r="Q2394" s="7"/>
      <c r="R2394" s="7"/>
      <c r="S2394" s="7"/>
      <c r="T2394" s="7"/>
      <c r="U2394" s="7"/>
      <c r="V2394" s="7"/>
      <c r="W2394" s="7"/>
    </row>
    <row r="2395" spans="1:23" ht="15.75" customHeight="1" x14ac:dyDescent="0.35">
      <c r="A2395" s="251">
        <f>A2393+1</f>
        <v>247</v>
      </c>
      <c r="B2395" s="251">
        <v>2457</v>
      </c>
      <c r="C2395" s="252" t="s">
        <v>617</v>
      </c>
      <c r="D2395" s="253">
        <v>3026.9</v>
      </c>
      <c r="E2395" s="254" t="s">
        <v>71</v>
      </c>
      <c r="F2395" s="254">
        <v>5</v>
      </c>
      <c r="G2395" s="251" t="s">
        <v>72</v>
      </c>
      <c r="H2395" s="159" t="s">
        <v>73</v>
      </c>
      <c r="I2395" s="158">
        <f>I2396</f>
        <v>496411.6</v>
      </c>
      <c r="J2395" s="158">
        <f>J2396</f>
        <v>164</v>
      </c>
      <c r="K2395" s="158">
        <f>K2396</f>
        <v>164</v>
      </c>
      <c r="L2395" s="7"/>
      <c r="M2395" s="7"/>
      <c r="N2395" s="7"/>
      <c r="O2395" s="7"/>
      <c r="P2395" s="7"/>
      <c r="Q2395" s="7"/>
      <c r="R2395" s="7"/>
      <c r="S2395" s="7"/>
      <c r="T2395" s="7"/>
      <c r="U2395" s="7"/>
      <c r="V2395" s="7"/>
      <c r="W2395" s="7"/>
    </row>
    <row r="2396" spans="1:23" ht="46.5" x14ac:dyDescent="0.35">
      <c r="A2396" s="251"/>
      <c r="B2396" s="251"/>
      <c r="C2396" s="252"/>
      <c r="D2396" s="253"/>
      <c r="E2396" s="254"/>
      <c r="F2396" s="254"/>
      <c r="G2396" s="251"/>
      <c r="H2396" s="159" t="s">
        <v>705</v>
      </c>
      <c r="I2396" s="158">
        <f>D2395*K2396</f>
        <v>496411.6</v>
      </c>
      <c r="J2396" s="158">
        <f>I2396/D2395</f>
        <v>164</v>
      </c>
      <c r="K2396" s="158">
        <f>151+13</f>
        <v>164</v>
      </c>
      <c r="L2396" s="7"/>
      <c r="M2396" s="7"/>
      <c r="N2396" s="7"/>
      <c r="O2396" s="7"/>
      <c r="P2396" s="7"/>
      <c r="Q2396" s="7"/>
      <c r="R2396" s="7"/>
      <c r="S2396" s="7"/>
      <c r="T2396" s="7"/>
      <c r="U2396" s="7"/>
      <c r="V2396" s="7"/>
      <c r="W2396" s="7"/>
    </row>
    <row r="2397" spans="1:23" ht="15.75" customHeight="1" x14ac:dyDescent="0.35">
      <c r="A2397" s="251">
        <f>A2395+1</f>
        <v>248</v>
      </c>
      <c r="B2397" s="251">
        <v>2303</v>
      </c>
      <c r="C2397" s="252" t="s">
        <v>618</v>
      </c>
      <c r="D2397" s="253">
        <v>12308.1</v>
      </c>
      <c r="E2397" s="253" t="s">
        <v>71</v>
      </c>
      <c r="F2397" s="255">
        <v>9</v>
      </c>
      <c r="G2397" s="251" t="s">
        <v>72</v>
      </c>
      <c r="H2397" s="159" t="s">
        <v>73</v>
      </c>
      <c r="I2397" s="158">
        <f>I2398</f>
        <v>782897.74</v>
      </c>
      <c r="J2397" s="158">
        <f>J2398</f>
        <v>63.61</v>
      </c>
      <c r="K2397" s="158">
        <f>K2398</f>
        <v>164</v>
      </c>
      <c r="L2397" s="7"/>
      <c r="M2397" s="7"/>
      <c r="N2397" s="7"/>
      <c r="O2397" s="7"/>
      <c r="P2397" s="7"/>
      <c r="Q2397" s="7"/>
      <c r="R2397" s="7"/>
      <c r="S2397" s="7"/>
      <c r="T2397" s="7"/>
      <c r="U2397" s="7"/>
      <c r="V2397" s="7"/>
      <c r="W2397" s="7"/>
    </row>
    <row r="2398" spans="1:23" ht="46.5" x14ac:dyDescent="0.35">
      <c r="A2398" s="251"/>
      <c r="B2398" s="251"/>
      <c r="C2398" s="252"/>
      <c r="D2398" s="253"/>
      <c r="E2398" s="253"/>
      <c r="F2398" s="255"/>
      <c r="G2398" s="251"/>
      <c r="H2398" s="159" t="s">
        <v>705</v>
      </c>
      <c r="I2398" s="158">
        <f>622892.44+D2397*13</f>
        <v>782897.74</v>
      </c>
      <c r="J2398" s="158">
        <f>I2398/D2397</f>
        <v>63.61</v>
      </c>
      <c r="K2398" s="158">
        <f>151+13</f>
        <v>164</v>
      </c>
      <c r="L2398" s="7"/>
      <c r="M2398" s="7"/>
      <c r="N2398" s="7"/>
      <c r="O2398" s="7"/>
      <c r="P2398" s="7"/>
      <c r="Q2398" s="7"/>
      <c r="R2398" s="7"/>
      <c r="S2398" s="7"/>
      <c r="T2398" s="7"/>
      <c r="U2398" s="7"/>
      <c r="V2398" s="7"/>
      <c r="W2398" s="7"/>
    </row>
    <row r="2399" spans="1:23" x14ac:dyDescent="0.35">
      <c r="A2399" s="251">
        <f>A2397+1</f>
        <v>249</v>
      </c>
      <c r="B2399" s="251">
        <v>2307</v>
      </c>
      <c r="C2399" s="252" t="s">
        <v>428</v>
      </c>
      <c r="D2399" s="253">
        <v>2904.2</v>
      </c>
      <c r="E2399" s="254" t="s">
        <v>71</v>
      </c>
      <c r="F2399" s="254">
        <v>5</v>
      </c>
      <c r="G2399" s="251" t="s">
        <v>72</v>
      </c>
      <c r="H2399" s="159" t="s">
        <v>73</v>
      </c>
      <c r="I2399" s="158">
        <f>I2400+I2401</f>
        <v>5806657.4800000004</v>
      </c>
      <c r="J2399" s="158">
        <f>J2400+J2401</f>
        <v>1999.4</v>
      </c>
      <c r="K2399" s="158">
        <f>K2400+K2401</f>
        <v>2831</v>
      </c>
      <c r="L2399" s="7"/>
      <c r="M2399" s="7"/>
      <c r="N2399" s="7"/>
      <c r="O2399" s="7"/>
      <c r="P2399" s="7"/>
      <c r="Q2399" s="7"/>
      <c r="R2399" s="7"/>
      <c r="S2399" s="7"/>
      <c r="T2399" s="7"/>
      <c r="U2399" s="7"/>
      <c r="V2399" s="7"/>
      <c r="W2399" s="7"/>
    </row>
    <row r="2400" spans="1:23" x14ac:dyDescent="0.35">
      <c r="A2400" s="251">
        <v>77</v>
      </c>
      <c r="B2400" s="251"/>
      <c r="C2400" s="252"/>
      <c r="D2400" s="253"/>
      <c r="E2400" s="254"/>
      <c r="F2400" s="254"/>
      <c r="G2400" s="251"/>
      <c r="H2400" s="159" t="s">
        <v>74</v>
      </c>
      <c r="I2400" s="158">
        <f>K2400*D2399*0.7</f>
        <v>5635309.6799999997</v>
      </c>
      <c r="J2400" s="158">
        <f>I2400/D2399</f>
        <v>1940.4</v>
      </c>
      <c r="K2400" s="158">
        <v>2772</v>
      </c>
      <c r="L2400" s="7"/>
      <c r="M2400" s="7"/>
      <c r="N2400" s="7"/>
      <c r="O2400" s="7"/>
      <c r="P2400" s="7"/>
      <c r="Q2400" s="7"/>
      <c r="R2400" s="7"/>
      <c r="S2400" s="7"/>
      <c r="T2400" s="7"/>
      <c r="U2400" s="7"/>
      <c r="V2400" s="7"/>
      <c r="W2400" s="7"/>
    </row>
    <row r="2401" spans="1:225" x14ac:dyDescent="0.35">
      <c r="A2401" s="251">
        <v>78</v>
      </c>
      <c r="B2401" s="251"/>
      <c r="C2401" s="252"/>
      <c r="D2401" s="253"/>
      <c r="E2401" s="254"/>
      <c r="F2401" s="254"/>
      <c r="G2401" s="251"/>
      <c r="H2401" s="159" t="s">
        <v>76</v>
      </c>
      <c r="I2401" s="158">
        <f>K2401*D2399</f>
        <v>171347.8</v>
      </c>
      <c r="J2401" s="158">
        <f>I2401/D2399</f>
        <v>59</v>
      </c>
      <c r="K2401" s="158">
        <v>59</v>
      </c>
      <c r="L2401" s="7"/>
      <c r="M2401" s="7"/>
      <c r="N2401" s="7"/>
      <c r="O2401" s="7"/>
      <c r="P2401" s="7"/>
      <c r="Q2401" s="7"/>
      <c r="R2401" s="7"/>
      <c r="S2401" s="7"/>
      <c r="T2401" s="7"/>
      <c r="U2401" s="7"/>
      <c r="V2401" s="7"/>
      <c r="W2401" s="7"/>
    </row>
    <row r="2402" spans="1:225" ht="15.75" customHeight="1" x14ac:dyDescent="0.35">
      <c r="A2402" s="251">
        <f>A2399+1</f>
        <v>250</v>
      </c>
      <c r="B2402" s="251">
        <v>2315</v>
      </c>
      <c r="C2402" s="252" t="s">
        <v>152</v>
      </c>
      <c r="D2402" s="253">
        <v>669.5</v>
      </c>
      <c r="E2402" s="254" t="s">
        <v>80</v>
      </c>
      <c r="F2402" s="254">
        <v>2</v>
      </c>
      <c r="G2402" s="251" t="s">
        <v>72</v>
      </c>
      <c r="H2402" s="159" t="s">
        <v>73</v>
      </c>
      <c r="I2402" s="158">
        <f>I2403</f>
        <v>119171</v>
      </c>
      <c r="J2402" s="158">
        <f>J2403</f>
        <v>178</v>
      </c>
      <c r="K2402" s="158">
        <f>K2403</f>
        <v>178</v>
      </c>
      <c r="L2402" s="7"/>
      <c r="M2402" s="7"/>
      <c r="N2402" s="7"/>
      <c r="O2402" s="7"/>
      <c r="P2402" s="7"/>
      <c r="Q2402" s="7"/>
      <c r="R2402" s="7"/>
      <c r="S2402" s="7"/>
      <c r="T2402" s="7"/>
      <c r="U2402" s="7"/>
      <c r="V2402" s="7"/>
      <c r="W2402" s="7"/>
    </row>
    <row r="2403" spans="1:225" ht="46.5" x14ac:dyDescent="0.35">
      <c r="A2403" s="251"/>
      <c r="B2403" s="251"/>
      <c r="C2403" s="252"/>
      <c r="D2403" s="253"/>
      <c r="E2403" s="254"/>
      <c r="F2403" s="254"/>
      <c r="G2403" s="251"/>
      <c r="H2403" s="159" t="s">
        <v>705</v>
      </c>
      <c r="I2403" s="158">
        <f>D2402*K2403</f>
        <v>119171</v>
      </c>
      <c r="J2403" s="158">
        <f>I2403/D2402</f>
        <v>178</v>
      </c>
      <c r="K2403" s="158">
        <f>164+14</f>
        <v>178</v>
      </c>
      <c r="L2403" s="7"/>
      <c r="M2403" s="7"/>
      <c r="N2403" s="7"/>
      <c r="O2403" s="7"/>
      <c r="P2403" s="7"/>
      <c r="Q2403" s="7"/>
      <c r="R2403" s="7"/>
      <c r="S2403" s="7"/>
      <c r="T2403" s="7"/>
      <c r="U2403" s="7"/>
      <c r="V2403" s="7"/>
      <c r="W2403" s="7"/>
    </row>
    <row r="2404" spans="1:225" ht="15.75" customHeight="1" x14ac:dyDescent="0.35">
      <c r="A2404" s="251">
        <f>A2402+1</f>
        <v>251</v>
      </c>
      <c r="B2404" s="251">
        <v>2880</v>
      </c>
      <c r="C2404" s="252" t="s">
        <v>430</v>
      </c>
      <c r="D2404" s="253">
        <v>222.1</v>
      </c>
      <c r="E2404" s="254" t="s">
        <v>665</v>
      </c>
      <c r="F2404" s="254">
        <v>2</v>
      </c>
      <c r="G2404" s="251" t="s">
        <v>72</v>
      </c>
      <c r="H2404" s="159" t="s">
        <v>73</v>
      </c>
      <c r="I2404" s="158">
        <f>I2405+I2406</f>
        <v>1108412.26</v>
      </c>
      <c r="J2404" s="158">
        <f>J2405+J2406</f>
        <v>4990.6000000000004</v>
      </c>
      <c r="K2404" s="158">
        <f>K2405+K2406</f>
        <v>7066</v>
      </c>
      <c r="L2404" s="7"/>
      <c r="M2404" s="7"/>
      <c r="N2404" s="7"/>
      <c r="O2404" s="7"/>
      <c r="P2404" s="7"/>
      <c r="Q2404" s="7"/>
      <c r="R2404" s="7"/>
      <c r="S2404" s="7"/>
      <c r="T2404" s="7"/>
      <c r="U2404" s="7"/>
      <c r="V2404" s="7"/>
      <c r="W2404" s="7"/>
    </row>
    <row r="2405" spans="1:225" x14ac:dyDescent="0.35">
      <c r="A2405" s="251">
        <v>75</v>
      </c>
      <c r="B2405" s="251"/>
      <c r="C2405" s="252"/>
      <c r="D2405" s="253"/>
      <c r="E2405" s="254"/>
      <c r="F2405" s="254"/>
      <c r="G2405" s="251"/>
      <c r="H2405" s="159" t="s">
        <v>74</v>
      </c>
      <c r="I2405" s="158">
        <f>D2404*K2405*0.7</f>
        <v>1075541.46</v>
      </c>
      <c r="J2405" s="158">
        <f>I2405/D2404</f>
        <v>4842.6000000000004</v>
      </c>
      <c r="K2405" s="158">
        <v>6918</v>
      </c>
      <c r="L2405" s="7"/>
      <c r="M2405" s="7"/>
      <c r="N2405" s="7"/>
      <c r="O2405" s="7"/>
      <c r="P2405" s="7"/>
      <c r="Q2405" s="7"/>
      <c r="R2405" s="7"/>
      <c r="S2405" s="7"/>
      <c r="T2405" s="7"/>
      <c r="U2405" s="7"/>
      <c r="V2405" s="7"/>
      <c r="W2405" s="7"/>
    </row>
    <row r="2406" spans="1:225" x14ac:dyDescent="0.35">
      <c r="A2406" s="251"/>
      <c r="B2406" s="251"/>
      <c r="C2406" s="252"/>
      <c r="D2406" s="253"/>
      <c r="E2406" s="254"/>
      <c r="F2406" s="254"/>
      <c r="G2406" s="251"/>
      <c r="H2406" s="159" t="s">
        <v>76</v>
      </c>
      <c r="I2406" s="158">
        <f>D2404*K2406</f>
        <v>32870.800000000003</v>
      </c>
      <c r="J2406" s="158">
        <f>I2406/D2404</f>
        <v>148</v>
      </c>
      <c r="K2406" s="158">
        <v>148</v>
      </c>
      <c r="L2406" s="7"/>
      <c r="M2406" s="7"/>
      <c r="N2406" s="7"/>
      <c r="O2406" s="7"/>
      <c r="P2406" s="7"/>
      <c r="Q2406" s="7"/>
      <c r="R2406" s="7"/>
      <c r="S2406" s="7"/>
      <c r="T2406" s="7"/>
      <c r="U2406" s="7"/>
      <c r="V2406" s="7"/>
      <c r="W2406" s="7"/>
    </row>
    <row r="2407" spans="1:225" ht="15.75" customHeight="1" x14ac:dyDescent="0.35">
      <c r="A2407" s="251">
        <f>A2404+1</f>
        <v>252</v>
      </c>
      <c r="B2407" s="251">
        <v>2911</v>
      </c>
      <c r="C2407" s="252" t="s">
        <v>431</v>
      </c>
      <c r="D2407" s="253">
        <v>170.5</v>
      </c>
      <c r="E2407" s="254" t="s">
        <v>80</v>
      </c>
      <c r="F2407" s="254">
        <v>2</v>
      </c>
      <c r="G2407" s="251" t="s">
        <v>72</v>
      </c>
      <c r="H2407" s="159" t="s">
        <v>73</v>
      </c>
      <c r="I2407" s="158">
        <f>I2408</f>
        <v>353855.7</v>
      </c>
      <c r="J2407" s="158">
        <f>J2408</f>
        <v>2075.4</v>
      </c>
      <c r="K2407" s="158">
        <f>K2408</f>
        <v>6918</v>
      </c>
      <c r="L2407" s="7"/>
      <c r="M2407" s="7"/>
      <c r="N2407" s="7"/>
      <c r="O2407" s="7"/>
      <c r="P2407" s="7"/>
      <c r="Q2407" s="7"/>
      <c r="R2407" s="7"/>
      <c r="S2407" s="7"/>
      <c r="T2407" s="7"/>
      <c r="U2407" s="7"/>
      <c r="V2407" s="7"/>
      <c r="W2407" s="7"/>
    </row>
    <row r="2408" spans="1:225" x14ac:dyDescent="0.35">
      <c r="A2408" s="251">
        <v>75</v>
      </c>
      <c r="B2408" s="251"/>
      <c r="C2408" s="252"/>
      <c r="D2408" s="253"/>
      <c r="E2408" s="254"/>
      <c r="F2408" s="254"/>
      <c r="G2408" s="251"/>
      <c r="H2408" s="159" t="s">
        <v>74</v>
      </c>
      <c r="I2408" s="158">
        <f>D2407*K2408*0.3</f>
        <v>353855.7</v>
      </c>
      <c r="J2408" s="158">
        <f>I2408/D2407</f>
        <v>2075.4</v>
      </c>
      <c r="K2408" s="158">
        <v>6918</v>
      </c>
      <c r="L2408" s="7"/>
      <c r="M2408" s="7"/>
      <c r="N2408" s="7"/>
      <c r="O2408" s="7"/>
      <c r="P2408" s="7"/>
      <c r="Q2408" s="7"/>
      <c r="R2408" s="7"/>
      <c r="S2408" s="7"/>
      <c r="T2408" s="7"/>
      <c r="U2408" s="7"/>
      <c r="V2408" s="7"/>
      <c r="W2408" s="7"/>
    </row>
    <row r="2409" spans="1:225" ht="15.75" customHeight="1" x14ac:dyDescent="0.35">
      <c r="A2409" s="251">
        <f>A2407+1</f>
        <v>253</v>
      </c>
      <c r="B2409" s="251">
        <v>2482</v>
      </c>
      <c r="C2409" s="252" t="s">
        <v>153</v>
      </c>
      <c r="D2409" s="253">
        <v>949.1</v>
      </c>
      <c r="E2409" s="254" t="s">
        <v>80</v>
      </c>
      <c r="F2409" s="254">
        <v>3</v>
      </c>
      <c r="G2409" s="251" t="s">
        <v>72</v>
      </c>
      <c r="H2409" s="159" t="s">
        <v>73</v>
      </c>
      <c r="I2409" s="158">
        <f>I2410</f>
        <v>168939.8</v>
      </c>
      <c r="J2409" s="158">
        <f>J2410</f>
        <v>178</v>
      </c>
      <c r="K2409" s="158">
        <f>K2410</f>
        <v>178</v>
      </c>
      <c r="L2409" s="7"/>
      <c r="M2409" s="7"/>
      <c r="N2409" s="7"/>
      <c r="O2409" s="7"/>
      <c r="P2409" s="7"/>
      <c r="Q2409" s="7"/>
      <c r="R2409" s="7"/>
      <c r="S2409" s="7"/>
      <c r="T2409" s="7"/>
      <c r="U2409" s="7"/>
      <c r="V2409" s="7"/>
      <c r="W2409" s="7"/>
    </row>
    <row r="2410" spans="1:225" ht="46.5" x14ac:dyDescent="0.35">
      <c r="A2410" s="251"/>
      <c r="B2410" s="251"/>
      <c r="C2410" s="252"/>
      <c r="D2410" s="253"/>
      <c r="E2410" s="254"/>
      <c r="F2410" s="254"/>
      <c r="G2410" s="251"/>
      <c r="H2410" s="159" t="s">
        <v>705</v>
      </c>
      <c r="I2410" s="158">
        <f>D2409*K2410</f>
        <v>168939.8</v>
      </c>
      <c r="J2410" s="158">
        <f>I2410/D2409</f>
        <v>178</v>
      </c>
      <c r="K2410" s="158">
        <f>164+14</f>
        <v>178</v>
      </c>
      <c r="L2410" s="7"/>
      <c r="M2410" s="7"/>
      <c r="N2410" s="7"/>
      <c r="O2410" s="7"/>
      <c r="P2410" s="7"/>
      <c r="Q2410" s="7"/>
      <c r="R2410" s="7"/>
      <c r="S2410" s="7"/>
      <c r="T2410" s="7"/>
      <c r="U2410" s="7"/>
      <c r="V2410" s="7"/>
      <c r="W2410" s="7"/>
    </row>
    <row r="2411" spans="1:225" s="92" customFormat="1" x14ac:dyDescent="0.35">
      <c r="A2411" s="153" t="s">
        <v>36</v>
      </c>
      <c r="B2411" s="147"/>
      <c r="C2411" s="73"/>
      <c r="D2411" s="125">
        <f>D2412</f>
        <v>1267</v>
      </c>
      <c r="E2411" s="142"/>
      <c r="F2411" s="142"/>
      <c r="G2411" s="142"/>
      <c r="H2411" s="158"/>
      <c r="I2411" s="158">
        <f>I2412</f>
        <v>207788</v>
      </c>
      <c r="J2411" s="158"/>
      <c r="K2411" s="158"/>
      <c r="L2411" s="9"/>
      <c r="M2411" s="9"/>
      <c r="N2411" s="9"/>
      <c r="O2411" s="9"/>
      <c r="P2411" s="9"/>
      <c r="Q2411" s="9"/>
      <c r="R2411" s="9"/>
      <c r="S2411" s="9"/>
      <c r="T2411" s="9"/>
      <c r="U2411" s="9"/>
      <c r="V2411" s="9"/>
      <c r="W2411" s="9"/>
      <c r="X2411" s="7"/>
      <c r="Y2411" s="7"/>
      <c r="Z2411" s="7"/>
      <c r="AA2411" s="7"/>
      <c r="AB2411" s="7"/>
      <c r="AC2411" s="7"/>
      <c r="AD2411" s="7"/>
      <c r="AE2411" s="7"/>
      <c r="AF2411" s="7"/>
      <c r="AG2411" s="7"/>
      <c r="AH2411" s="7"/>
      <c r="AI2411" s="7"/>
      <c r="AJ2411" s="7"/>
      <c r="AK2411" s="7"/>
      <c r="AL2411" s="7"/>
      <c r="AM2411" s="7"/>
      <c r="AN2411" s="7"/>
      <c r="AO2411" s="7"/>
      <c r="AP2411" s="7"/>
      <c r="AQ2411" s="7"/>
      <c r="AR2411" s="7"/>
      <c r="AS2411" s="7"/>
      <c r="AT2411" s="7"/>
      <c r="AU2411" s="7"/>
      <c r="AV2411" s="7"/>
      <c r="AW2411" s="7"/>
      <c r="AX2411" s="7"/>
      <c r="AY2411" s="7"/>
      <c r="AZ2411" s="7"/>
      <c r="BA2411" s="7"/>
      <c r="BB2411" s="7"/>
      <c r="BC2411" s="7"/>
      <c r="BD2411" s="7"/>
      <c r="BE2411" s="7"/>
      <c r="BF2411" s="7"/>
      <c r="BG2411" s="7"/>
      <c r="BH2411" s="7"/>
      <c r="BI2411" s="7"/>
      <c r="BJ2411" s="7"/>
      <c r="BK2411" s="7"/>
      <c r="BL2411" s="7"/>
      <c r="BM2411" s="7"/>
      <c r="BN2411" s="7"/>
      <c r="BO2411" s="7"/>
      <c r="BP2411" s="7"/>
      <c r="BQ2411" s="7"/>
      <c r="BR2411" s="7"/>
      <c r="BS2411" s="7"/>
      <c r="BT2411" s="7"/>
      <c r="BU2411" s="7"/>
      <c r="BV2411" s="7"/>
      <c r="BW2411" s="7"/>
      <c r="BX2411" s="7"/>
      <c r="BY2411" s="7"/>
      <c r="BZ2411" s="7"/>
      <c r="CA2411" s="7"/>
      <c r="CB2411" s="7"/>
      <c r="CC2411" s="7"/>
      <c r="CD2411" s="7"/>
      <c r="CE2411" s="7"/>
      <c r="CF2411" s="7"/>
      <c r="CG2411" s="7"/>
      <c r="CH2411" s="7"/>
      <c r="CI2411" s="7"/>
      <c r="CJ2411" s="7"/>
      <c r="CK2411" s="7"/>
      <c r="CL2411" s="7"/>
      <c r="CM2411" s="7"/>
      <c r="CN2411" s="7"/>
      <c r="CO2411" s="7"/>
      <c r="CP2411" s="7"/>
      <c r="CQ2411" s="7"/>
      <c r="CR2411" s="7"/>
      <c r="CS2411" s="7"/>
      <c r="CT2411" s="7"/>
      <c r="CU2411" s="7"/>
      <c r="CV2411" s="7"/>
      <c r="CW2411" s="7"/>
      <c r="CX2411" s="7"/>
      <c r="CY2411" s="7"/>
      <c r="CZ2411" s="7"/>
      <c r="DA2411" s="7"/>
      <c r="DB2411" s="7"/>
      <c r="DC2411" s="7"/>
      <c r="DD2411" s="7"/>
      <c r="DE2411" s="7"/>
      <c r="DF2411" s="7"/>
      <c r="DG2411" s="7"/>
      <c r="DH2411" s="7"/>
      <c r="DI2411" s="7"/>
      <c r="DJ2411" s="7"/>
      <c r="DK2411" s="7"/>
      <c r="DL2411" s="7"/>
      <c r="DM2411" s="7"/>
      <c r="DN2411" s="7"/>
      <c r="DO2411" s="7"/>
      <c r="DP2411" s="7"/>
      <c r="DQ2411" s="7"/>
      <c r="DR2411" s="7"/>
      <c r="DS2411" s="7"/>
      <c r="DT2411" s="7"/>
      <c r="DU2411" s="7"/>
      <c r="DV2411" s="7"/>
      <c r="DW2411" s="7"/>
      <c r="DX2411" s="7"/>
      <c r="DY2411" s="7"/>
      <c r="DZ2411" s="7"/>
      <c r="EA2411" s="7"/>
      <c r="EB2411" s="7"/>
      <c r="EC2411" s="7"/>
      <c r="ED2411" s="7"/>
      <c r="EE2411" s="7"/>
      <c r="EF2411" s="7"/>
      <c r="EG2411" s="7"/>
      <c r="EH2411" s="7"/>
      <c r="EI2411" s="7"/>
      <c r="EJ2411" s="7"/>
      <c r="EK2411" s="7"/>
      <c r="EL2411" s="7"/>
      <c r="EM2411" s="7"/>
      <c r="EN2411" s="7"/>
      <c r="EO2411" s="7"/>
      <c r="EP2411" s="7"/>
      <c r="EQ2411" s="7"/>
      <c r="ER2411" s="7"/>
      <c r="ES2411" s="7"/>
      <c r="ET2411" s="7"/>
      <c r="EU2411" s="7"/>
      <c r="EV2411" s="7"/>
      <c r="EW2411" s="7"/>
      <c r="EX2411" s="7"/>
      <c r="EY2411" s="7"/>
      <c r="EZ2411" s="7"/>
      <c r="FA2411" s="7"/>
      <c r="FB2411" s="7"/>
      <c r="FC2411" s="7"/>
      <c r="FD2411" s="7"/>
      <c r="FE2411" s="7"/>
      <c r="FF2411" s="7"/>
      <c r="FG2411" s="7"/>
      <c r="FH2411" s="7"/>
      <c r="FI2411" s="7"/>
      <c r="FJ2411" s="7"/>
      <c r="FK2411" s="7"/>
      <c r="FL2411" s="7"/>
      <c r="FM2411" s="7"/>
      <c r="FN2411" s="7"/>
      <c r="FO2411" s="7"/>
      <c r="FP2411" s="7"/>
      <c r="FQ2411" s="7"/>
      <c r="FR2411" s="7"/>
      <c r="FS2411" s="7"/>
      <c r="FT2411" s="7"/>
      <c r="FU2411" s="7"/>
      <c r="FV2411" s="7"/>
      <c r="FW2411" s="7"/>
      <c r="FX2411" s="7"/>
      <c r="FY2411" s="7"/>
      <c r="FZ2411" s="7"/>
      <c r="GA2411" s="7"/>
      <c r="GB2411" s="7"/>
      <c r="GC2411" s="7"/>
      <c r="GD2411" s="7"/>
      <c r="GE2411" s="7"/>
      <c r="GF2411" s="7"/>
      <c r="GG2411" s="7"/>
      <c r="GH2411" s="7"/>
      <c r="GI2411" s="7"/>
      <c r="GJ2411" s="7"/>
      <c r="GK2411" s="7"/>
      <c r="GL2411" s="7"/>
      <c r="GM2411" s="7"/>
      <c r="GN2411" s="7"/>
      <c r="GO2411" s="7"/>
      <c r="GP2411" s="7"/>
      <c r="GQ2411" s="7"/>
      <c r="GR2411" s="7"/>
      <c r="GS2411" s="7"/>
      <c r="GT2411" s="7"/>
      <c r="GU2411" s="7"/>
      <c r="GV2411" s="7"/>
      <c r="GW2411" s="7"/>
      <c r="GX2411" s="7"/>
      <c r="GY2411" s="7"/>
      <c r="GZ2411" s="7"/>
      <c r="HA2411" s="7"/>
      <c r="HB2411" s="7"/>
      <c r="HC2411" s="7"/>
      <c r="HD2411" s="7"/>
      <c r="HE2411" s="7"/>
      <c r="HF2411" s="7"/>
      <c r="HG2411" s="7"/>
      <c r="HH2411" s="7"/>
      <c r="HI2411" s="7"/>
      <c r="HJ2411" s="7"/>
      <c r="HK2411" s="7"/>
      <c r="HL2411" s="7"/>
      <c r="HM2411" s="7"/>
      <c r="HN2411" s="7"/>
      <c r="HO2411" s="7"/>
      <c r="HP2411" s="29"/>
      <c r="HQ2411" s="29"/>
    </row>
    <row r="2412" spans="1:225" s="92" customFormat="1" ht="15.75" customHeight="1" x14ac:dyDescent="0.3">
      <c r="A2412" s="256">
        <v>1</v>
      </c>
      <c r="B2412" s="256">
        <v>4850</v>
      </c>
      <c r="C2412" s="259" t="s">
        <v>619</v>
      </c>
      <c r="D2412" s="262">
        <v>1267</v>
      </c>
      <c r="E2412" s="265" t="s">
        <v>75</v>
      </c>
      <c r="F2412" s="265">
        <v>3</v>
      </c>
      <c r="G2412" s="256" t="s">
        <v>72</v>
      </c>
      <c r="H2412" s="159" t="s">
        <v>73</v>
      </c>
      <c r="I2412" s="158">
        <f>I2413</f>
        <v>207788</v>
      </c>
      <c r="J2412" s="158">
        <f>J2413</f>
        <v>164</v>
      </c>
      <c r="K2412" s="158">
        <f>K2413</f>
        <v>164</v>
      </c>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1"/>
      <c r="AI2412" s="1"/>
      <c r="AJ2412" s="1"/>
      <c r="AK2412" s="1"/>
      <c r="AL2412" s="1"/>
      <c r="AM2412" s="1"/>
      <c r="AN2412" s="1"/>
      <c r="AO2412" s="1"/>
      <c r="AP2412" s="1"/>
      <c r="AQ2412" s="1"/>
      <c r="AR2412" s="1"/>
      <c r="AS2412" s="1"/>
      <c r="AT2412" s="1"/>
      <c r="AU2412" s="1"/>
      <c r="AV2412" s="1"/>
      <c r="AW2412" s="1"/>
      <c r="AX2412" s="1"/>
      <c r="AY2412" s="1"/>
      <c r="AZ2412" s="1"/>
      <c r="BA2412" s="1"/>
      <c r="BB2412" s="1"/>
      <c r="BC2412" s="1"/>
      <c r="BD2412" s="1"/>
      <c r="BE2412" s="1"/>
      <c r="BF2412" s="1"/>
      <c r="BG2412" s="1"/>
      <c r="BH2412" s="1"/>
      <c r="BI2412" s="1"/>
      <c r="BJ2412" s="1"/>
      <c r="BK2412" s="1"/>
      <c r="BL2412" s="1"/>
      <c r="BM2412" s="1"/>
      <c r="BN2412" s="1"/>
      <c r="BO2412" s="1"/>
      <c r="BP2412" s="1"/>
      <c r="BQ2412" s="1"/>
      <c r="BR2412" s="1"/>
      <c r="BS2412" s="1"/>
      <c r="BT2412" s="1"/>
      <c r="BU2412" s="1"/>
      <c r="BV2412" s="1"/>
      <c r="BW2412" s="1"/>
      <c r="BX2412" s="1"/>
      <c r="BY2412" s="1"/>
      <c r="BZ2412" s="1"/>
      <c r="CA2412" s="1"/>
      <c r="CB2412" s="1"/>
      <c r="CC2412" s="1"/>
      <c r="CD2412" s="1"/>
      <c r="CE2412" s="1"/>
      <c r="CF2412" s="1"/>
      <c r="CG2412" s="1"/>
      <c r="CH2412" s="1"/>
      <c r="CI2412" s="1"/>
      <c r="CJ2412" s="1"/>
      <c r="CK2412" s="1"/>
      <c r="CL2412" s="1"/>
      <c r="CM2412" s="1"/>
      <c r="CN2412" s="1"/>
      <c r="CO2412" s="1"/>
      <c r="CP2412" s="1"/>
      <c r="CQ2412" s="1"/>
      <c r="CR2412" s="1"/>
      <c r="CS2412" s="1"/>
      <c r="CT2412" s="1"/>
      <c r="CU2412" s="1"/>
      <c r="CV2412" s="1"/>
      <c r="CW2412" s="1"/>
      <c r="CX2412" s="1"/>
      <c r="CY2412" s="1"/>
      <c r="CZ2412" s="1"/>
      <c r="DA2412" s="1"/>
      <c r="DB2412" s="1"/>
      <c r="DC2412" s="1"/>
      <c r="DD2412" s="1"/>
      <c r="DE2412" s="1"/>
      <c r="DF2412" s="1"/>
      <c r="DG2412" s="1"/>
      <c r="DH2412" s="1"/>
      <c r="DI2412" s="1"/>
      <c r="DJ2412" s="1"/>
      <c r="DK2412" s="1"/>
      <c r="DL2412" s="1"/>
      <c r="DM2412" s="1"/>
      <c r="DN2412" s="1"/>
      <c r="DO2412" s="1"/>
      <c r="DP2412" s="1"/>
      <c r="DQ2412" s="1"/>
      <c r="DR2412" s="1"/>
      <c r="DS2412" s="1"/>
      <c r="DT2412" s="1"/>
      <c r="DU2412" s="1"/>
      <c r="DV2412" s="1"/>
      <c r="DW2412" s="1"/>
      <c r="DX2412" s="1"/>
      <c r="DY2412" s="1"/>
      <c r="DZ2412" s="1"/>
      <c r="EA2412" s="1"/>
      <c r="EB2412" s="1"/>
      <c r="EC2412" s="1"/>
      <c r="ED2412" s="1"/>
      <c r="EE2412" s="1"/>
      <c r="EF2412" s="1"/>
      <c r="EG2412" s="1"/>
      <c r="EH2412" s="1"/>
      <c r="EI2412" s="1"/>
      <c r="EJ2412" s="1"/>
      <c r="EK2412" s="1"/>
      <c r="EL2412" s="1"/>
      <c r="EM2412" s="1"/>
      <c r="EN2412" s="1"/>
      <c r="EO2412" s="1"/>
      <c r="EP2412" s="1"/>
      <c r="EQ2412" s="1"/>
      <c r="ER2412" s="1"/>
      <c r="ES2412" s="1"/>
      <c r="ET2412" s="1"/>
      <c r="EU2412" s="1"/>
      <c r="EV2412" s="1"/>
      <c r="EW2412" s="1"/>
      <c r="EX2412" s="1"/>
      <c r="EY2412" s="1"/>
      <c r="EZ2412" s="1"/>
      <c r="FA2412" s="1"/>
      <c r="FB2412" s="1"/>
      <c r="FC2412" s="1"/>
      <c r="FD2412" s="1"/>
      <c r="FE2412" s="1"/>
      <c r="FF2412" s="1"/>
      <c r="FG2412" s="1"/>
      <c r="FH2412" s="1"/>
      <c r="FI2412" s="1"/>
      <c r="FJ2412" s="1"/>
      <c r="FK2412" s="1"/>
      <c r="FL2412" s="1"/>
      <c r="FM2412" s="1"/>
      <c r="FN2412" s="1"/>
      <c r="FO2412" s="1"/>
      <c r="FP2412" s="1"/>
      <c r="FQ2412" s="1"/>
      <c r="FR2412" s="1"/>
      <c r="FS2412" s="1"/>
      <c r="FT2412" s="1"/>
      <c r="FU2412" s="1"/>
      <c r="FV2412" s="1"/>
      <c r="FW2412" s="1"/>
      <c r="FX2412" s="1"/>
      <c r="FY2412" s="1"/>
      <c r="FZ2412" s="1"/>
      <c r="GA2412" s="1"/>
      <c r="GB2412" s="1"/>
      <c r="GC2412" s="1"/>
      <c r="GD2412" s="1"/>
      <c r="GE2412" s="1"/>
      <c r="GF2412" s="1"/>
      <c r="GG2412" s="1"/>
      <c r="GH2412" s="1"/>
      <c r="GI2412" s="1"/>
      <c r="GJ2412" s="1"/>
      <c r="GK2412" s="1"/>
      <c r="GL2412" s="1"/>
      <c r="GM2412" s="1"/>
      <c r="GN2412" s="1"/>
      <c r="GO2412" s="1"/>
      <c r="GP2412" s="1"/>
      <c r="GQ2412" s="1"/>
      <c r="GR2412" s="1"/>
      <c r="GS2412" s="1"/>
      <c r="GT2412" s="1"/>
      <c r="GU2412" s="1"/>
      <c r="GV2412" s="1"/>
      <c r="GW2412" s="1"/>
      <c r="GX2412" s="1"/>
      <c r="GY2412" s="1"/>
      <c r="GZ2412" s="1"/>
      <c r="HA2412" s="1"/>
      <c r="HB2412" s="1"/>
      <c r="HC2412" s="1"/>
      <c r="HD2412" s="1"/>
      <c r="HE2412" s="1"/>
      <c r="HF2412" s="1"/>
      <c r="HG2412" s="1"/>
      <c r="HH2412" s="1"/>
      <c r="HI2412" s="1"/>
      <c r="HJ2412" s="1"/>
      <c r="HK2412" s="1"/>
      <c r="HL2412" s="1"/>
      <c r="HM2412" s="1"/>
      <c r="HN2412" s="1"/>
      <c r="HO2412" s="1"/>
      <c r="HP2412" s="1"/>
      <c r="HQ2412" s="1"/>
    </row>
    <row r="2413" spans="1:225" s="92" customFormat="1" ht="46.5" x14ac:dyDescent="0.3">
      <c r="A2413" s="257">
        <v>15</v>
      </c>
      <c r="B2413" s="258"/>
      <c r="C2413" s="260"/>
      <c r="D2413" s="263"/>
      <c r="E2413" s="266"/>
      <c r="F2413" s="266"/>
      <c r="G2413" s="257"/>
      <c r="H2413" s="159" t="s">
        <v>705</v>
      </c>
      <c r="I2413" s="158">
        <f>K2413*D2412</f>
        <v>207788</v>
      </c>
      <c r="J2413" s="158">
        <f>I2413/D2412</f>
        <v>164</v>
      </c>
      <c r="K2413" s="158">
        <f>151+13</f>
        <v>164</v>
      </c>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1"/>
      <c r="AI2413" s="1"/>
      <c r="AJ2413" s="1"/>
      <c r="AK2413" s="1"/>
      <c r="AL2413" s="1"/>
      <c r="AM2413" s="1"/>
      <c r="AN2413" s="1"/>
      <c r="AO2413" s="1"/>
      <c r="AP2413" s="1"/>
      <c r="AQ2413" s="1"/>
      <c r="AR2413" s="1"/>
      <c r="AS2413" s="1"/>
      <c r="AT2413" s="1"/>
      <c r="AU2413" s="1"/>
      <c r="AV2413" s="1"/>
      <c r="AW2413" s="1"/>
      <c r="AX2413" s="1"/>
      <c r="AY2413" s="1"/>
      <c r="AZ2413" s="1"/>
      <c r="BA2413" s="1"/>
      <c r="BB2413" s="1"/>
      <c r="BC2413" s="1"/>
      <c r="BD2413" s="1"/>
      <c r="BE2413" s="1"/>
      <c r="BF2413" s="1"/>
      <c r="BG2413" s="1"/>
      <c r="BH2413" s="1"/>
      <c r="BI2413" s="1"/>
      <c r="BJ2413" s="1"/>
      <c r="BK2413" s="1"/>
      <c r="BL2413" s="1"/>
      <c r="BM2413" s="1"/>
      <c r="BN2413" s="1"/>
      <c r="BO2413" s="1"/>
      <c r="BP2413" s="1"/>
      <c r="BQ2413" s="1"/>
      <c r="BR2413" s="1"/>
      <c r="BS2413" s="1"/>
      <c r="BT2413" s="1"/>
      <c r="BU2413" s="1"/>
      <c r="BV2413" s="1"/>
      <c r="BW2413" s="1"/>
      <c r="BX2413" s="1"/>
      <c r="BY2413" s="1"/>
      <c r="BZ2413" s="1"/>
      <c r="CA2413" s="1"/>
      <c r="CB2413" s="1"/>
      <c r="CC2413" s="1"/>
      <c r="CD2413" s="1"/>
      <c r="CE2413" s="1"/>
      <c r="CF2413" s="1"/>
      <c r="CG2413" s="1"/>
      <c r="CH2413" s="1"/>
      <c r="CI2413" s="1"/>
      <c r="CJ2413" s="1"/>
      <c r="CK2413" s="1"/>
      <c r="CL2413" s="1"/>
      <c r="CM2413" s="1"/>
      <c r="CN2413" s="1"/>
      <c r="CO2413" s="1"/>
      <c r="CP2413" s="1"/>
      <c r="CQ2413" s="1"/>
      <c r="CR2413" s="1"/>
      <c r="CS2413" s="1"/>
      <c r="CT2413" s="1"/>
      <c r="CU2413" s="1"/>
      <c r="CV2413" s="1"/>
      <c r="CW2413" s="1"/>
      <c r="CX2413" s="1"/>
      <c r="CY2413" s="1"/>
      <c r="CZ2413" s="1"/>
      <c r="DA2413" s="1"/>
      <c r="DB2413" s="1"/>
      <c r="DC2413" s="1"/>
      <c r="DD2413" s="1"/>
      <c r="DE2413" s="1"/>
      <c r="DF2413" s="1"/>
      <c r="DG2413" s="1"/>
      <c r="DH2413" s="1"/>
      <c r="DI2413" s="1"/>
      <c r="DJ2413" s="1"/>
      <c r="DK2413" s="1"/>
      <c r="DL2413" s="1"/>
      <c r="DM2413" s="1"/>
      <c r="DN2413" s="1"/>
      <c r="DO2413" s="1"/>
      <c r="DP2413" s="1"/>
      <c r="DQ2413" s="1"/>
      <c r="DR2413" s="1"/>
      <c r="DS2413" s="1"/>
      <c r="DT2413" s="1"/>
      <c r="DU2413" s="1"/>
      <c r="DV2413" s="1"/>
      <c r="DW2413" s="1"/>
      <c r="DX2413" s="1"/>
      <c r="DY2413" s="1"/>
      <c r="DZ2413" s="1"/>
      <c r="EA2413" s="1"/>
      <c r="EB2413" s="1"/>
      <c r="EC2413" s="1"/>
      <c r="ED2413" s="1"/>
      <c r="EE2413" s="1"/>
      <c r="EF2413" s="1"/>
      <c r="EG2413" s="1"/>
      <c r="EH2413" s="1"/>
      <c r="EI2413" s="1"/>
      <c r="EJ2413" s="1"/>
      <c r="EK2413" s="1"/>
      <c r="EL2413" s="1"/>
      <c r="EM2413" s="1"/>
      <c r="EN2413" s="1"/>
      <c r="EO2413" s="1"/>
      <c r="EP2413" s="1"/>
      <c r="EQ2413" s="1"/>
      <c r="ER2413" s="1"/>
      <c r="ES2413" s="1"/>
      <c r="ET2413" s="1"/>
      <c r="EU2413" s="1"/>
      <c r="EV2413" s="1"/>
      <c r="EW2413" s="1"/>
      <c r="EX2413" s="1"/>
      <c r="EY2413" s="1"/>
      <c r="EZ2413" s="1"/>
      <c r="FA2413" s="1"/>
      <c r="FB2413" s="1"/>
      <c r="FC2413" s="1"/>
      <c r="FD2413" s="1"/>
      <c r="FE2413" s="1"/>
      <c r="FF2413" s="1"/>
      <c r="FG2413" s="1"/>
      <c r="FH2413" s="1"/>
      <c r="FI2413" s="1"/>
      <c r="FJ2413" s="1"/>
      <c r="FK2413" s="1"/>
      <c r="FL2413" s="1"/>
      <c r="FM2413" s="1"/>
      <c r="FN2413" s="1"/>
      <c r="FO2413" s="1"/>
      <c r="FP2413" s="1"/>
      <c r="FQ2413" s="1"/>
      <c r="FR2413" s="1"/>
      <c r="FS2413" s="1"/>
      <c r="FT2413" s="1"/>
      <c r="FU2413" s="1"/>
      <c r="FV2413" s="1"/>
      <c r="FW2413" s="1"/>
      <c r="FX2413" s="1"/>
      <c r="FY2413" s="1"/>
      <c r="FZ2413" s="1"/>
      <c r="GA2413" s="1"/>
      <c r="GB2413" s="1"/>
      <c r="GC2413" s="1"/>
      <c r="GD2413" s="1"/>
      <c r="GE2413" s="1"/>
      <c r="GF2413" s="1"/>
      <c r="GG2413" s="1"/>
      <c r="GH2413" s="1"/>
      <c r="GI2413" s="1"/>
      <c r="GJ2413" s="1"/>
      <c r="GK2413" s="1"/>
      <c r="GL2413" s="1"/>
      <c r="GM2413" s="1"/>
      <c r="GN2413" s="1"/>
      <c r="GO2413" s="1"/>
      <c r="GP2413" s="1"/>
      <c r="GQ2413" s="1"/>
      <c r="GR2413" s="1"/>
      <c r="GS2413" s="1"/>
      <c r="GT2413" s="1"/>
      <c r="GU2413" s="1"/>
      <c r="GV2413" s="1"/>
      <c r="GW2413" s="1"/>
      <c r="GX2413" s="1"/>
      <c r="GY2413" s="1"/>
      <c r="GZ2413" s="1"/>
      <c r="HA2413" s="1"/>
      <c r="HB2413" s="1"/>
      <c r="HC2413" s="1"/>
      <c r="HD2413" s="1"/>
      <c r="HE2413" s="1"/>
      <c r="HF2413" s="1"/>
      <c r="HG2413" s="1"/>
      <c r="HH2413" s="1"/>
      <c r="HI2413" s="1"/>
      <c r="HJ2413" s="1"/>
      <c r="HK2413" s="1"/>
      <c r="HL2413" s="1"/>
      <c r="HM2413" s="1"/>
      <c r="HN2413" s="1"/>
      <c r="HO2413" s="1"/>
      <c r="HP2413" s="1"/>
      <c r="HQ2413" s="1"/>
    </row>
    <row r="2414" spans="1:225" s="92" customFormat="1" x14ac:dyDescent="0.35">
      <c r="A2414" s="153" t="s">
        <v>37</v>
      </c>
      <c r="B2414" s="147"/>
      <c r="C2414" s="73"/>
      <c r="D2414" s="142">
        <f>D2415+D2418+D2421</f>
        <v>1135.81</v>
      </c>
      <c r="E2414" s="142"/>
      <c r="F2414" s="51"/>
      <c r="G2414" s="125"/>
      <c r="H2414" s="162"/>
      <c r="I2414" s="158">
        <f>I2415+I2418+I2421</f>
        <v>3360938.28</v>
      </c>
      <c r="J2414" s="158"/>
      <c r="K2414" s="158"/>
      <c r="L2414" s="9"/>
      <c r="M2414" s="9"/>
      <c r="N2414" s="9"/>
      <c r="O2414" s="9"/>
      <c r="P2414" s="9"/>
      <c r="Q2414" s="9"/>
      <c r="R2414" s="9"/>
      <c r="S2414" s="9"/>
      <c r="T2414" s="9"/>
      <c r="U2414" s="9"/>
      <c r="V2414" s="9"/>
      <c r="W2414" s="9"/>
      <c r="X2414" s="7"/>
      <c r="Y2414" s="7"/>
      <c r="Z2414" s="7"/>
      <c r="AA2414" s="7"/>
      <c r="AB2414" s="7"/>
      <c r="AC2414" s="7"/>
      <c r="AD2414" s="7"/>
      <c r="AE2414" s="7"/>
      <c r="AF2414" s="7"/>
      <c r="AG2414" s="7"/>
      <c r="AH2414" s="7"/>
      <c r="AI2414" s="7"/>
      <c r="AJ2414" s="7"/>
      <c r="AK2414" s="7"/>
      <c r="AL2414" s="7"/>
      <c r="AM2414" s="7"/>
      <c r="AN2414" s="7"/>
      <c r="AO2414" s="7"/>
      <c r="AP2414" s="7"/>
      <c r="AQ2414" s="7"/>
      <c r="AR2414" s="7"/>
      <c r="AS2414" s="7"/>
      <c r="AT2414" s="7"/>
      <c r="AU2414" s="7"/>
      <c r="AV2414" s="7"/>
      <c r="AW2414" s="7"/>
      <c r="AX2414" s="7"/>
      <c r="AY2414" s="7"/>
      <c r="AZ2414" s="7"/>
      <c r="BA2414" s="7"/>
      <c r="BB2414" s="7"/>
      <c r="BC2414" s="7"/>
      <c r="BD2414" s="7"/>
      <c r="BE2414" s="7"/>
      <c r="BF2414" s="7"/>
      <c r="BG2414" s="7"/>
      <c r="BH2414" s="7"/>
      <c r="BI2414" s="7"/>
      <c r="BJ2414" s="7"/>
      <c r="BK2414" s="7"/>
      <c r="BL2414" s="7"/>
      <c r="BM2414" s="7"/>
      <c r="BN2414" s="7"/>
      <c r="BO2414" s="7"/>
      <c r="BP2414" s="7"/>
      <c r="BQ2414" s="7"/>
      <c r="BR2414" s="7"/>
      <c r="BS2414" s="7"/>
      <c r="BT2414" s="7"/>
      <c r="BU2414" s="7"/>
      <c r="BV2414" s="7"/>
      <c r="BW2414" s="7"/>
      <c r="BX2414" s="7"/>
      <c r="BY2414" s="7"/>
      <c r="BZ2414" s="7"/>
      <c r="CA2414" s="7"/>
      <c r="CB2414" s="7"/>
      <c r="CC2414" s="7"/>
      <c r="CD2414" s="7"/>
      <c r="CE2414" s="7"/>
      <c r="CF2414" s="7"/>
      <c r="CG2414" s="7"/>
      <c r="CH2414" s="7"/>
      <c r="CI2414" s="7"/>
      <c r="CJ2414" s="7"/>
      <c r="CK2414" s="7"/>
      <c r="CL2414" s="7"/>
      <c r="CM2414" s="7"/>
      <c r="CN2414" s="7"/>
      <c r="CO2414" s="7"/>
      <c r="CP2414" s="7"/>
      <c r="CQ2414" s="7"/>
      <c r="CR2414" s="7"/>
      <c r="CS2414" s="7"/>
      <c r="CT2414" s="7"/>
      <c r="CU2414" s="7"/>
      <c r="CV2414" s="7"/>
      <c r="CW2414" s="7"/>
      <c r="CX2414" s="7"/>
      <c r="CY2414" s="7"/>
      <c r="CZ2414" s="7"/>
      <c r="DA2414" s="7"/>
      <c r="DB2414" s="7"/>
      <c r="DC2414" s="7"/>
      <c r="DD2414" s="7"/>
      <c r="DE2414" s="7"/>
      <c r="DF2414" s="7"/>
      <c r="DG2414" s="7"/>
      <c r="DH2414" s="7"/>
      <c r="DI2414" s="7"/>
      <c r="DJ2414" s="7"/>
      <c r="DK2414" s="7"/>
      <c r="DL2414" s="7"/>
      <c r="DM2414" s="7"/>
      <c r="DN2414" s="7"/>
      <c r="DO2414" s="7"/>
      <c r="DP2414" s="7"/>
      <c r="DQ2414" s="7"/>
      <c r="DR2414" s="7"/>
      <c r="DS2414" s="7"/>
      <c r="DT2414" s="7"/>
      <c r="DU2414" s="7"/>
      <c r="DV2414" s="7"/>
      <c r="DW2414" s="7"/>
      <c r="DX2414" s="7"/>
      <c r="DY2414" s="7"/>
      <c r="DZ2414" s="7"/>
      <c r="EA2414" s="7"/>
      <c r="EB2414" s="7"/>
      <c r="EC2414" s="7"/>
      <c r="ED2414" s="7"/>
      <c r="EE2414" s="7"/>
      <c r="EF2414" s="7"/>
      <c r="EG2414" s="7"/>
      <c r="EH2414" s="7"/>
      <c r="EI2414" s="7"/>
      <c r="EJ2414" s="7"/>
      <c r="EK2414" s="7"/>
      <c r="EL2414" s="7"/>
      <c r="EM2414" s="7"/>
      <c r="EN2414" s="7"/>
      <c r="EO2414" s="7"/>
      <c r="EP2414" s="7"/>
      <c r="EQ2414" s="7"/>
      <c r="ER2414" s="7"/>
      <c r="ES2414" s="7"/>
      <c r="ET2414" s="7"/>
      <c r="EU2414" s="7"/>
      <c r="EV2414" s="7"/>
      <c r="EW2414" s="7"/>
      <c r="EX2414" s="7"/>
      <c r="EY2414" s="7"/>
      <c r="EZ2414" s="7"/>
      <c r="FA2414" s="7"/>
      <c r="FB2414" s="7"/>
      <c r="FC2414" s="7"/>
      <c r="FD2414" s="7"/>
      <c r="FE2414" s="7"/>
      <c r="FF2414" s="7"/>
      <c r="FG2414" s="7"/>
      <c r="FH2414" s="7"/>
      <c r="FI2414" s="7"/>
      <c r="FJ2414" s="7"/>
      <c r="FK2414" s="7"/>
      <c r="FL2414" s="7"/>
      <c r="FM2414" s="7"/>
      <c r="FN2414" s="7"/>
      <c r="FO2414" s="7"/>
      <c r="FP2414" s="7"/>
      <c r="FQ2414" s="7"/>
      <c r="FR2414" s="7"/>
      <c r="FS2414" s="7"/>
      <c r="FT2414" s="7"/>
      <c r="FU2414" s="7"/>
      <c r="FV2414" s="7"/>
      <c r="FW2414" s="7"/>
      <c r="FX2414" s="7"/>
      <c r="FY2414" s="7"/>
      <c r="FZ2414" s="7"/>
      <c r="GA2414" s="7"/>
      <c r="GB2414" s="7"/>
      <c r="GC2414" s="7"/>
      <c r="GD2414" s="7"/>
      <c r="GE2414" s="7"/>
      <c r="GF2414" s="7"/>
      <c r="GG2414" s="7"/>
      <c r="GH2414" s="7"/>
      <c r="GI2414" s="7"/>
      <c r="GJ2414" s="7"/>
      <c r="GK2414" s="7"/>
      <c r="GL2414" s="7"/>
      <c r="GM2414" s="7"/>
      <c r="GN2414" s="7"/>
      <c r="GO2414" s="7"/>
      <c r="GP2414" s="7"/>
      <c r="GQ2414" s="7"/>
      <c r="GR2414" s="7"/>
      <c r="GS2414" s="7"/>
      <c r="GT2414" s="7"/>
      <c r="GU2414" s="7"/>
      <c r="GV2414" s="7"/>
      <c r="GW2414" s="7"/>
      <c r="GX2414" s="7"/>
      <c r="GY2414" s="7"/>
      <c r="GZ2414" s="7"/>
      <c r="HA2414" s="7"/>
      <c r="HB2414" s="7"/>
      <c r="HC2414" s="7"/>
      <c r="HD2414" s="7"/>
      <c r="HE2414" s="7"/>
      <c r="HF2414" s="7"/>
      <c r="HG2414" s="7"/>
      <c r="HH2414" s="7"/>
      <c r="HI2414" s="7"/>
      <c r="HJ2414" s="7"/>
      <c r="HK2414" s="7"/>
      <c r="HL2414" s="7"/>
      <c r="HM2414" s="7"/>
      <c r="HN2414" s="7"/>
      <c r="HO2414" s="7"/>
      <c r="HP2414" s="1"/>
      <c r="HQ2414" s="1"/>
    </row>
    <row r="2415" spans="1:225" ht="15.75" customHeight="1" x14ac:dyDescent="0.35">
      <c r="A2415" s="324">
        <v>1</v>
      </c>
      <c r="B2415" s="310">
        <v>7336</v>
      </c>
      <c r="C2415" s="319" t="s">
        <v>725</v>
      </c>
      <c r="D2415" s="262">
        <v>288.99</v>
      </c>
      <c r="E2415" s="262" t="s">
        <v>665</v>
      </c>
      <c r="F2415" s="265">
        <v>2</v>
      </c>
      <c r="G2415" s="256" t="s">
        <v>85</v>
      </c>
      <c r="H2415" s="159" t="s">
        <v>704</v>
      </c>
      <c r="I2415" s="158">
        <f>I2416+I2417</f>
        <v>116751.96</v>
      </c>
      <c r="J2415" s="158">
        <f>J2416+J2417</f>
        <v>404</v>
      </c>
      <c r="K2415" s="158">
        <f>K2416+K2417</f>
        <v>404</v>
      </c>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1"/>
      <c r="AI2415" s="1"/>
      <c r="AJ2415" s="1"/>
      <c r="AK2415" s="1"/>
      <c r="AL2415" s="1"/>
      <c r="AM2415" s="1"/>
      <c r="AN2415" s="1"/>
      <c r="AO2415" s="1"/>
      <c r="AP2415" s="1"/>
      <c r="AQ2415" s="1"/>
      <c r="AR2415" s="1"/>
      <c r="AS2415" s="1"/>
      <c r="AT2415" s="1"/>
      <c r="AU2415" s="1"/>
      <c r="AV2415" s="1"/>
      <c r="AW2415" s="1"/>
      <c r="AX2415" s="1"/>
      <c r="AY2415" s="1"/>
      <c r="AZ2415" s="1"/>
      <c r="BA2415" s="1"/>
      <c r="BB2415" s="1"/>
      <c r="BC2415" s="1"/>
      <c r="BD2415" s="1"/>
      <c r="BE2415" s="1"/>
      <c r="BF2415" s="1"/>
      <c r="BG2415" s="1"/>
      <c r="BH2415" s="1"/>
      <c r="BI2415" s="1"/>
      <c r="BJ2415" s="1"/>
      <c r="BK2415" s="1"/>
      <c r="BL2415" s="1"/>
      <c r="BM2415" s="1"/>
      <c r="BN2415" s="1"/>
      <c r="BO2415" s="1"/>
      <c r="BP2415" s="1"/>
      <c r="BQ2415" s="1"/>
      <c r="BR2415" s="1"/>
      <c r="BS2415" s="1"/>
      <c r="BT2415" s="1"/>
      <c r="BU2415" s="1"/>
      <c r="BV2415" s="1"/>
      <c r="BW2415" s="1"/>
      <c r="BX2415" s="1"/>
      <c r="BY2415" s="1"/>
      <c r="BZ2415" s="1"/>
      <c r="CA2415" s="1"/>
      <c r="CB2415" s="1"/>
      <c r="CC2415" s="1"/>
      <c r="CD2415" s="1"/>
      <c r="CE2415" s="1"/>
      <c r="CF2415" s="1"/>
      <c r="CG2415" s="1"/>
      <c r="CH2415" s="1"/>
      <c r="CI2415" s="1"/>
      <c r="CJ2415" s="1"/>
      <c r="CK2415" s="1"/>
      <c r="CL2415" s="1"/>
      <c r="CM2415" s="1"/>
      <c r="CN2415" s="1"/>
      <c r="CO2415" s="1"/>
      <c r="CP2415" s="1"/>
      <c r="CQ2415" s="1"/>
      <c r="CR2415" s="1"/>
      <c r="CS2415" s="1"/>
      <c r="CT2415" s="1"/>
      <c r="CU2415" s="1"/>
      <c r="CV2415" s="1"/>
      <c r="CW2415" s="1"/>
      <c r="CX2415" s="1"/>
      <c r="CY2415" s="1"/>
      <c r="CZ2415" s="1"/>
      <c r="DA2415" s="1"/>
      <c r="DB2415" s="1"/>
      <c r="DC2415" s="1"/>
      <c r="DD2415" s="1"/>
      <c r="DE2415" s="1"/>
      <c r="DF2415" s="1"/>
      <c r="DG2415" s="1"/>
      <c r="DH2415" s="1"/>
      <c r="DI2415" s="1"/>
      <c r="DJ2415" s="1"/>
      <c r="DK2415" s="1"/>
      <c r="DL2415" s="1"/>
      <c r="DM2415" s="1"/>
      <c r="DN2415" s="1"/>
      <c r="DO2415" s="1"/>
      <c r="DP2415" s="1"/>
      <c r="DQ2415" s="1"/>
      <c r="DR2415" s="1"/>
      <c r="DS2415" s="1"/>
      <c r="DT2415" s="1"/>
      <c r="DU2415" s="1"/>
      <c r="DV2415" s="1"/>
      <c r="DW2415" s="1"/>
      <c r="DX2415" s="1"/>
      <c r="DY2415" s="1"/>
      <c r="DZ2415" s="1"/>
      <c r="EA2415" s="1"/>
      <c r="EB2415" s="1"/>
      <c r="EC2415" s="1"/>
      <c r="ED2415" s="1"/>
      <c r="EE2415" s="1"/>
      <c r="EF2415" s="1"/>
      <c r="EG2415" s="1"/>
      <c r="EH2415" s="1"/>
      <c r="EI2415" s="1"/>
      <c r="EJ2415" s="1"/>
      <c r="EK2415" s="1"/>
      <c r="EL2415" s="1"/>
      <c r="EM2415" s="1"/>
      <c r="EN2415" s="1"/>
      <c r="EO2415" s="1"/>
      <c r="EP2415" s="1"/>
      <c r="EQ2415" s="1"/>
      <c r="ER2415" s="1"/>
      <c r="ES2415" s="1"/>
      <c r="ET2415" s="1"/>
      <c r="EU2415" s="1"/>
      <c r="EV2415" s="1"/>
      <c r="EW2415" s="1"/>
      <c r="EX2415" s="1"/>
      <c r="EY2415" s="1"/>
      <c r="EZ2415" s="1"/>
      <c r="FA2415" s="1"/>
      <c r="FB2415" s="1"/>
      <c r="FC2415" s="1"/>
      <c r="FD2415" s="1"/>
      <c r="FE2415" s="1"/>
      <c r="FF2415" s="1"/>
      <c r="FG2415" s="1"/>
      <c r="FH2415" s="1"/>
      <c r="FI2415" s="1"/>
      <c r="FJ2415" s="1"/>
      <c r="FK2415" s="1"/>
      <c r="FL2415" s="1"/>
      <c r="FM2415" s="1"/>
      <c r="FN2415" s="1"/>
      <c r="FO2415" s="1"/>
      <c r="FP2415" s="1"/>
      <c r="FQ2415" s="1"/>
      <c r="FR2415" s="1"/>
      <c r="FS2415" s="1"/>
      <c r="FT2415" s="1"/>
      <c r="FU2415" s="1"/>
      <c r="FV2415" s="1"/>
      <c r="FW2415" s="1"/>
      <c r="FX2415" s="1"/>
      <c r="FY2415" s="1"/>
      <c r="FZ2415" s="1"/>
      <c r="GA2415" s="1"/>
      <c r="GB2415" s="1"/>
      <c r="GC2415" s="1"/>
      <c r="GD2415" s="1"/>
      <c r="GE2415" s="1"/>
      <c r="GF2415" s="1"/>
      <c r="GG2415" s="1"/>
      <c r="GH2415" s="1"/>
      <c r="GI2415" s="1"/>
      <c r="GJ2415" s="1"/>
      <c r="GK2415" s="1"/>
      <c r="GL2415" s="1"/>
      <c r="GM2415" s="1"/>
      <c r="GN2415" s="1"/>
      <c r="GO2415" s="1"/>
      <c r="GP2415" s="1"/>
      <c r="GQ2415" s="1"/>
      <c r="GR2415" s="1"/>
      <c r="GS2415" s="1"/>
      <c r="GT2415" s="1"/>
      <c r="GU2415" s="1"/>
      <c r="GV2415" s="1"/>
      <c r="GW2415" s="1"/>
      <c r="GX2415" s="1"/>
      <c r="GY2415" s="1"/>
      <c r="GZ2415" s="1"/>
      <c r="HA2415" s="1"/>
      <c r="HB2415" s="1"/>
      <c r="HC2415" s="1"/>
      <c r="HD2415" s="1"/>
      <c r="HE2415" s="1"/>
      <c r="HF2415" s="1"/>
      <c r="HG2415" s="1"/>
      <c r="HH2415" s="1"/>
      <c r="HI2415" s="1"/>
      <c r="HJ2415" s="1"/>
      <c r="HK2415" s="1"/>
      <c r="HL2415" s="1"/>
      <c r="HM2415" s="1"/>
      <c r="HN2415" s="1"/>
      <c r="HO2415" s="1"/>
      <c r="HP2415" s="1"/>
      <c r="HQ2415" s="1"/>
    </row>
    <row r="2416" spans="1:225" ht="46.5" x14ac:dyDescent="0.35">
      <c r="A2416" s="324"/>
      <c r="B2416" s="311"/>
      <c r="C2416" s="320"/>
      <c r="D2416" s="263"/>
      <c r="E2416" s="263"/>
      <c r="F2416" s="266"/>
      <c r="G2416" s="257"/>
      <c r="H2416" s="159" t="s">
        <v>705</v>
      </c>
      <c r="I2416" s="158">
        <f>D2415*K2416</f>
        <v>65889.72</v>
      </c>
      <c r="J2416" s="158">
        <f>I2416/D2415</f>
        <v>228</v>
      </c>
      <c r="K2416" s="158">
        <f>210+18</f>
        <v>228</v>
      </c>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1"/>
      <c r="AI2416" s="1"/>
      <c r="AJ2416" s="1"/>
      <c r="AK2416" s="1"/>
      <c r="AL2416" s="1"/>
      <c r="AM2416" s="1"/>
      <c r="AN2416" s="1"/>
      <c r="AO2416" s="1"/>
      <c r="AP2416" s="1"/>
      <c r="AQ2416" s="1"/>
      <c r="AR2416" s="1"/>
      <c r="AS2416" s="1"/>
      <c r="AT2416" s="1"/>
      <c r="AU2416" s="1"/>
      <c r="AV2416" s="1"/>
      <c r="AW2416" s="1"/>
      <c r="AX2416" s="1"/>
      <c r="AY2416" s="1"/>
      <c r="AZ2416" s="1"/>
      <c r="BA2416" s="1"/>
      <c r="BB2416" s="1"/>
      <c r="BC2416" s="1"/>
      <c r="BD2416" s="1"/>
      <c r="BE2416" s="1"/>
      <c r="BF2416" s="1"/>
      <c r="BG2416" s="1"/>
      <c r="BH2416" s="1"/>
      <c r="BI2416" s="1"/>
      <c r="BJ2416" s="1"/>
      <c r="BK2416" s="1"/>
      <c r="BL2416" s="1"/>
      <c r="BM2416" s="1"/>
      <c r="BN2416" s="1"/>
      <c r="BO2416" s="1"/>
      <c r="BP2416" s="1"/>
      <c r="BQ2416" s="1"/>
      <c r="BR2416" s="1"/>
      <c r="BS2416" s="1"/>
      <c r="BT2416" s="1"/>
      <c r="BU2416" s="1"/>
      <c r="BV2416" s="1"/>
      <c r="BW2416" s="1"/>
      <c r="BX2416" s="1"/>
      <c r="BY2416" s="1"/>
      <c r="BZ2416" s="1"/>
      <c r="CA2416" s="1"/>
      <c r="CB2416" s="1"/>
      <c r="CC2416" s="1"/>
      <c r="CD2416" s="1"/>
      <c r="CE2416" s="1"/>
      <c r="CF2416" s="1"/>
      <c r="CG2416" s="1"/>
      <c r="CH2416" s="1"/>
      <c r="CI2416" s="1"/>
      <c r="CJ2416" s="1"/>
      <c r="CK2416" s="1"/>
      <c r="CL2416" s="1"/>
      <c r="CM2416" s="1"/>
      <c r="CN2416" s="1"/>
      <c r="CO2416" s="1"/>
      <c r="CP2416" s="1"/>
      <c r="CQ2416" s="1"/>
      <c r="CR2416" s="1"/>
      <c r="CS2416" s="1"/>
      <c r="CT2416" s="1"/>
      <c r="CU2416" s="1"/>
      <c r="CV2416" s="1"/>
      <c r="CW2416" s="1"/>
      <c r="CX2416" s="1"/>
      <c r="CY2416" s="1"/>
      <c r="CZ2416" s="1"/>
      <c r="DA2416" s="1"/>
      <c r="DB2416" s="1"/>
      <c r="DC2416" s="1"/>
      <c r="DD2416" s="1"/>
      <c r="DE2416" s="1"/>
      <c r="DF2416" s="1"/>
      <c r="DG2416" s="1"/>
      <c r="DH2416" s="1"/>
      <c r="DI2416" s="1"/>
      <c r="DJ2416" s="1"/>
      <c r="DK2416" s="1"/>
      <c r="DL2416" s="1"/>
      <c r="DM2416" s="1"/>
      <c r="DN2416" s="1"/>
      <c r="DO2416" s="1"/>
      <c r="DP2416" s="1"/>
      <c r="DQ2416" s="1"/>
      <c r="DR2416" s="1"/>
      <c r="DS2416" s="1"/>
      <c r="DT2416" s="1"/>
      <c r="DU2416" s="1"/>
      <c r="DV2416" s="1"/>
      <c r="DW2416" s="1"/>
      <c r="DX2416" s="1"/>
      <c r="DY2416" s="1"/>
      <c r="DZ2416" s="1"/>
      <c r="EA2416" s="1"/>
      <c r="EB2416" s="1"/>
      <c r="EC2416" s="1"/>
      <c r="ED2416" s="1"/>
      <c r="EE2416" s="1"/>
      <c r="EF2416" s="1"/>
      <c r="EG2416" s="1"/>
      <c r="EH2416" s="1"/>
      <c r="EI2416" s="1"/>
      <c r="EJ2416" s="1"/>
      <c r="EK2416" s="1"/>
      <c r="EL2416" s="1"/>
      <c r="EM2416" s="1"/>
      <c r="EN2416" s="1"/>
      <c r="EO2416" s="1"/>
      <c r="EP2416" s="1"/>
      <c r="EQ2416" s="1"/>
      <c r="ER2416" s="1"/>
      <c r="ES2416" s="1"/>
      <c r="ET2416" s="1"/>
      <c r="EU2416" s="1"/>
      <c r="EV2416" s="1"/>
      <c r="EW2416" s="1"/>
      <c r="EX2416" s="1"/>
      <c r="EY2416" s="1"/>
      <c r="EZ2416" s="1"/>
      <c r="FA2416" s="1"/>
      <c r="FB2416" s="1"/>
      <c r="FC2416" s="1"/>
      <c r="FD2416" s="1"/>
      <c r="FE2416" s="1"/>
      <c r="FF2416" s="1"/>
      <c r="FG2416" s="1"/>
      <c r="FH2416" s="1"/>
      <c r="FI2416" s="1"/>
      <c r="FJ2416" s="1"/>
      <c r="FK2416" s="1"/>
      <c r="FL2416" s="1"/>
      <c r="FM2416" s="1"/>
      <c r="FN2416" s="1"/>
      <c r="FO2416" s="1"/>
      <c r="FP2416" s="1"/>
      <c r="FQ2416" s="1"/>
      <c r="FR2416" s="1"/>
      <c r="FS2416" s="1"/>
      <c r="FT2416" s="1"/>
      <c r="FU2416" s="1"/>
      <c r="FV2416" s="1"/>
      <c r="FW2416" s="1"/>
      <c r="FX2416" s="1"/>
      <c r="FY2416" s="1"/>
      <c r="FZ2416" s="1"/>
      <c r="GA2416" s="1"/>
      <c r="GB2416" s="1"/>
      <c r="GC2416" s="1"/>
      <c r="GD2416" s="1"/>
      <c r="GE2416" s="1"/>
      <c r="GF2416" s="1"/>
      <c r="GG2416" s="1"/>
      <c r="GH2416" s="1"/>
      <c r="GI2416" s="1"/>
      <c r="GJ2416" s="1"/>
      <c r="GK2416" s="1"/>
      <c r="GL2416" s="1"/>
      <c r="GM2416" s="1"/>
      <c r="GN2416" s="1"/>
      <c r="GO2416" s="1"/>
      <c r="GP2416" s="1"/>
      <c r="GQ2416" s="1"/>
      <c r="GR2416" s="1"/>
      <c r="GS2416" s="1"/>
      <c r="GT2416" s="1"/>
      <c r="GU2416" s="1"/>
      <c r="GV2416" s="1"/>
      <c r="GW2416" s="1"/>
      <c r="GX2416" s="1"/>
      <c r="GY2416" s="1"/>
      <c r="GZ2416" s="1"/>
      <c r="HA2416" s="1"/>
      <c r="HB2416" s="1"/>
      <c r="HC2416" s="1"/>
      <c r="HD2416" s="1"/>
      <c r="HE2416" s="1"/>
      <c r="HF2416" s="1"/>
      <c r="HG2416" s="1"/>
      <c r="HH2416" s="1"/>
      <c r="HI2416" s="1"/>
      <c r="HJ2416" s="1"/>
      <c r="HK2416" s="1"/>
      <c r="HL2416" s="1"/>
      <c r="HM2416" s="1"/>
      <c r="HN2416" s="1"/>
      <c r="HO2416" s="1"/>
      <c r="HP2416" s="1"/>
      <c r="HQ2416" s="1"/>
    </row>
    <row r="2417" spans="1:225" ht="46.5" x14ac:dyDescent="0.35">
      <c r="A2417" s="324">
        <v>2232.3333333333298</v>
      </c>
      <c r="B2417" s="312"/>
      <c r="C2417" s="320"/>
      <c r="D2417" s="263"/>
      <c r="E2417" s="263"/>
      <c r="F2417" s="266"/>
      <c r="G2417" s="257"/>
      <c r="H2417" s="159" t="s">
        <v>706</v>
      </c>
      <c r="I2417" s="158">
        <f>D2415*K2417</f>
        <v>50862.239999999998</v>
      </c>
      <c r="J2417" s="158">
        <f>I2417/D2415</f>
        <v>176</v>
      </c>
      <c r="K2417" s="158">
        <f>162+14</f>
        <v>176</v>
      </c>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1"/>
      <c r="AI2417" s="1"/>
      <c r="AJ2417" s="1"/>
      <c r="AK2417" s="1"/>
      <c r="AL2417" s="1"/>
      <c r="AM2417" s="1"/>
      <c r="AN2417" s="1"/>
      <c r="AO2417" s="1"/>
      <c r="AP2417" s="1"/>
      <c r="AQ2417" s="1"/>
      <c r="AR2417" s="1"/>
      <c r="AS2417" s="1"/>
      <c r="AT2417" s="1"/>
      <c r="AU2417" s="1"/>
      <c r="AV2417" s="1"/>
      <c r="AW2417" s="1"/>
      <c r="AX2417" s="1"/>
      <c r="AY2417" s="1"/>
      <c r="AZ2417" s="1"/>
      <c r="BA2417" s="1"/>
      <c r="BB2417" s="1"/>
      <c r="BC2417" s="1"/>
      <c r="BD2417" s="1"/>
      <c r="BE2417" s="1"/>
      <c r="BF2417" s="1"/>
      <c r="BG2417" s="1"/>
      <c r="BH2417" s="1"/>
      <c r="BI2417" s="1"/>
      <c r="BJ2417" s="1"/>
      <c r="BK2417" s="1"/>
      <c r="BL2417" s="1"/>
      <c r="BM2417" s="1"/>
      <c r="BN2417" s="1"/>
      <c r="BO2417" s="1"/>
      <c r="BP2417" s="1"/>
      <c r="BQ2417" s="1"/>
      <c r="BR2417" s="1"/>
      <c r="BS2417" s="1"/>
      <c r="BT2417" s="1"/>
      <c r="BU2417" s="1"/>
      <c r="BV2417" s="1"/>
      <c r="BW2417" s="1"/>
      <c r="BX2417" s="1"/>
      <c r="BY2417" s="1"/>
      <c r="BZ2417" s="1"/>
      <c r="CA2417" s="1"/>
      <c r="CB2417" s="1"/>
      <c r="CC2417" s="1"/>
      <c r="CD2417" s="1"/>
      <c r="CE2417" s="1"/>
      <c r="CF2417" s="1"/>
      <c r="CG2417" s="1"/>
      <c r="CH2417" s="1"/>
      <c r="CI2417" s="1"/>
      <c r="CJ2417" s="1"/>
      <c r="CK2417" s="1"/>
      <c r="CL2417" s="1"/>
      <c r="CM2417" s="1"/>
      <c r="CN2417" s="1"/>
      <c r="CO2417" s="1"/>
      <c r="CP2417" s="1"/>
      <c r="CQ2417" s="1"/>
      <c r="CR2417" s="1"/>
      <c r="CS2417" s="1"/>
      <c r="CT2417" s="1"/>
      <c r="CU2417" s="1"/>
      <c r="CV2417" s="1"/>
      <c r="CW2417" s="1"/>
      <c r="CX2417" s="1"/>
      <c r="CY2417" s="1"/>
      <c r="CZ2417" s="1"/>
      <c r="DA2417" s="1"/>
      <c r="DB2417" s="1"/>
      <c r="DC2417" s="1"/>
      <c r="DD2417" s="1"/>
      <c r="DE2417" s="1"/>
      <c r="DF2417" s="1"/>
      <c r="DG2417" s="1"/>
      <c r="DH2417" s="1"/>
      <c r="DI2417" s="1"/>
      <c r="DJ2417" s="1"/>
      <c r="DK2417" s="1"/>
      <c r="DL2417" s="1"/>
      <c r="DM2417" s="1"/>
      <c r="DN2417" s="1"/>
      <c r="DO2417" s="1"/>
      <c r="DP2417" s="1"/>
      <c r="DQ2417" s="1"/>
      <c r="DR2417" s="1"/>
      <c r="DS2417" s="1"/>
      <c r="DT2417" s="1"/>
      <c r="DU2417" s="1"/>
      <c r="DV2417" s="1"/>
      <c r="DW2417" s="1"/>
      <c r="DX2417" s="1"/>
      <c r="DY2417" s="1"/>
      <c r="DZ2417" s="1"/>
      <c r="EA2417" s="1"/>
      <c r="EB2417" s="1"/>
      <c r="EC2417" s="1"/>
      <c r="ED2417" s="1"/>
      <c r="EE2417" s="1"/>
      <c r="EF2417" s="1"/>
      <c r="EG2417" s="1"/>
      <c r="EH2417" s="1"/>
      <c r="EI2417" s="1"/>
      <c r="EJ2417" s="1"/>
      <c r="EK2417" s="1"/>
      <c r="EL2417" s="1"/>
      <c r="EM2417" s="1"/>
      <c r="EN2417" s="1"/>
      <c r="EO2417" s="1"/>
      <c r="EP2417" s="1"/>
      <c r="EQ2417" s="1"/>
      <c r="ER2417" s="1"/>
      <c r="ES2417" s="1"/>
      <c r="ET2417" s="1"/>
      <c r="EU2417" s="1"/>
      <c r="EV2417" s="1"/>
      <c r="EW2417" s="1"/>
      <c r="EX2417" s="1"/>
      <c r="EY2417" s="1"/>
      <c r="EZ2417" s="1"/>
      <c r="FA2417" s="1"/>
      <c r="FB2417" s="1"/>
      <c r="FC2417" s="1"/>
      <c r="FD2417" s="1"/>
      <c r="FE2417" s="1"/>
      <c r="FF2417" s="1"/>
      <c r="FG2417" s="1"/>
      <c r="FH2417" s="1"/>
      <c r="FI2417" s="1"/>
      <c r="FJ2417" s="1"/>
      <c r="FK2417" s="1"/>
      <c r="FL2417" s="1"/>
      <c r="FM2417" s="1"/>
      <c r="FN2417" s="1"/>
      <c r="FO2417" s="1"/>
      <c r="FP2417" s="1"/>
      <c r="FQ2417" s="1"/>
      <c r="FR2417" s="1"/>
      <c r="FS2417" s="1"/>
      <c r="FT2417" s="1"/>
      <c r="FU2417" s="1"/>
      <c r="FV2417" s="1"/>
      <c r="FW2417" s="1"/>
      <c r="FX2417" s="1"/>
      <c r="FY2417" s="1"/>
      <c r="FZ2417" s="1"/>
      <c r="GA2417" s="1"/>
      <c r="GB2417" s="1"/>
      <c r="GC2417" s="1"/>
      <c r="GD2417" s="1"/>
      <c r="GE2417" s="1"/>
      <c r="GF2417" s="1"/>
      <c r="GG2417" s="1"/>
      <c r="GH2417" s="1"/>
      <c r="GI2417" s="1"/>
      <c r="GJ2417" s="1"/>
      <c r="GK2417" s="1"/>
      <c r="GL2417" s="1"/>
      <c r="GM2417" s="1"/>
      <c r="GN2417" s="1"/>
      <c r="GO2417" s="1"/>
      <c r="GP2417" s="1"/>
      <c r="GQ2417" s="1"/>
      <c r="GR2417" s="1"/>
      <c r="GS2417" s="1"/>
      <c r="GT2417" s="1"/>
      <c r="GU2417" s="1"/>
      <c r="GV2417" s="1"/>
      <c r="GW2417" s="1"/>
      <c r="GX2417" s="1"/>
      <c r="GY2417" s="1"/>
      <c r="GZ2417" s="1"/>
      <c r="HA2417" s="1"/>
      <c r="HB2417" s="1"/>
      <c r="HC2417" s="1"/>
      <c r="HD2417" s="1"/>
      <c r="HE2417" s="1"/>
      <c r="HF2417" s="1"/>
      <c r="HG2417" s="1"/>
      <c r="HH2417" s="1"/>
      <c r="HI2417" s="1"/>
      <c r="HJ2417" s="1"/>
      <c r="HK2417" s="1"/>
      <c r="HL2417" s="1"/>
      <c r="HM2417" s="1"/>
      <c r="HN2417" s="1"/>
      <c r="HO2417" s="1"/>
      <c r="HP2417" s="1"/>
      <c r="HQ2417" s="1"/>
    </row>
    <row r="2418" spans="1:225" ht="15.75" customHeight="1" x14ac:dyDescent="0.35">
      <c r="A2418" s="256">
        <f>A2415+1</f>
        <v>2</v>
      </c>
      <c r="B2418" s="256">
        <v>7309</v>
      </c>
      <c r="C2418" s="259" t="s">
        <v>726</v>
      </c>
      <c r="D2418" s="262">
        <v>527.49</v>
      </c>
      <c r="E2418" s="262" t="s">
        <v>665</v>
      </c>
      <c r="F2418" s="265">
        <v>2</v>
      </c>
      <c r="G2418" s="256" t="s">
        <v>727</v>
      </c>
      <c r="H2418" s="159" t="s">
        <v>73</v>
      </c>
      <c r="I2418" s="158">
        <f>I2419+I2420</f>
        <v>213105.96</v>
      </c>
      <c r="J2418" s="158">
        <f>J2419+J2420</f>
        <v>404</v>
      </c>
      <c r="K2418" s="158">
        <f>K2419+K2420</f>
        <v>404</v>
      </c>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1"/>
      <c r="AI2418" s="1"/>
      <c r="AJ2418" s="1"/>
      <c r="AK2418" s="1"/>
      <c r="AL2418" s="1"/>
      <c r="AM2418" s="1"/>
      <c r="AN2418" s="1"/>
      <c r="AO2418" s="1"/>
      <c r="AP2418" s="1"/>
      <c r="AQ2418" s="1"/>
      <c r="AR2418" s="1"/>
      <c r="AS2418" s="1"/>
      <c r="AT2418" s="1"/>
      <c r="AU2418" s="1"/>
      <c r="AV2418" s="1"/>
      <c r="AW2418" s="1"/>
      <c r="AX2418" s="1"/>
      <c r="AY2418" s="1"/>
      <c r="AZ2418" s="1"/>
      <c r="BA2418" s="1"/>
      <c r="BB2418" s="1"/>
      <c r="BC2418" s="1"/>
      <c r="BD2418" s="1"/>
      <c r="BE2418" s="1"/>
      <c r="BF2418" s="1"/>
      <c r="BG2418" s="1"/>
      <c r="BH2418" s="1"/>
      <c r="BI2418" s="1"/>
      <c r="BJ2418" s="1"/>
      <c r="BK2418" s="1"/>
      <c r="BL2418" s="1"/>
      <c r="BM2418" s="1"/>
      <c r="BN2418" s="1"/>
      <c r="BO2418" s="1"/>
      <c r="BP2418" s="1"/>
      <c r="BQ2418" s="1"/>
      <c r="BR2418" s="1"/>
      <c r="BS2418" s="1"/>
      <c r="BT2418" s="1"/>
      <c r="BU2418" s="1"/>
      <c r="BV2418" s="1"/>
      <c r="BW2418" s="1"/>
      <c r="BX2418" s="1"/>
      <c r="BY2418" s="1"/>
      <c r="BZ2418" s="1"/>
      <c r="CA2418" s="1"/>
      <c r="CB2418" s="1"/>
      <c r="CC2418" s="1"/>
      <c r="CD2418" s="1"/>
      <c r="CE2418" s="1"/>
      <c r="CF2418" s="1"/>
      <c r="CG2418" s="1"/>
      <c r="CH2418" s="1"/>
      <c r="CI2418" s="1"/>
      <c r="CJ2418" s="1"/>
      <c r="CK2418" s="1"/>
      <c r="CL2418" s="1"/>
      <c r="CM2418" s="1"/>
      <c r="CN2418" s="1"/>
      <c r="CO2418" s="1"/>
      <c r="CP2418" s="1"/>
      <c r="CQ2418" s="1"/>
      <c r="CR2418" s="1"/>
      <c r="CS2418" s="1"/>
      <c r="CT2418" s="1"/>
      <c r="CU2418" s="1"/>
      <c r="CV2418" s="1"/>
      <c r="CW2418" s="1"/>
      <c r="CX2418" s="1"/>
      <c r="CY2418" s="1"/>
      <c r="CZ2418" s="1"/>
      <c r="DA2418" s="1"/>
      <c r="DB2418" s="1"/>
      <c r="DC2418" s="1"/>
      <c r="DD2418" s="1"/>
      <c r="DE2418" s="1"/>
      <c r="DF2418" s="1"/>
      <c r="DG2418" s="1"/>
      <c r="DH2418" s="1"/>
      <c r="DI2418" s="1"/>
      <c r="DJ2418" s="1"/>
      <c r="DK2418" s="1"/>
      <c r="DL2418" s="1"/>
      <c r="DM2418" s="1"/>
      <c r="DN2418" s="1"/>
      <c r="DO2418" s="1"/>
      <c r="DP2418" s="1"/>
      <c r="DQ2418" s="1"/>
      <c r="DR2418" s="1"/>
      <c r="DS2418" s="1"/>
      <c r="DT2418" s="1"/>
      <c r="DU2418" s="1"/>
      <c r="DV2418" s="1"/>
      <c r="DW2418" s="1"/>
      <c r="DX2418" s="1"/>
      <c r="DY2418" s="1"/>
      <c r="DZ2418" s="1"/>
      <c r="EA2418" s="1"/>
      <c r="EB2418" s="1"/>
      <c r="EC2418" s="1"/>
      <c r="ED2418" s="1"/>
      <c r="EE2418" s="1"/>
      <c r="EF2418" s="1"/>
      <c r="EG2418" s="1"/>
      <c r="EH2418" s="1"/>
      <c r="EI2418" s="1"/>
      <c r="EJ2418" s="1"/>
      <c r="EK2418" s="1"/>
      <c r="EL2418" s="1"/>
      <c r="EM2418" s="1"/>
      <c r="EN2418" s="1"/>
      <c r="EO2418" s="1"/>
      <c r="EP2418" s="1"/>
      <c r="EQ2418" s="1"/>
      <c r="ER2418" s="1"/>
      <c r="ES2418" s="1"/>
      <c r="ET2418" s="1"/>
      <c r="EU2418" s="1"/>
      <c r="EV2418" s="1"/>
      <c r="EW2418" s="1"/>
      <c r="EX2418" s="1"/>
      <c r="EY2418" s="1"/>
      <c r="EZ2418" s="1"/>
      <c r="FA2418" s="1"/>
      <c r="FB2418" s="1"/>
      <c r="FC2418" s="1"/>
      <c r="FD2418" s="1"/>
      <c r="FE2418" s="1"/>
      <c r="FF2418" s="1"/>
      <c r="FG2418" s="1"/>
      <c r="FH2418" s="1"/>
      <c r="FI2418" s="1"/>
      <c r="FJ2418" s="1"/>
      <c r="FK2418" s="1"/>
      <c r="FL2418" s="1"/>
      <c r="FM2418" s="1"/>
      <c r="FN2418" s="1"/>
      <c r="FO2418" s="1"/>
      <c r="FP2418" s="1"/>
      <c r="FQ2418" s="1"/>
      <c r="FR2418" s="1"/>
      <c r="FS2418" s="1"/>
      <c r="FT2418" s="1"/>
      <c r="FU2418" s="1"/>
      <c r="FV2418" s="1"/>
      <c r="FW2418" s="1"/>
      <c r="FX2418" s="1"/>
      <c r="FY2418" s="1"/>
      <c r="FZ2418" s="1"/>
      <c r="GA2418" s="1"/>
      <c r="GB2418" s="1"/>
      <c r="GC2418" s="1"/>
      <c r="GD2418" s="1"/>
      <c r="GE2418" s="1"/>
      <c r="GF2418" s="1"/>
      <c r="GG2418" s="1"/>
      <c r="GH2418" s="1"/>
      <c r="GI2418" s="1"/>
      <c r="GJ2418" s="1"/>
      <c r="GK2418" s="1"/>
      <c r="GL2418" s="1"/>
      <c r="GM2418" s="1"/>
      <c r="GN2418" s="1"/>
      <c r="GO2418" s="1"/>
      <c r="GP2418" s="1"/>
      <c r="GQ2418" s="1"/>
      <c r="GR2418" s="1"/>
      <c r="GS2418" s="1"/>
      <c r="GT2418" s="1"/>
      <c r="GU2418" s="1"/>
      <c r="GV2418" s="1"/>
      <c r="GW2418" s="1"/>
      <c r="GX2418" s="1"/>
      <c r="GY2418" s="1"/>
      <c r="GZ2418" s="1"/>
      <c r="HA2418" s="1"/>
      <c r="HB2418" s="1"/>
      <c r="HC2418" s="1"/>
      <c r="HD2418" s="1"/>
      <c r="HE2418" s="1"/>
      <c r="HF2418" s="1"/>
      <c r="HG2418" s="1"/>
      <c r="HH2418" s="1"/>
      <c r="HI2418" s="1"/>
      <c r="HJ2418" s="1"/>
      <c r="HK2418" s="1"/>
      <c r="HL2418" s="1"/>
      <c r="HM2418" s="1"/>
      <c r="HN2418" s="1"/>
      <c r="HO2418" s="1"/>
      <c r="HP2418" s="1"/>
      <c r="HQ2418" s="1"/>
    </row>
    <row r="2419" spans="1:225" ht="46.5" x14ac:dyDescent="0.35">
      <c r="A2419" s="257"/>
      <c r="B2419" s="257"/>
      <c r="C2419" s="260"/>
      <c r="D2419" s="263"/>
      <c r="E2419" s="263"/>
      <c r="F2419" s="266"/>
      <c r="G2419" s="257"/>
      <c r="H2419" s="159" t="s">
        <v>705</v>
      </c>
      <c r="I2419" s="158">
        <f>K2419*D2418</f>
        <v>120267.72</v>
      </c>
      <c r="J2419" s="158">
        <f>I2419/D2418</f>
        <v>228</v>
      </c>
      <c r="K2419" s="158">
        <f>210+18</f>
        <v>228</v>
      </c>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1"/>
      <c r="AI2419" s="1"/>
      <c r="AJ2419" s="1"/>
      <c r="AK2419" s="1"/>
      <c r="AL2419" s="1"/>
      <c r="AM2419" s="1"/>
      <c r="AN2419" s="1"/>
      <c r="AO2419" s="1"/>
      <c r="AP2419" s="1"/>
      <c r="AQ2419" s="1"/>
      <c r="AR2419" s="1"/>
      <c r="AS2419" s="1"/>
      <c r="AT2419" s="1"/>
      <c r="AU2419" s="1"/>
      <c r="AV2419" s="1"/>
      <c r="AW2419" s="1"/>
      <c r="AX2419" s="1"/>
      <c r="AY2419" s="1"/>
      <c r="AZ2419" s="1"/>
      <c r="BA2419" s="1"/>
      <c r="BB2419" s="1"/>
      <c r="BC2419" s="1"/>
      <c r="BD2419" s="1"/>
      <c r="BE2419" s="1"/>
      <c r="BF2419" s="1"/>
      <c r="BG2419" s="1"/>
      <c r="BH2419" s="1"/>
      <c r="BI2419" s="1"/>
      <c r="BJ2419" s="1"/>
      <c r="BK2419" s="1"/>
      <c r="BL2419" s="1"/>
      <c r="BM2419" s="1"/>
      <c r="BN2419" s="1"/>
      <c r="BO2419" s="1"/>
      <c r="BP2419" s="1"/>
      <c r="BQ2419" s="1"/>
      <c r="BR2419" s="1"/>
      <c r="BS2419" s="1"/>
      <c r="BT2419" s="1"/>
      <c r="BU2419" s="1"/>
      <c r="BV2419" s="1"/>
      <c r="BW2419" s="1"/>
      <c r="BX2419" s="1"/>
      <c r="BY2419" s="1"/>
      <c r="BZ2419" s="1"/>
      <c r="CA2419" s="1"/>
      <c r="CB2419" s="1"/>
      <c r="CC2419" s="1"/>
      <c r="CD2419" s="1"/>
      <c r="CE2419" s="1"/>
      <c r="CF2419" s="1"/>
      <c r="CG2419" s="1"/>
      <c r="CH2419" s="1"/>
      <c r="CI2419" s="1"/>
      <c r="CJ2419" s="1"/>
      <c r="CK2419" s="1"/>
      <c r="CL2419" s="1"/>
      <c r="CM2419" s="1"/>
      <c r="CN2419" s="1"/>
      <c r="CO2419" s="1"/>
      <c r="CP2419" s="1"/>
      <c r="CQ2419" s="1"/>
      <c r="CR2419" s="1"/>
      <c r="CS2419" s="1"/>
      <c r="CT2419" s="1"/>
      <c r="CU2419" s="1"/>
      <c r="CV2419" s="1"/>
      <c r="CW2419" s="1"/>
      <c r="CX2419" s="1"/>
      <c r="CY2419" s="1"/>
      <c r="CZ2419" s="1"/>
      <c r="DA2419" s="1"/>
      <c r="DB2419" s="1"/>
      <c r="DC2419" s="1"/>
      <c r="DD2419" s="1"/>
      <c r="DE2419" s="1"/>
      <c r="DF2419" s="1"/>
      <c r="DG2419" s="1"/>
      <c r="DH2419" s="1"/>
      <c r="DI2419" s="1"/>
      <c r="DJ2419" s="1"/>
      <c r="DK2419" s="1"/>
      <c r="DL2419" s="1"/>
      <c r="DM2419" s="1"/>
      <c r="DN2419" s="1"/>
      <c r="DO2419" s="1"/>
      <c r="DP2419" s="1"/>
      <c r="DQ2419" s="1"/>
      <c r="DR2419" s="1"/>
      <c r="DS2419" s="1"/>
      <c r="DT2419" s="1"/>
      <c r="DU2419" s="1"/>
      <c r="DV2419" s="1"/>
      <c r="DW2419" s="1"/>
      <c r="DX2419" s="1"/>
      <c r="DY2419" s="1"/>
      <c r="DZ2419" s="1"/>
      <c r="EA2419" s="1"/>
      <c r="EB2419" s="1"/>
      <c r="EC2419" s="1"/>
      <c r="ED2419" s="1"/>
      <c r="EE2419" s="1"/>
      <c r="EF2419" s="1"/>
      <c r="EG2419" s="1"/>
      <c r="EH2419" s="1"/>
      <c r="EI2419" s="1"/>
      <c r="EJ2419" s="1"/>
      <c r="EK2419" s="1"/>
      <c r="EL2419" s="1"/>
      <c r="EM2419" s="1"/>
      <c r="EN2419" s="1"/>
      <c r="EO2419" s="1"/>
      <c r="EP2419" s="1"/>
      <c r="EQ2419" s="1"/>
      <c r="ER2419" s="1"/>
      <c r="ES2419" s="1"/>
      <c r="ET2419" s="1"/>
      <c r="EU2419" s="1"/>
      <c r="EV2419" s="1"/>
      <c r="EW2419" s="1"/>
      <c r="EX2419" s="1"/>
      <c r="EY2419" s="1"/>
      <c r="EZ2419" s="1"/>
      <c r="FA2419" s="1"/>
      <c r="FB2419" s="1"/>
      <c r="FC2419" s="1"/>
      <c r="FD2419" s="1"/>
      <c r="FE2419" s="1"/>
      <c r="FF2419" s="1"/>
      <c r="FG2419" s="1"/>
      <c r="FH2419" s="1"/>
      <c r="FI2419" s="1"/>
      <c r="FJ2419" s="1"/>
      <c r="FK2419" s="1"/>
      <c r="FL2419" s="1"/>
      <c r="FM2419" s="1"/>
      <c r="FN2419" s="1"/>
      <c r="FO2419" s="1"/>
      <c r="FP2419" s="1"/>
      <c r="FQ2419" s="1"/>
      <c r="FR2419" s="1"/>
      <c r="FS2419" s="1"/>
      <c r="FT2419" s="1"/>
      <c r="FU2419" s="1"/>
      <c r="FV2419" s="1"/>
      <c r="FW2419" s="1"/>
      <c r="FX2419" s="1"/>
      <c r="FY2419" s="1"/>
      <c r="FZ2419" s="1"/>
      <c r="GA2419" s="1"/>
      <c r="GB2419" s="1"/>
      <c r="GC2419" s="1"/>
      <c r="GD2419" s="1"/>
      <c r="GE2419" s="1"/>
      <c r="GF2419" s="1"/>
      <c r="GG2419" s="1"/>
      <c r="GH2419" s="1"/>
      <c r="GI2419" s="1"/>
      <c r="GJ2419" s="1"/>
      <c r="GK2419" s="1"/>
      <c r="GL2419" s="1"/>
      <c r="GM2419" s="1"/>
      <c r="GN2419" s="1"/>
      <c r="GO2419" s="1"/>
      <c r="GP2419" s="1"/>
      <c r="GQ2419" s="1"/>
      <c r="GR2419" s="1"/>
      <c r="GS2419" s="1"/>
      <c r="GT2419" s="1"/>
      <c r="GU2419" s="1"/>
      <c r="GV2419" s="1"/>
      <c r="GW2419" s="1"/>
      <c r="GX2419" s="1"/>
      <c r="GY2419" s="1"/>
      <c r="GZ2419" s="1"/>
      <c r="HA2419" s="1"/>
      <c r="HB2419" s="1"/>
      <c r="HC2419" s="1"/>
      <c r="HD2419" s="1"/>
      <c r="HE2419" s="1"/>
      <c r="HF2419" s="1"/>
      <c r="HG2419" s="1"/>
      <c r="HH2419" s="1"/>
      <c r="HI2419" s="1"/>
      <c r="HJ2419" s="1"/>
      <c r="HK2419" s="1"/>
      <c r="HL2419" s="1"/>
      <c r="HM2419" s="1"/>
      <c r="HN2419" s="1"/>
      <c r="HO2419" s="1"/>
      <c r="HP2419" s="1"/>
      <c r="HQ2419" s="1"/>
    </row>
    <row r="2420" spans="1:225" ht="46.5" x14ac:dyDescent="0.35">
      <c r="A2420" s="257"/>
      <c r="B2420" s="258"/>
      <c r="C2420" s="260"/>
      <c r="D2420" s="263"/>
      <c r="E2420" s="263"/>
      <c r="F2420" s="266"/>
      <c r="G2420" s="257"/>
      <c r="H2420" s="159" t="s">
        <v>706</v>
      </c>
      <c r="I2420" s="158">
        <f>K2420*D2418</f>
        <v>92838.24</v>
      </c>
      <c r="J2420" s="158">
        <f>I2420/D2418</f>
        <v>176</v>
      </c>
      <c r="K2420" s="158">
        <f>162+14</f>
        <v>176</v>
      </c>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1"/>
      <c r="AI2420" s="1"/>
      <c r="AJ2420" s="1"/>
      <c r="AK2420" s="1"/>
      <c r="AL2420" s="1"/>
      <c r="AM2420" s="1"/>
      <c r="AN2420" s="1"/>
      <c r="AO2420" s="1"/>
      <c r="AP2420" s="1"/>
      <c r="AQ2420" s="1"/>
      <c r="AR2420" s="1"/>
      <c r="AS2420" s="1"/>
      <c r="AT2420" s="1"/>
      <c r="AU2420" s="1"/>
      <c r="AV2420" s="1"/>
      <c r="AW2420" s="1"/>
      <c r="AX2420" s="1"/>
      <c r="AY2420" s="1"/>
      <c r="AZ2420" s="1"/>
      <c r="BA2420" s="1"/>
      <c r="BB2420" s="1"/>
      <c r="BC2420" s="1"/>
      <c r="BD2420" s="1"/>
      <c r="BE2420" s="1"/>
      <c r="BF2420" s="1"/>
      <c r="BG2420" s="1"/>
      <c r="BH2420" s="1"/>
      <c r="BI2420" s="1"/>
      <c r="BJ2420" s="1"/>
      <c r="BK2420" s="1"/>
      <c r="BL2420" s="1"/>
      <c r="BM2420" s="1"/>
      <c r="BN2420" s="1"/>
      <c r="BO2420" s="1"/>
      <c r="BP2420" s="1"/>
      <c r="BQ2420" s="1"/>
      <c r="BR2420" s="1"/>
      <c r="BS2420" s="1"/>
      <c r="BT2420" s="1"/>
      <c r="BU2420" s="1"/>
      <c r="BV2420" s="1"/>
      <c r="BW2420" s="1"/>
      <c r="BX2420" s="1"/>
      <c r="BY2420" s="1"/>
      <c r="BZ2420" s="1"/>
      <c r="CA2420" s="1"/>
      <c r="CB2420" s="1"/>
      <c r="CC2420" s="1"/>
      <c r="CD2420" s="1"/>
      <c r="CE2420" s="1"/>
      <c r="CF2420" s="1"/>
      <c r="CG2420" s="1"/>
      <c r="CH2420" s="1"/>
      <c r="CI2420" s="1"/>
      <c r="CJ2420" s="1"/>
      <c r="CK2420" s="1"/>
      <c r="CL2420" s="1"/>
      <c r="CM2420" s="1"/>
      <c r="CN2420" s="1"/>
      <c r="CO2420" s="1"/>
      <c r="CP2420" s="1"/>
      <c r="CQ2420" s="1"/>
      <c r="CR2420" s="1"/>
      <c r="CS2420" s="1"/>
      <c r="CT2420" s="1"/>
      <c r="CU2420" s="1"/>
      <c r="CV2420" s="1"/>
      <c r="CW2420" s="1"/>
      <c r="CX2420" s="1"/>
      <c r="CY2420" s="1"/>
      <c r="CZ2420" s="1"/>
      <c r="DA2420" s="1"/>
      <c r="DB2420" s="1"/>
      <c r="DC2420" s="1"/>
      <c r="DD2420" s="1"/>
      <c r="DE2420" s="1"/>
      <c r="DF2420" s="1"/>
      <c r="DG2420" s="1"/>
      <c r="DH2420" s="1"/>
      <c r="DI2420" s="1"/>
      <c r="DJ2420" s="1"/>
      <c r="DK2420" s="1"/>
      <c r="DL2420" s="1"/>
      <c r="DM2420" s="1"/>
      <c r="DN2420" s="1"/>
      <c r="DO2420" s="1"/>
      <c r="DP2420" s="1"/>
      <c r="DQ2420" s="1"/>
      <c r="DR2420" s="1"/>
      <c r="DS2420" s="1"/>
      <c r="DT2420" s="1"/>
      <c r="DU2420" s="1"/>
      <c r="DV2420" s="1"/>
      <c r="DW2420" s="1"/>
      <c r="DX2420" s="1"/>
      <c r="DY2420" s="1"/>
      <c r="DZ2420" s="1"/>
      <c r="EA2420" s="1"/>
      <c r="EB2420" s="1"/>
      <c r="EC2420" s="1"/>
      <c r="ED2420" s="1"/>
      <c r="EE2420" s="1"/>
      <c r="EF2420" s="1"/>
      <c r="EG2420" s="1"/>
      <c r="EH2420" s="1"/>
      <c r="EI2420" s="1"/>
      <c r="EJ2420" s="1"/>
      <c r="EK2420" s="1"/>
      <c r="EL2420" s="1"/>
      <c r="EM2420" s="1"/>
      <c r="EN2420" s="1"/>
      <c r="EO2420" s="1"/>
      <c r="EP2420" s="1"/>
      <c r="EQ2420" s="1"/>
      <c r="ER2420" s="1"/>
      <c r="ES2420" s="1"/>
      <c r="ET2420" s="1"/>
      <c r="EU2420" s="1"/>
      <c r="EV2420" s="1"/>
      <c r="EW2420" s="1"/>
      <c r="EX2420" s="1"/>
      <c r="EY2420" s="1"/>
      <c r="EZ2420" s="1"/>
      <c r="FA2420" s="1"/>
      <c r="FB2420" s="1"/>
      <c r="FC2420" s="1"/>
      <c r="FD2420" s="1"/>
      <c r="FE2420" s="1"/>
      <c r="FF2420" s="1"/>
      <c r="FG2420" s="1"/>
      <c r="FH2420" s="1"/>
      <c r="FI2420" s="1"/>
      <c r="FJ2420" s="1"/>
      <c r="FK2420" s="1"/>
      <c r="FL2420" s="1"/>
      <c r="FM2420" s="1"/>
      <c r="FN2420" s="1"/>
      <c r="FO2420" s="1"/>
      <c r="FP2420" s="1"/>
      <c r="FQ2420" s="1"/>
      <c r="FR2420" s="1"/>
      <c r="FS2420" s="1"/>
      <c r="FT2420" s="1"/>
      <c r="FU2420" s="1"/>
      <c r="FV2420" s="1"/>
      <c r="FW2420" s="1"/>
      <c r="FX2420" s="1"/>
      <c r="FY2420" s="1"/>
      <c r="FZ2420" s="1"/>
      <c r="GA2420" s="1"/>
      <c r="GB2420" s="1"/>
      <c r="GC2420" s="1"/>
      <c r="GD2420" s="1"/>
      <c r="GE2420" s="1"/>
      <c r="GF2420" s="1"/>
      <c r="GG2420" s="1"/>
      <c r="GH2420" s="1"/>
      <c r="GI2420" s="1"/>
      <c r="GJ2420" s="1"/>
      <c r="GK2420" s="1"/>
      <c r="GL2420" s="1"/>
      <c r="GM2420" s="1"/>
      <c r="GN2420" s="1"/>
      <c r="GO2420" s="1"/>
      <c r="GP2420" s="1"/>
      <c r="GQ2420" s="1"/>
      <c r="GR2420" s="1"/>
      <c r="GS2420" s="1"/>
      <c r="GT2420" s="1"/>
      <c r="GU2420" s="1"/>
      <c r="GV2420" s="1"/>
      <c r="GW2420" s="1"/>
      <c r="GX2420" s="1"/>
      <c r="GY2420" s="1"/>
      <c r="GZ2420" s="1"/>
      <c r="HA2420" s="1"/>
      <c r="HB2420" s="1"/>
      <c r="HC2420" s="1"/>
      <c r="HD2420" s="1"/>
      <c r="HE2420" s="1"/>
      <c r="HF2420" s="1"/>
      <c r="HG2420" s="1"/>
      <c r="HH2420" s="1"/>
      <c r="HI2420" s="1"/>
      <c r="HJ2420" s="1"/>
      <c r="HK2420" s="1"/>
      <c r="HL2420" s="1"/>
      <c r="HM2420" s="1"/>
      <c r="HN2420" s="1"/>
      <c r="HO2420" s="1"/>
      <c r="HP2420" s="1"/>
      <c r="HQ2420" s="1"/>
    </row>
    <row r="2421" spans="1:225" ht="15.75" customHeight="1" x14ac:dyDescent="0.35">
      <c r="A2421" s="310">
        <f>A2418+1</f>
        <v>3</v>
      </c>
      <c r="B2421" s="310">
        <v>7310</v>
      </c>
      <c r="C2421" s="316" t="s">
        <v>703</v>
      </c>
      <c r="D2421" s="262">
        <v>319.33</v>
      </c>
      <c r="E2421" s="262" t="s">
        <v>665</v>
      </c>
      <c r="F2421" s="265">
        <v>2</v>
      </c>
      <c r="G2421" s="256" t="s">
        <v>85</v>
      </c>
      <c r="H2421" s="159" t="s">
        <v>73</v>
      </c>
      <c r="I2421" s="158">
        <f>I2422+I2423+I2424+I2425</f>
        <v>3031080.36</v>
      </c>
      <c r="J2421" s="158">
        <f>J2422+J2423+J2424+J2425</f>
        <v>9492</v>
      </c>
      <c r="K2421" s="158">
        <f>K2422+K2423+K2424+K2425</f>
        <v>9492</v>
      </c>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1"/>
      <c r="AI2421" s="1"/>
      <c r="AJ2421" s="1"/>
      <c r="AK2421" s="1"/>
      <c r="AL2421" s="1"/>
      <c r="AM2421" s="1"/>
      <c r="AN2421" s="1"/>
      <c r="AO2421" s="1"/>
      <c r="AP2421" s="1"/>
      <c r="AQ2421" s="1"/>
      <c r="AR2421" s="1"/>
      <c r="AS2421" s="1"/>
      <c r="AT2421" s="1"/>
      <c r="AU2421" s="1"/>
      <c r="AV2421" s="1"/>
      <c r="AW2421" s="1"/>
      <c r="AX2421" s="1"/>
      <c r="AY2421" s="1"/>
      <c r="AZ2421" s="1"/>
      <c r="BA2421" s="1"/>
      <c r="BB2421" s="1"/>
      <c r="BC2421" s="1"/>
      <c r="BD2421" s="1"/>
      <c r="BE2421" s="1"/>
      <c r="BF2421" s="1"/>
      <c r="BG2421" s="1"/>
      <c r="BH2421" s="1"/>
      <c r="BI2421" s="1"/>
      <c r="BJ2421" s="1"/>
      <c r="BK2421" s="1"/>
      <c r="BL2421" s="1"/>
      <c r="BM2421" s="1"/>
      <c r="BN2421" s="1"/>
      <c r="BO2421" s="1"/>
      <c r="BP2421" s="1"/>
      <c r="BQ2421" s="1"/>
      <c r="BR2421" s="1"/>
      <c r="BS2421" s="1"/>
      <c r="BT2421" s="1"/>
      <c r="BU2421" s="1"/>
      <c r="BV2421" s="1"/>
      <c r="BW2421" s="1"/>
      <c r="BX2421" s="1"/>
      <c r="BY2421" s="1"/>
      <c r="BZ2421" s="1"/>
      <c r="CA2421" s="1"/>
      <c r="CB2421" s="1"/>
      <c r="CC2421" s="1"/>
      <c r="CD2421" s="1"/>
      <c r="CE2421" s="1"/>
      <c r="CF2421" s="1"/>
      <c r="CG2421" s="1"/>
      <c r="CH2421" s="1"/>
      <c r="CI2421" s="1"/>
      <c r="CJ2421" s="1"/>
      <c r="CK2421" s="1"/>
      <c r="CL2421" s="1"/>
      <c r="CM2421" s="1"/>
      <c r="CN2421" s="1"/>
      <c r="CO2421" s="1"/>
      <c r="CP2421" s="1"/>
      <c r="CQ2421" s="1"/>
      <c r="CR2421" s="1"/>
      <c r="CS2421" s="1"/>
      <c r="CT2421" s="1"/>
      <c r="CU2421" s="1"/>
      <c r="CV2421" s="1"/>
      <c r="CW2421" s="1"/>
      <c r="CX2421" s="1"/>
      <c r="CY2421" s="1"/>
      <c r="CZ2421" s="1"/>
      <c r="DA2421" s="1"/>
      <c r="DB2421" s="1"/>
      <c r="DC2421" s="1"/>
      <c r="DD2421" s="1"/>
      <c r="DE2421" s="1"/>
      <c r="DF2421" s="1"/>
      <c r="DG2421" s="1"/>
      <c r="DH2421" s="1"/>
      <c r="DI2421" s="1"/>
      <c r="DJ2421" s="1"/>
      <c r="DK2421" s="1"/>
      <c r="DL2421" s="1"/>
      <c r="DM2421" s="1"/>
      <c r="DN2421" s="1"/>
      <c r="DO2421" s="1"/>
      <c r="DP2421" s="1"/>
      <c r="DQ2421" s="1"/>
      <c r="DR2421" s="1"/>
      <c r="DS2421" s="1"/>
      <c r="DT2421" s="1"/>
      <c r="DU2421" s="1"/>
      <c r="DV2421" s="1"/>
      <c r="DW2421" s="1"/>
      <c r="DX2421" s="1"/>
      <c r="DY2421" s="1"/>
      <c r="DZ2421" s="1"/>
      <c r="EA2421" s="1"/>
      <c r="EB2421" s="1"/>
      <c r="EC2421" s="1"/>
      <c r="ED2421" s="1"/>
      <c r="EE2421" s="1"/>
      <c r="EF2421" s="1"/>
      <c r="EG2421" s="1"/>
      <c r="EH2421" s="1"/>
      <c r="EI2421" s="1"/>
      <c r="EJ2421" s="1"/>
      <c r="EK2421" s="1"/>
      <c r="EL2421" s="1"/>
      <c r="EM2421" s="1"/>
      <c r="EN2421" s="1"/>
      <c r="EO2421" s="1"/>
      <c r="EP2421" s="1"/>
      <c r="EQ2421" s="1"/>
      <c r="ER2421" s="1"/>
      <c r="ES2421" s="1"/>
      <c r="ET2421" s="1"/>
      <c r="EU2421" s="1"/>
      <c r="EV2421" s="1"/>
      <c r="EW2421" s="1"/>
      <c r="EX2421" s="1"/>
      <c r="EY2421" s="1"/>
      <c r="EZ2421" s="1"/>
      <c r="FA2421" s="1"/>
      <c r="FB2421" s="1"/>
      <c r="FC2421" s="1"/>
      <c r="FD2421" s="1"/>
      <c r="FE2421" s="1"/>
      <c r="FF2421" s="1"/>
      <c r="FG2421" s="1"/>
      <c r="FH2421" s="1"/>
      <c r="FI2421" s="1"/>
      <c r="FJ2421" s="1"/>
      <c r="FK2421" s="1"/>
      <c r="FL2421" s="1"/>
      <c r="FM2421" s="1"/>
      <c r="FN2421" s="1"/>
      <c r="FO2421" s="1"/>
      <c r="FP2421" s="1"/>
      <c r="FQ2421" s="1"/>
      <c r="FR2421" s="1"/>
      <c r="FS2421" s="1"/>
      <c r="FT2421" s="1"/>
      <c r="FU2421" s="1"/>
      <c r="FV2421" s="1"/>
      <c r="FW2421" s="1"/>
      <c r="FX2421" s="1"/>
      <c r="FY2421" s="1"/>
      <c r="FZ2421" s="1"/>
      <c r="GA2421" s="1"/>
      <c r="GB2421" s="1"/>
      <c r="GC2421" s="1"/>
      <c r="GD2421" s="1"/>
      <c r="GE2421" s="1"/>
      <c r="GF2421" s="1"/>
      <c r="GG2421" s="1"/>
      <c r="GH2421" s="1"/>
      <c r="GI2421" s="1"/>
      <c r="GJ2421" s="1"/>
      <c r="GK2421" s="1"/>
      <c r="GL2421" s="1"/>
      <c r="GM2421" s="1"/>
      <c r="GN2421" s="1"/>
      <c r="GO2421" s="1"/>
      <c r="GP2421" s="1"/>
      <c r="GQ2421" s="1"/>
      <c r="GR2421" s="1"/>
      <c r="GS2421" s="1"/>
      <c r="GT2421" s="1"/>
      <c r="GU2421" s="1"/>
      <c r="GV2421" s="1"/>
      <c r="GW2421" s="1"/>
      <c r="GX2421" s="1"/>
      <c r="GY2421" s="1"/>
      <c r="GZ2421" s="1"/>
      <c r="HA2421" s="1"/>
      <c r="HB2421" s="1"/>
      <c r="HC2421" s="1"/>
      <c r="HD2421" s="1"/>
      <c r="HE2421" s="1"/>
      <c r="HF2421" s="1"/>
      <c r="HG2421" s="1"/>
      <c r="HH2421" s="1"/>
      <c r="HI2421" s="1"/>
      <c r="HJ2421" s="1"/>
      <c r="HK2421" s="1"/>
      <c r="HL2421" s="1"/>
      <c r="HM2421" s="1"/>
      <c r="HN2421" s="1"/>
      <c r="HO2421" s="1"/>
      <c r="HP2421" s="1"/>
      <c r="HQ2421" s="1"/>
    </row>
    <row r="2422" spans="1:225" x14ac:dyDescent="0.35">
      <c r="A2422" s="311"/>
      <c r="B2422" s="311"/>
      <c r="C2422" s="317"/>
      <c r="D2422" s="263"/>
      <c r="E2422" s="263"/>
      <c r="F2422" s="266"/>
      <c r="G2422" s="257"/>
      <c r="H2422" s="159" t="s">
        <v>74</v>
      </c>
      <c r="I2422" s="158">
        <f>K2422*D2421</f>
        <v>1675843.84</v>
      </c>
      <c r="J2422" s="158">
        <f>I2422/D2421</f>
        <v>5248</v>
      </c>
      <c r="K2422" s="158">
        <v>5248</v>
      </c>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1"/>
      <c r="AI2422" s="1"/>
      <c r="AJ2422" s="1"/>
      <c r="AK2422" s="1"/>
      <c r="AL2422" s="1"/>
      <c r="AM2422" s="1"/>
      <c r="AN2422" s="1"/>
      <c r="AO2422" s="1"/>
      <c r="AP2422" s="1"/>
      <c r="AQ2422" s="1"/>
      <c r="AR2422" s="1"/>
      <c r="AS2422" s="1"/>
      <c r="AT2422" s="1"/>
      <c r="AU2422" s="1"/>
      <c r="AV2422" s="1"/>
      <c r="AW2422" s="1"/>
      <c r="AX2422" s="1"/>
      <c r="AY2422" s="1"/>
      <c r="AZ2422" s="1"/>
      <c r="BA2422" s="1"/>
      <c r="BB2422" s="1"/>
      <c r="BC2422" s="1"/>
      <c r="BD2422" s="1"/>
      <c r="BE2422" s="1"/>
      <c r="BF2422" s="1"/>
      <c r="BG2422" s="1"/>
      <c r="BH2422" s="1"/>
      <c r="BI2422" s="1"/>
      <c r="BJ2422" s="1"/>
      <c r="BK2422" s="1"/>
      <c r="BL2422" s="1"/>
      <c r="BM2422" s="1"/>
      <c r="BN2422" s="1"/>
      <c r="BO2422" s="1"/>
      <c r="BP2422" s="1"/>
      <c r="BQ2422" s="1"/>
      <c r="BR2422" s="1"/>
      <c r="BS2422" s="1"/>
      <c r="BT2422" s="1"/>
      <c r="BU2422" s="1"/>
      <c r="BV2422" s="1"/>
      <c r="BW2422" s="1"/>
      <c r="BX2422" s="1"/>
      <c r="BY2422" s="1"/>
      <c r="BZ2422" s="1"/>
      <c r="CA2422" s="1"/>
      <c r="CB2422" s="1"/>
      <c r="CC2422" s="1"/>
      <c r="CD2422" s="1"/>
      <c r="CE2422" s="1"/>
      <c r="CF2422" s="1"/>
      <c r="CG2422" s="1"/>
      <c r="CH2422" s="1"/>
      <c r="CI2422" s="1"/>
      <c r="CJ2422" s="1"/>
      <c r="CK2422" s="1"/>
      <c r="CL2422" s="1"/>
      <c r="CM2422" s="1"/>
      <c r="CN2422" s="1"/>
      <c r="CO2422" s="1"/>
      <c r="CP2422" s="1"/>
      <c r="CQ2422" s="1"/>
      <c r="CR2422" s="1"/>
      <c r="CS2422" s="1"/>
      <c r="CT2422" s="1"/>
      <c r="CU2422" s="1"/>
      <c r="CV2422" s="1"/>
      <c r="CW2422" s="1"/>
      <c r="CX2422" s="1"/>
      <c r="CY2422" s="1"/>
      <c r="CZ2422" s="1"/>
      <c r="DA2422" s="1"/>
      <c r="DB2422" s="1"/>
      <c r="DC2422" s="1"/>
      <c r="DD2422" s="1"/>
      <c r="DE2422" s="1"/>
      <c r="DF2422" s="1"/>
      <c r="DG2422" s="1"/>
      <c r="DH2422" s="1"/>
      <c r="DI2422" s="1"/>
      <c r="DJ2422" s="1"/>
      <c r="DK2422" s="1"/>
      <c r="DL2422" s="1"/>
      <c r="DM2422" s="1"/>
      <c r="DN2422" s="1"/>
      <c r="DO2422" s="1"/>
      <c r="DP2422" s="1"/>
      <c r="DQ2422" s="1"/>
      <c r="DR2422" s="1"/>
      <c r="DS2422" s="1"/>
      <c r="DT2422" s="1"/>
      <c r="DU2422" s="1"/>
      <c r="DV2422" s="1"/>
      <c r="DW2422" s="1"/>
      <c r="DX2422" s="1"/>
      <c r="DY2422" s="1"/>
      <c r="DZ2422" s="1"/>
      <c r="EA2422" s="1"/>
      <c r="EB2422" s="1"/>
      <c r="EC2422" s="1"/>
      <c r="ED2422" s="1"/>
      <c r="EE2422" s="1"/>
      <c r="EF2422" s="1"/>
      <c r="EG2422" s="1"/>
      <c r="EH2422" s="1"/>
      <c r="EI2422" s="1"/>
      <c r="EJ2422" s="1"/>
      <c r="EK2422" s="1"/>
      <c r="EL2422" s="1"/>
      <c r="EM2422" s="1"/>
      <c r="EN2422" s="1"/>
      <c r="EO2422" s="1"/>
      <c r="EP2422" s="1"/>
      <c r="EQ2422" s="1"/>
      <c r="ER2422" s="1"/>
      <c r="ES2422" s="1"/>
      <c r="ET2422" s="1"/>
      <c r="EU2422" s="1"/>
      <c r="EV2422" s="1"/>
      <c r="EW2422" s="1"/>
      <c r="EX2422" s="1"/>
      <c r="EY2422" s="1"/>
      <c r="EZ2422" s="1"/>
      <c r="FA2422" s="1"/>
      <c r="FB2422" s="1"/>
      <c r="FC2422" s="1"/>
      <c r="FD2422" s="1"/>
      <c r="FE2422" s="1"/>
      <c r="FF2422" s="1"/>
      <c r="FG2422" s="1"/>
      <c r="FH2422" s="1"/>
      <c r="FI2422" s="1"/>
      <c r="FJ2422" s="1"/>
      <c r="FK2422" s="1"/>
      <c r="FL2422" s="1"/>
      <c r="FM2422" s="1"/>
      <c r="FN2422" s="1"/>
      <c r="FO2422" s="1"/>
      <c r="FP2422" s="1"/>
      <c r="FQ2422" s="1"/>
      <c r="FR2422" s="1"/>
      <c r="FS2422" s="1"/>
      <c r="FT2422" s="1"/>
      <c r="FU2422" s="1"/>
      <c r="FV2422" s="1"/>
      <c r="FW2422" s="1"/>
      <c r="FX2422" s="1"/>
      <c r="FY2422" s="1"/>
      <c r="FZ2422" s="1"/>
      <c r="GA2422" s="1"/>
      <c r="GB2422" s="1"/>
      <c r="GC2422" s="1"/>
      <c r="GD2422" s="1"/>
      <c r="GE2422" s="1"/>
      <c r="GF2422" s="1"/>
      <c r="GG2422" s="1"/>
      <c r="GH2422" s="1"/>
      <c r="GI2422" s="1"/>
      <c r="GJ2422" s="1"/>
      <c r="GK2422" s="1"/>
      <c r="GL2422" s="1"/>
      <c r="GM2422" s="1"/>
      <c r="GN2422" s="1"/>
      <c r="GO2422" s="1"/>
      <c r="GP2422" s="1"/>
      <c r="GQ2422" s="1"/>
      <c r="GR2422" s="1"/>
      <c r="GS2422" s="1"/>
      <c r="GT2422" s="1"/>
      <c r="GU2422" s="1"/>
      <c r="GV2422" s="1"/>
      <c r="GW2422" s="1"/>
      <c r="GX2422" s="1"/>
      <c r="GY2422" s="1"/>
      <c r="GZ2422" s="1"/>
      <c r="HA2422" s="1"/>
      <c r="HB2422" s="1"/>
      <c r="HC2422" s="1"/>
      <c r="HD2422" s="1"/>
      <c r="HE2422" s="1"/>
      <c r="HF2422" s="1"/>
      <c r="HG2422" s="1"/>
      <c r="HH2422" s="1"/>
      <c r="HI2422" s="1"/>
      <c r="HJ2422" s="1"/>
      <c r="HK2422" s="1"/>
      <c r="HL2422" s="1"/>
      <c r="HM2422" s="1"/>
      <c r="HN2422" s="1"/>
      <c r="HO2422" s="1"/>
      <c r="HP2422" s="1"/>
      <c r="HQ2422" s="1"/>
    </row>
    <row r="2423" spans="1:225" x14ac:dyDescent="0.35">
      <c r="A2423" s="311"/>
      <c r="B2423" s="311"/>
      <c r="C2423" s="317"/>
      <c r="D2423" s="263"/>
      <c r="E2423" s="263"/>
      <c r="F2423" s="266"/>
      <c r="G2423" s="257"/>
      <c r="H2423" s="159" t="s">
        <v>76</v>
      </c>
      <c r="I2423" s="158">
        <f>K2423*D2421</f>
        <v>35764.959999999999</v>
      </c>
      <c r="J2423" s="158">
        <f>I2423/D2421</f>
        <v>112</v>
      </c>
      <c r="K2423" s="158">
        <v>112</v>
      </c>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1"/>
      <c r="AI2423" s="1"/>
      <c r="AJ2423" s="1"/>
      <c r="AK2423" s="1"/>
      <c r="AL2423" s="1"/>
      <c r="AM2423" s="1"/>
      <c r="AN2423" s="1"/>
      <c r="AO2423" s="1"/>
      <c r="AP2423" s="1"/>
      <c r="AQ2423" s="1"/>
      <c r="AR2423" s="1"/>
      <c r="AS2423" s="1"/>
      <c r="AT2423" s="1"/>
      <c r="AU2423" s="1"/>
      <c r="AV2423" s="1"/>
      <c r="AW2423" s="1"/>
      <c r="AX2423" s="1"/>
      <c r="AY2423" s="1"/>
      <c r="AZ2423" s="1"/>
      <c r="BA2423" s="1"/>
      <c r="BB2423" s="1"/>
      <c r="BC2423" s="1"/>
      <c r="BD2423" s="1"/>
      <c r="BE2423" s="1"/>
      <c r="BF2423" s="1"/>
      <c r="BG2423" s="1"/>
      <c r="BH2423" s="1"/>
      <c r="BI2423" s="1"/>
      <c r="BJ2423" s="1"/>
      <c r="BK2423" s="1"/>
      <c r="BL2423" s="1"/>
      <c r="BM2423" s="1"/>
      <c r="BN2423" s="1"/>
      <c r="BO2423" s="1"/>
      <c r="BP2423" s="1"/>
      <c r="BQ2423" s="1"/>
      <c r="BR2423" s="1"/>
      <c r="BS2423" s="1"/>
      <c r="BT2423" s="1"/>
      <c r="BU2423" s="1"/>
      <c r="BV2423" s="1"/>
      <c r="BW2423" s="1"/>
      <c r="BX2423" s="1"/>
      <c r="BY2423" s="1"/>
      <c r="BZ2423" s="1"/>
      <c r="CA2423" s="1"/>
      <c r="CB2423" s="1"/>
      <c r="CC2423" s="1"/>
      <c r="CD2423" s="1"/>
      <c r="CE2423" s="1"/>
      <c r="CF2423" s="1"/>
      <c r="CG2423" s="1"/>
      <c r="CH2423" s="1"/>
      <c r="CI2423" s="1"/>
      <c r="CJ2423" s="1"/>
      <c r="CK2423" s="1"/>
      <c r="CL2423" s="1"/>
      <c r="CM2423" s="1"/>
      <c r="CN2423" s="1"/>
      <c r="CO2423" s="1"/>
      <c r="CP2423" s="1"/>
      <c r="CQ2423" s="1"/>
      <c r="CR2423" s="1"/>
      <c r="CS2423" s="1"/>
      <c r="CT2423" s="1"/>
      <c r="CU2423" s="1"/>
      <c r="CV2423" s="1"/>
      <c r="CW2423" s="1"/>
      <c r="CX2423" s="1"/>
      <c r="CY2423" s="1"/>
      <c r="CZ2423" s="1"/>
      <c r="DA2423" s="1"/>
      <c r="DB2423" s="1"/>
      <c r="DC2423" s="1"/>
      <c r="DD2423" s="1"/>
      <c r="DE2423" s="1"/>
      <c r="DF2423" s="1"/>
      <c r="DG2423" s="1"/>
      <c r="DH2423" s="1"/>
      <c r="DI2423" s="1"/>
      <c r="DJ2423" s="1"/>
      <c r="DK2423" s="1"/>
      <c r="DL2423" s="1"/>
      <c r="DM2423" s="1"/>
      <c r="DN2423" s="1"/>
      <c r="DO2423" s="1"/>
      <c r="DP2423" s="1"/>
      <c r="DQ2423" s="1"/>
      <c r="DR2423" s="1"/>
      <c r="DS2423" s="1"/>
      <c r="DT2423" s="1"/>
      <c r="DU2423" s="1"/>
      <c r="DV2423" s="1"/>
      <c r="DW2423" s="1"/>
      <c r="DX2423" s="1"/>
      <c r="DY2423" s="1"/>
      <c r="DZ2423" s="1"/>
      <c r="EA2423" s="1"/>
      <c r="EB2423" s="1"/>
      <c r="EC2423" s="1"/>
      <c r="ED2423" s="1"/>
      <c r="EE2423" s="1"/>
      <c r="EF2423" s="1"/>
      <c r="EG2423" s="1"/>
      <c r="EH2423" s="1"/>
      <c r="EI2423" s="1"/>
      <c r="EJ2423" s="1"/>
      <c r="EK2423" s="1"/>
      <c r="EL2423" s="1"/>
      <c r="EM2423" s="1"/>
      <c r="EN2423" s="1"/>
      <c r="EO2423" s="1"/>
      <c r="EP2423" s="1"/>
      <c r="EQ2423" s="1"/>
      <c r="ER2423" s="1"/>
      <c r="ES2423" s="1"/>
      <c r="ET2423" s="1"/>
      <c r="EU2423" s="1"/>
      <c r="EV2423" s="1"/>
      <c r="EW2423" s="1"/>
      <c r="EX2423" s="1"/>
      <c r="EY2423" s="1"/>
      <c r="EZ2423" s="1"/>
      <c r="FA2423" s="1"/>
      <c r="FB2423" s="1"/>
      <c r="FC2423" s="1"/>
      <c r="FD2423" s="1"/>
      <c r="FE2423" s="1"/>
      <c r="FF2423" s="1"/>
      <c r="FG2423" s="1"/>
      <c r="FH2423" s="1"/>
      <c r="FI2423" s="1"/>
      <c r="FJ2423" s="1"/>
      <c r="FK2423" s="1"/>
      <c r="FL2423" s="1"/>
      <c r="FM2423" s="1"/>
      <c r="FN2423" s="1"/>
      <c r="FO2423" s="1"/>
      <c r="FP2423" s="1"/>
      <c r="FQ2423" s="1"/>
      <c r="FR2423" s="1"/>
      <c r="FS2423" s="1"/>
      <c r="FT2423" s="1"/>
      <c r="FU2423" s="1"/>
      <c r="FV2423" s="1"/>
      <c r="FW2423" s="1"/>
      <c r="FX2423" s="1"/>
      <c r="FY2423" s="1"/>
      <c r="FZ2423" s="1"/>
      <c r="GA2423" s="1"/>
      <c r="GB2423" s="1"/>
      <c r="GC2423" s="1"/>
      <c r="GD2423" s="1"/>
      <c r="GE2423" s="1"/>
      <c r="GF2423" s="1"/>
      <c r="GG2423" s="1"/>
      <c r="GH2423" s="1"/>
      <c r="GI2423" s="1"/>
      <c r="GJ2423" s="1"/>
      <c r="GK2423" s="1"/>
      <c r="GL2423" s="1"/>
      <c r="GM2423" s="1"/>
      <c r="GN2423" s="1"/>
      <c r="GO2423" s="1"/>
      <c r="GP2423" s="1"/>
      <c r="GQ2423" s="1"/>
      <c r="GR2423" s="1"/>
      <c r="GS2423" s="1"/>
      <c r="GT2423" s="1"/>
      <c r="GU2423" s="1"/>
      <c r="GV2423" s="1"/>
      <c r="GW2423" s="1"/>
      <c r="GX2423" s="1"/>
      <c r="GY2423" s="1"/>
      <c r="GZ2423" s="1"/>
      <c r="HA2423" s="1"/>
      <c r="HB2423" s="1"/>
      <c r="HC2423" s="1"/>
      <c r="HD2423" s="1"/>
      <c r="HE2423" s="1"/>
      <c r="HF2423" s="1"/>
      <c r="HG2423" s="1"/>
      <c r="HH2423" s="1"/>
      <c r="HI2423" s="1"/>
      <c r="HJ2423" s="1"/>
      <c r="HK2423" s="1"/>
      <c r="HL2423" s="1"/>
      <c r="HM2423" s="1"/>
      <c r="HN2423" s="1"/>
      <c r="HO2423" s="1"/>
      <c r="HP2423" s="1"/>
      <c r="HQ2423" s="1"/>
    </row>
    <row r="2424" spans="1:225" x14ac:dyDescent="0.35">
      <c r="A2424" s="311"/>
      <c r="B2424" s="311"/>
      <c r="C2424" s="317"/>
      <c r="D2424" s="263"/>
      <c r="E2424" s="263"/>
      <c r="F2424" s="266"/>
      <c r="G2424" s="257"/>
      <c r="H2424" s="159" t="s">
        <v>708</v>
      </c>
      <c r="I2424" s="158">
        <f>K2424*D2421</f>
        <v>1291689.8500000001</v>
      </c>
      <c r="J2424" s="158">
        <f>I2424/D2421</f>
        <v>4045</v>
      </c>
      <c r="K2424" s="158">
        <v>4045</v>
      </c>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1"/>
      <c r="AI2424" s="1"/>
      <c r="AJ2424" s="1"/>
      <c r="AK2424" s="1"/>
      <c r="AL2424" s="1"/>
      <c r="AM2424" s="1"/>
      <c r="AN2424" s="1"/>
      <c r="AO2424" s="1"/>
      <c r="AP2424" s="1"/>
      <c r="AQ2424" s="1"/>
      <c r="AR2424" s="1"/>
      <c r="AS2424" s="1"/>
      <c r="AT2424" s="1"/>
      <c r="AU2424" s="1"/>
      <c r="AV2424" s="1"/>
      <c r="AW2424" s="1"/>
      <c r="AX2424" s="1"/>
      <c r="AY2424" s="1"/>
      <c r="AZ2424" s="1"/>
      <c r="BA2424" s="1"/>
      <c r="BB2424" s="1"/>
      <c r="BC2424" s="1"/>
      <c r="BD2424" s="1"/>
      <c r="BE2424" s="1"/>
      <c r="BF2424" s="1"/>
      <c r="BG2424" s="1"/>
      <c r="BH2424" s="1"/>
      <c r="BI2424" s="1"/>
      <c r="BJ2424" s="1"/>
      <c r="BK2424" s="1"/>
      <c r="BL2424" s="1"/>
      <c r="BM2424" s="1"/>
      <c r="BN2424" s="1"/>
      <c r="BO2424" s="1"/>
      <c r="BP2424" s="1"/>
      <c r="BQ2424" s="1"/>
      <c r="BR2424" s="1"/>
      <c r="BS2424" s="1"/>
      <c r="BT2424" s="1"/>
      <c r="BU2424" s="1"/>
      <c r="BV2424" s="1"/>
      <c r="BW2424" s="1"/>
      <c r="BX2424" s="1"/>
      <c r="BY2424" s="1"/>
      <c r="BZ2424" s="1"/>
      <c r="CA2424" s="1"/>
      <c r="CB2424" s="1"/>
      <c r="CC2424" s="1"/>
      <c r="CD2424" s="1"/>
      <c r="CE2424" s="1"/>
      <c r="CF2424" s="1"/>
      <c r="CG2424" s="1"/>
      <c r="CH2424" s="1"/>
      <c r="CI2424" s="1"/>
      <c r="CJ2424" s="1"/>
      <c r="CK2424" s="1"/>
      <c r="CL2424" s="1"/>
      <c r="CM2424" s="1"/>
      <c r="CN2424" s="1"/>
      <c r="CO2424" s="1"/>
      <c r="CP2424" s="1"/>
      <c r="CQ2424" s="1"/>
      <c r="CR2424" s="1"/>
      <c r="CS2424" s="1"/>
      <c r="CT2424" s="1"/>
      <c r="CU2424" s="1"/>
      <c r="CV2424" s="1"/>
      <c r="CW2424" s="1"/>
      <c r="CX2424" s="1"/>
      <c r="CY2424" s="1"/>
      <c r="CZ2424" s="1"/>
      <c r="DA2424" s="1"/>
      <c r="DB2424" s="1"/>
      <c r="DC2424" s="1"/>
      <c r="DD2424" s="1"/>
      <c r="DE2424" s="1"/>
      <c r="DF2424" s="1"/>
      <c r="DG2424" s="1"/>
      <c r="DH2424" s="1"/>
      <c r="DI2424" s="1"/>
      <c r="DJ2424" s="1"/>
      <c r="DK2424" s="1"/>
      <c r="DL2424" s="1"/>
      <c r="DM2424" s="1"/>
      <c r="DN2424" s="1"/>
      <c r="DO2424" s="1"/>
      <c r="DP2424" s="1"/>
      <c r="DQ2424" s="1"/>
      <c r="DR2424" s="1"/>
      <c r="DS2424" s="1"/>
      <c r="DT2424" s="1"/>
      <c r="DU2424" s="1"/>
      <c r="DV2424" s="1"/>
      <c r="DW2424" s="1"/>
      <c r="DX2424" s="1"/>
      <c r="DY2424" s="1"/>
      <c r="DZ2424" s="1"/>
      <c r="EA2424" s="1"/>
      <c r="EB2424" s="1"/>
      <c r="EC2424" s="1"/>
      <c r="ED2424" s="1"/>
      <c r="EE2424" s="1"/>
      <c r="EF2424" s="1"/>
      <c r="EG2424" s="1"/>
      <c r="EH2424" s="1"/>
      <c r="EI2424" s="1"/>
      <c r="EJ2424" s="1"/>
      <c r="EK2424" s="1"/>
      <c r="EL2424" s="1"/>
      <c r="EM2424" s="1"/>
      <c r="EN2424" s="1"/>
      <c r="EO2424" s="1"/>
      <c r="EP2424" s="1"/>
      <c r="EQ2424" s="1"/>
      <c r="ER2424" s="1"/>
      <c r="ES2424" s="1"/>
      <c r="ET2424" s="1"/>
      <c r="EU2424" s="1"/>
      <c r="EV2424" s="1"/>
      <c r="EW2424" s="1"/>
      <c r="EX2424" s="1"/>
      <c r="EY2424" s="1"/>
      <c r="EZ2424" s="1"/>
      <c r="FA2424" s="1"/>
      <c r="FB2424" s="1"/>
      <c r="FC2424" s="1"/>
      <c r="FD2424" s="1"/>
      <c r="FE2424" s="1"/>
      <c r="FF2424" s="1"/>
      <c r="FG2424" s="1"/>
      <c r="FH2424" s="1"/>
      <c r="FI2424" s="1"/>
      <c r="FJ2424" s="1"/>
      <c r="FK2424" s="1"/>
      <c r="FL2424" s="1"/>
      <c r="FM2424" s="1"/>
      <c r="FN2424" s="1"/>
      <c r="FO2424" s="1"/>
      <c r="FP2424" s="1"/>
      <c r="FQ2424" s="1"/>
      <c r="FR2424" s="1"/>
      <c r="FS2424" s="1"/>
      <c r="FT2424" s="1"/>
      <c r="FU2424" s="1"/>
      <c r="FV2424" s="1"/>
      <c r="FW2424" s="1"/>
      <c r="FX2424" s="1"/>
      <c r="FY2424" s="1"/>
      <c r="FZ2424" s="1"/>
      <c r="GA2424" s="1"/>
      <c r="GB2424" s="1"/>
      <c r="GC2424" s="1"/>
      <c r="GD2424" s="1"/>
      <c r="GE2424" s="1"/>
      <c r="GF2424" s="1"/>
      <c r="GG2424" s="1"/>
      <c r="GH2424" s="1"/>
      <c r="GI2424" s="1"/>
      <c r="GJ2424" s="1"/>
      <c r="GK2424" s="1"/>
      <c r="GL2424" s="1"/>
      <c r="GM2424" s="1"/>
      <c r="GN2424" s="1"/>
      <c r="GO2424" s="1"/>
      <c r="GP2424" s="1"/>
      <c r="GQ2424" s="1"/>
      <c r="GR2424" s="1"/>
      <c r="GS2424" s="1"/>
      <c r="GT2424" s="1"/>
      <c r="GU2424" s="1"/>
      <c r="GV2424" s="1"/>
      <c r="GW2424" s="1"/>
      <c r="GX2424" s="1"/>
      <c r="GY2424" s="1"/>
      <c r="GZ2424" s="1"/>
      <c r="HA2424" s="1"/>
      <c r="HB2424" s="1"/>
      <c r="HC2424" s="1"/>
      <c r="HD2424" s="1"/>
      <c r="HE2424" s="1"/>
      <c r="HF2424" s="1"/>
      <c r="HG2424" s="1"/>
      <c r="HH2424" s="1"/>
      <c r="HI2424" s="1"/>
      <c r="HJ2424" s="1"/>
      <c r="HK2424" s="1"/>
      <c r="HL2424" s="1"/>
      <c r="HM2424" s="1"/>
      <c r="HN2424" s="1"/>
      <c r="HO2424" s="1"/>
      <c r="HP2424" s="1"/>
      <c r="HQ2424" s="1"/>
    </row>
    <row r="2425" spans="1:225" x14ac:dyDescent="0.35">
      <c r="A2425" s="312"/>
      <c r="B2425" s="312"/>
      <c r="C2425" s="318"/>
      <c r="D2425" s="264"/>
      <c r="E2425" s="264"/>
      <c r="F2425" s="267"/>
      <c r="G2425" s="258"/>
      <c r="H2425" s="159" t="s">
        <v>76</v>
      </c>
      <c r="I2425" s="158">
        <f>K2425*D2421</f>
        <v>27781.71</v>
      </c>
      <c r="J2425" s="158">
        <f>I2425/D2421</f>
        <v>87</v>
      </c>
      <c r="K2425" s="158">
        <v>87</v>
      </c>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1"/>
      <c r="AI2425" s="1"/>
      <c r="AJ2425" s="1"/>
      <c r="AK2425" s="1"/>
      <c r="AL2425" s="1"/>
      <c r="AM2425" s="1"/>
      <c r="AN2425" s="1"/>
      <c r="AO2425" s="1"/>
      <c r="AP2425" s="1"/>
      <c r="AQ2425" s="1"/>
      <c r="AR2425" s="1"/>
      <c r="AS2425" s="1"/>
      <c r="AT2425" s="1"/>
      <c r="AU2425" s="1"/>
      <c r="AV2425" s="1"/>
      <c r="AW2425" s="1"/>
      <c r="AX2425" s="1"/>
      <c r="AY2425" s="1"/>
      <c r="AZ2425" s="1"/>
      <c r="BA2425" s="1"/>
      <c r="BB2425" s="1"/>
      <c r="BC2425" s="1"/>
      <c r="BD2425" s="1"/>
      <c r="BE2425" s="1"/>
      <c r="BF2425" s="1"/>
      <c r="BG2425" s="1"/>
      <c r="BH2425" s="1"/>
      <c r="BI2425" s="1"/>
      <c r="BJ2425" s="1"/>
      <c r="BK2425" s="1"/>
      <c r="BL2425" s="1"/>
      <c r="BM2425" s="1"/>
      <c r="BN2425" s="1"/>
      <c r="BO2425" s="1"/>
      <c r="BP2425" s="1"/>
      <c r="BQ2425" s="1"/>
      <c r="BR2425" s="1"/>
      <c r="BS2425" s="1"/>
      <c r="BT2425" s="1"/>
      <c r="BU2425" s="1"/>
      <c r="BV2425" s="1"/>
      <c r="BW2425" s="1"/>
      <c r="BX2425" s="1"/>
      <c r="BY2425" s="1"/>
      <c r="BZ2425" s="1"/>
      <c r="CA2425" s="1"/>
      <c r="CB2425" s="1"/>
      <c r="CC2425" s="1"/>
      <c r="CD2425" s="1"/>
      <c r="CE2425" s="1"/>
      <c r="CF2425" s="1"/>
      <c r="CG2425" s="1"/>
      <c r="CH2425" s="1"/>
      <c r="CI2425" s="1"/>
      <c r="CJ2425" s="1"/>
      <c r="CK2425" s="1"/>
      <c r="CL2425" s="1"/>
      <c r="CM2425" s="1"/>
      <c r="CN2425" s="1"/>
      <c r="CO2425" s="1"/>
      <c r="CP2425" s="1"/>
      <c r="CQ2425" s="1"/>
      <c r="CR2425" s="1"/>
      <c r="CS2425" s="1"/>
      <c r="CT2425" s="1"/>
      <c r="CU2425" s="1"/>
      <c r="CV2425" s="1"/>
      <c r="CW2425" s="1"/>
      <c r="CX2425" s="1"/>
      <c r="CY2425" s="1"/>
      <c r="CZ2425" s="1"/>
      <c r="DA2425" s="1"/>
      <c r="DB2425" s="1"/>
      <c r="DC2425" s="1"/>
      <c r="DD2425" s="1"/>
      <c r="DE2425" s="1"/>
      <c r="DF2425" s="1"/>
      <c r="DG2425" s="1"/>
      <c r="DH2425" s="1"/>
      <c r="DI2425" s="1"/>
      <c r="DJ2425" s="1"/>
      <c r="DK2425" s="1"/>
      <c r="DL2425" s="1"/>
      <c r="DM2425" s="1"/>
      <c r="DN2425" s="1"/>
      <c r="DO2425" s="1"/>
      <c r="DP2425" s="1"/>
      <c r="DQ2425" s="1"/>
      <c r="DR2425" s="1"/>
      <c r="DS2425" s="1"/>
      <c r="DT2425" s="1"/>
      <c r="DU2425" s="1"/>
      <c r="DV2425" s="1"/>
      <c r="DW2425" s="1"/>
      <c r="DX2425" s="1"/>
      <c r="DY2425" s="1"/>
      <c r="DZ2425" s="1"/>
      <c r="EA2425" s="1"/>
      <c r="EB2425" s="1"/>
      <c r="EC2425" s="1"/>
      <c r="ED2425" s="1"/>
      <c r="EE2425" s="1"/>
      <c r="EF2425" s="1"/>
      <c r="EG2425" s="1"/>
      <c r="EH2425" s="1"/>
      <c r="EI2425" s="1"/>
      <c r="EJ2425" s="1"/>
      <c r="EK2425" s="1"/>
      <c r="EL2425" s="1"/>
      <c r="EM2425" s="1"/>
      <c r="EN2425" s="1"/>
      <c r="EO2425" s="1"/>
      <c r="EP2425" s="1"/>
      <c r="EQ2425" s="1"/>
      <c r="ER2425" s="1"/>
      <c r="ES2425" s="1"/>
      <c r="ET2425" s="1"/>
      <c r="EU2425" s="1"/>
      <c r="EV2425" s="1"/>
      <c r="EW2425" s="1"/>
      <c r="EX2425" s="1"/>
      <c r="EY2425" s="1"/>
      <c r="EZ2425" s="1"/>
      <c r="FA2425" s="1"/>
      <c r="FB2425" s="1"/>
      <c r="FC2425" s="1"/>
      <c r="FD2425" s="1"/>
      <c r="FE2425" s="1"/>
      <c r="FF2425" s="1"/>
      <c r="FG2425" s="1"/>
      <c r="FH2425" s="1"/>
      <c r="FI2425" s="1"/>
      <c r="FJ2425" s="1"/>
      <c r="FK2425" s="1"/>
      <c r="FL2425" s="1"/>
      <c r="FM2425" s="1"/>
      <c r="FN2425" s="1"/>
      <c r="FO2425" s="1"/>
      <c r="FP2425" s="1"/>
      <c r="FQ2425" s="1"/>
      <c r="FR2425" s="1"/>
      <c r="FS2425" s="1"/>
      <c r="FT2425" s="1"/>
      <c r="FU2425" s="1"/>
      <c r="FV2425" s="1"/>
      <c r="FW2425" s="1"/>
      <c r="FX2425" s="1"/>
      <c r="FY2425" s="1"/>
      <c r="FZ2425" s="1"/>
      <c r="GA2425" s="1"/>
      <c r="GB2425" s="1"/>
      <c r="GC2425" s="1"/>
      <c r="GD2425" s="1"/>
      <c r="GE2425" s="1"/>
      <c r="GF2425" s="1"/>
      <c r="GG2425" s="1"/>
      <c r="GH2425" s="1"/>
      <c r="GI2425" s="1"/>
      <c r="GJ2425" s="1"/>
      <c r="GK2425" s="1"/>
      <c r="GL2425" s="1"/>
      <c r="GM2425" s="1"/>
      <c r="GN2425" s="1"/>
      <c r="GO2425" s="1"/>
      <c r="GP2425" s="1"/>
      <c r="GQ2425" s="1"/>
      <c r="GR2425" s="1"/>
      <c r="GS2425" s="1"/>
      <c r="GT2425" s="1"/>
      <c r="GU2425" s="1"/>
      <c r="GV2425" s="1"/>
      <c r="GW2425" s="1"/>
      <c r="GX2425" s="1"/>
      <c r="GY2425" s="1"/>
      <c r="GZ2425" s="1"/>
      <c r="HA2425" s="1"/>
      <c r="HB2425" s="1"/>
      <c r="HC2425" s="1"/>
      <c r="HD2425" s="1"/>
      <c r="HE2425" s="1"/>
      <c r="HF2425" s="1"/>
      <c r="HG2425" s="1"/>
      <c r="HH2425" s="1"/>
      <c r="HI2425" s="1"/>
      <c r="HJ2425" s="1"/>
      <c r="HK2425" s="1"/>
      <c r="HL2425" s="1"/>
      <c r="HM2425" s="1"/>
      <c r="HN2425" s="1"/>
      <c r="HO2425" s="1"/>
      <c r="HP2425" s="1"/>
      <c r="HQ2425" s="1"/>
    </row>
    <row r="2426" spans="1:225" ht="15.75" customHeight="1" x14ac:dyDescent="0.35">
      <c r="A2426" s="153" t="s">
        <v>39</v>
      </c>
      <c r="B2426" s="147"/>
      <c r="C2426" s="73"/>
      <c r="D2426" s="125">
        <f>D2427+D2429</f>
        <v>858</v>
      </c>
      <c r="E2426" s="125"/>
      <c r="F2426" s="125"/>
      <c r="G2426" s="125"/>
      <c r="H2426" s="162"/>
      <c r="I2426" s="158">
        <f>I2427+I2429</f>
        <v>1606261.6</v>
      </c>
      <c r="J2426" s="158"/>
      <c r="K2426" s="158"/>
      <c r="HP2426" s="1"/>
      <c r="HQ2426" s="1"/>
    </row>
    <row r="2427" spans="1:225" ht="15.75" customHeight="1" x14ac:dyDescent="0.35">
      <c r="A2427" s="256">
        <v>1</v>
      </c>
      <c r="B2427" s="256">
        <v>6736</v>
      </c>
      <c r="C2427" s="259" t="s">
        <v>622</v>
      </c>
      <c r="D2427" s="262">
        <v>401.2</v>
      </c>
      <c r="E2427" s="262" t="s">
        <v>665</v>
      </c>
      <c r="F2427" s="265">
        <v>2</v>
      </c>
      <c r="G2427" s="144"/>
      <c r="H2427" s="159" t="s">
        <v>73</v>
      </c>
      <c r="I2427" s="158">
        <f>I2428</f>
        <v>71413.600000000006</v>
      </c>
      <c r="J2427" s="158">
        <f>J2428</f>
        <v>178</v>
      </c>
      <c r="K2427" s="158">
        <f>K2428</f>
        <v>178</v>
      </c>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1"/>
      <c r="AI2427" s="1"/>
      <c r="AJ2427" s="1"/>
      <c r="AK2427" s="1"/>
      <c r="AL2427" s="1"/>
      <c r="AM2427" s="1"/>
      <c r="AN2427" s="1"/>
      <c r="AO2427" s="1"/>
      <c r="AP2427" s="1"/>
      <c r="AQ2427" s="1"/>
      <c r="AR2427" s="1"/>
      <c r="AS2427" s="1"/>
      <c r="AT2427" s="1"/>
      <c r="AU2427" s="1"/>
      <c r="AV2427" s="1"/>
      <c r="AW2427" s="1"/>
      <c r="AX2427" s="1"/>
      <c r="AY2427" s="1"/>
      <c r="AZ2427" s="1"/>
      <c r="BA2427" s="1"/>
      <c r="BB2427" s="1"/>
      <c r="BC2427" s="1"/>
      <c r="BD2427" s="1"/>
      <c r="BE2427" s="1"/>
      <c r="BF2427" s="1"/>
      <c r="BG2427" s="1"/>
      <c r="BH2427" s="1"/>
      <c r="BI2427" s="1"/>
      <c r="BJ2427" s="1"/>
      <c r="BK2427" s="1"/>
      <c r="BL2427" s="1"/>
      <c r="BM2427" s="1"/>
      <c r="BN2427" s="1"/>
      <c r="BO2427" s="1"/>
      <c r="BP2427" s="1"/>
      <c r="BQ2427" s="1"/>
      <c r="BR2427" s="1"/>
      <c r="BS2427" s="1"/>
      <c r="BT2427" s="1"/>
      <c r="BU2427" s="1"/>
      <c r="BV2427" s="1"/>
      <c r="BW2427" s="1"/>
      <c r="BX2427" s="1"/>
      <c r="BY2427" s="1"/>
      <c r="BZ2427" s="1"/>
      <c r="CA2427" s="1"/>
      <c r="CB2427" s="1"/>
      <c r="CC2427" s="1"/>
      <c r="CD2427" s="1"/>
      <c r="CE2427" s="1"/>
      <c r="CF2427" s="1"/>
      <c r="CG2427" s="1"/>
      <c r="CH2427" s="1"/>
      <c r="CI2427" s="1"/>
      <c r="CJ2427" s="1"/>
      <c r="CK2427" s="1"/>
      <c r="CL2427" s="1"/>
      <c r="CM2427" s="1"/>
      <c r="CN2427" s="1"/>
      <c r="CO2427" s="1"/>
      <c r="CP2427" s="1"/>
      <c r="CQ2427" s="1"/>
      <c r="CR2427" s="1"/>
      <c r="CS2427" s="1"/>
      <c r="CT2427" s="1"/>
      <c r="CU2427" s="1"/>
      <c r="CV2427" s="1"/>
      <c r="CW2427" s="1"/>
      <c r="CX2427" s="1"/>
      <c r="CY2427" s="1"/>
      <c r="CZ2427" s="1"/>
      <c r="DA2427" s="1"/>
      <c r="DB2427" s="1"/>
      <c r="DC2427" s="1"/>
      <c r="DD2427" s="1"/>
      <c r="DE2427" s="1"/>
      <c r="DF2427" s="1"/>
      <c r="DG2427" s="1"/>
      <c r="DH2427" s="1"/>
      <c r="DI2427" s="1"/>
      <c r="DJ2427" s="1"/>
      <c r="DK2427" s="1"/>
      <c r="DL2427" s="1"/>
      <c r="DM2427" s="1"/>
      <c r="DN2427" s="1"/>
      <c r="DO2427" s="1"/>
      <c r="DP2427" s="1"/>
      <c r="DQ2427" s="1"/>
      <c r="DR2427" s="1"/>
      <c r="DS2427" s="1"/>
      <c r="DT2427" s="1"/>
      <c r="DU2427" s="1"/>
      <c r="DV2427" s="1"/>
      <c r="DW2427" s="1"/>
      <c r="DX2427" s="1"/>
      <c r="DY2427" s="1"/>
      <c r="DZ2427" s="1"/>
      <c r="EA2427" s="1"/>
      <c r="EB2427" s="1"/>
      <c r="EC2427" s="1"/>
      <c r="ED2427" s="1"/>
      <c r="EE2427" s="1"/>
      <c r="EF2427" s="1"/>
      <c r="EG2427" s="1"/>
      <c r="EH2427" s="1"/>
      <c r="EI2427" s="1"/>
      <c r="EJ2427" s="1"/>
      <c r="EK2427" s="1"/>
      <c r="EL2427" s="1"/>
      <c r="EM2427" s="1"/>
      <c r="EN2427" s="1"/>
      <c r="EO2427" s="1"/>
      <c r="EP2427" s="1"/>
      <c r="EQ2427" s="1"/>
      <c r="ER2427" s="1"/>
      <c r="ES2427" s="1"/>
      <c r="ET2427" s="1"/>
      <c r="EU2427" s="1"/>
      <c r="EV2427" s="1"/>
      <c r="EW2427" s="1"/>
      <c r="EX2427" s="1"/>
      <c r="EY2427" s="1"/>
      <c r="EZ2427" s="1"/>
      <c r="FA2427" s="1"/>
      <c r="FB2427" s="1"/>
      <c r="FC2427" s="1"/>
      <c r="FD2427" s="1"/>
      <c r="FE2427" s="1"/>
      <c r="FF2427" s="1"/>
      <c r="FG2427" s="1"/>
      <c r="FH2427" s="1"/>
      <c r="FI2427" s="1"/>
      <c r="FJ2427" s="1"/>
      <c r="FK2427" s="1"/>
      <c r="FL2427" s="1"/>
      <c r="FM2427" s="1"/>
      <c r="FN2427" s="1"/>
      <c r="FO2427" s="1"/>
      <c r="FP2427" s="1"/>
      <c r="FQ2427" s="1"/>
      <c r="FR2427" s="1"/>
      <c r="FS2427" s="1"/>
      <c r="FT2427" s="1"/>
      <c r="FU2427" s="1"/>
      <c r="FV2427" s="1"/>
      <c r="FW2427" s="1"/>
      <c r="FX2427" s="1"/>
      <c r="FY2427" s="1"/>
      <c r="FZ2427" s="1"/>
      <c r="GA2427" s="1"/>
      <c r="GB2427" s="1"/>
      <c r="GC2427" s="1"/>
      <c r="GD2427" s="1"/>
      <c r="GE2427" s="1"/>
      <c r="GF2427" s="1"/>
      <c r="GG2427" s="1"/>
      <c r="GH2427" s="1"/>
      <c r="GI2427" s="1"/>
      <c r="GJ2427" s="1"/>
      <c r="GK2427" s="1"/>
      <c r="GL2427" s="1"/>
      <c r="GM2427" s="1"/>
      <c r="GN2427" s="1"/>
      <c r="GO2427" s="1"/>
      <c r="GP2427" s="1"/>
      <c r="GQ2427" s="1"/>
      <c r="GR2427" s="1"/>
      <c r="GS2427" s="1"/>
      <c r="GT2427" s="1"/>
      <c r="GU2427" s="1"/>
      <c r="GV2427" s="1"/>
      <c r="GW2427" s="1"/>
      <c r="GX2427" s="1"/>
      <c r="GY2427" s="1"/>
      <c r="GZ2427" s="1"/>
      <c r="HA2427" s="1"/>
      <c r="HB2427" s="1"/>
      <c r="HC2427" s="1"/>
      <c r="HD2427" s="1"/>
      <c r="HE2427" s="1"/>
      <c r="HF2427" s="1"/>
      <c r="HG2427" s="1"/>
      <c r="HH2427" s="1"/>
      <c r="HI2427" s="1"/>
      <c r="HJ2427" s="1"/>
      <c r="HK2427" s="1"/>
      <c r="HL2427" s="1"/>
      <c r="HM2427" s="1"/>
      <c r="HN2427" s="1"/>
      <c r="HO2427" s="1"/>
      <c r="HP2427" s="1"/>
      <c r="HQ2427" s="1"/>
    </row>
    <row r="2428" spans="1:225" ht="46.5" x14ac:dyDescent="0.35">
      <c r="A2428" s="257"/>
      <c r="B2428" s="258"/>
      <c r="C2428" s="260"/>
      <c r="D2428" s="263"/>
      <c r="E2428" s="264"/>
      <c r="F2428" s="267"/>
      <c r="G2428" s="123" t="s">
        <v>72</v>
      </c>
      <c r="H2428" s="159" t="s">
        <v>705</v>
      </c>
      <c r="I2428" s="158">
        <f>K2428*D2427</f>
        <v>71413.600000000006</v>
      </c>
      <c r="J2428" s="158">
        <f>I2428/D2427</f>
        <v>178</v>
      </c>
      <c r="K2428" s="158">
        <f>164+14</f>
        <v>178</v>
      </c>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1"/>
      <c r="AI2428" s="1"/>
      <c r="AJ2428" s="1"/>
      <c r="AK2428" s="1"/>
      <c r="AL2428" s="1"/>
      <c r="AM2428" s="1"/>
      <c r="AN2428" s="1"/>
      <c r="AO2428" s="1"/>
      <c r="AP2428" s="1"/>
      <c r="AQ2428" s="1"/>
      <c r="AR2428" s="1"/>
      <c r="AS2428" s="1"/>
      <c r="AT2428" s="1"/>
      <c r="AU2428" s="1"/>
      <c r="AV2428" s="1"/>
      <c r="AW2428" s="1"/>
      <c r="AX2428" s="1"/>
      <c r="AY2428" s="1"/>
      <c r="AZ2428" s="1"/>
      <c r="BA2428" s="1"/>
      <c r="BB2428" s="1"/>
      <c r="BC2428" s="1"/>
      <c r="BD2428" s="1"/>
      <c r="BE2428" s="1"/>
      <c r="BF2428" s="1"/>
      <c r="BG2428" s="1"/>
      <c r="BH2428" s="1"/>
      <c r="BI2428" s="1"/>
      <c r="BJ2428" s="1"/>
      <c r="BK2428" s="1"/>
      <c r="BL2428" s="1"/>
      <c r="BM2428" s="1"/>
      <c r="BN2428" s="1"/>
      <c r="BO2428" s="1"/>
      <c r="BP2428" s="1"/>
      <c r="BQ2428" s="1"/>
      <c r="BR2428" s="1"/>
      <c r="BS2428" s="1"/>
      <c r="BT2428" s="1"/>
      <c r="BU2428" s="1"/>
      <c r="BV2428" s="1"/>
      <c r="BW2428" s="1"/>
      <c r="BX2428" s="1"/>
      <c r="BY2428" s="1"/>
      <c r="BZ2428" s="1"/>
      <c r="CA2428" s="1"/>
      <c r="CB2428" s="1"/>
      <c r="CC2428" s="1"/>
      <c r="CD2428" s="1"/>
      <c r="CE2428" s="1"/>
      <c r="CF2428" s="1"/>
      <c r="CG2428" s="1"/>
      <c r="CH2428" s="1"/>
      <c r="CI2428" s="1"/>
      <c r="CJ2428" s="1"/>
      <c r="CK2428" s="1"/>
      <c r="CL2428" s="1"/>
      <c r="CM2428" s="1"/>
      <c r="CN2428" s="1"/>
      <c r="CO2428" s="1"/>
      <c r="CP2428" s="1"/>
      <c r="CQ2428" s="1"/>
      <c r="CR2428" s="1"/>
      <c r="CS2428" s="1"/>
      <c r="CT2428" s="1"/>
      <c r="CU2428" s="1"/>
      <c r="CV2428" s="1"/>
      <c r="CW2428" s="1"/>
      <c r="CX2428" s="1"/>
      <c r="CY2428" s="1"/>
      <c r="CZ2428" s="1"/>
      <c r="DA2428" s="1"/>
      <c r="DB2428" s="1"/>
      <c r="DC2428" s="1"/>
      <c r="DD2428" s="1"/>
      <c r="DE2428" s="1"/>
      <c r="DF2428" s="1"/>
      <c r="DG2428" s="1"/>
      <c r="DH2428" s="1"/>
      <c r="DI2428" s="1"/>
      <c r="DJ2428" s="1"/>
      <c r="DK2428" s="1"/>
      <c r="DL2428" s="1"/>
      <c r="DM2428" s="1"/>
      <c r="DN2428" s="1"/>
      <c r="DO2428" s="1"/>
      <c r="DP2428" s="1"/>
      <c r="DQ2428" s="1"/>
      <c r="DR2428" s="1"/>
      <c r="DS2428" s="1"/>
      <c r="DT2428" s="1"/>
      <c r="DU2428" s="1"/>
      <c r="DV2428" s="1"/>
      <c r="DW2428" s="1"/>
      <c r="DX2428" s="1"/>
      <c r="DY2428" s="1"/>
      <c r="DZ2428" s="1"/>
      <c r="EA2428" s="1"/>
      <c r="EB2428" s="1"/>
      <c r="EC2428" s="1"/>
      <c r="ED2428" s="1"/>
      <c r="EE2428" s="1"/>
      <c r="EF2428" s="1"/>
      <c r="EG2428" s="1"/>
      <c r="EH2428" s="1"/>
      <c r="EI2428" s="1"/>
      <c r="EJ2428" s="1"/>
      <c r="EK2428" s="1"/>
      <c r="EL2428" s="1"/>
      <c r="EM2428" s="1"/>
      <c r="EN2428" s="1"/>
      <c r="EO2428" s="1"/>
      <c r="EP2428" s="1"/>
      <c r="EQ2428" s="1"/>
      <c r="ER2428" s="1"/>
      <c r="ES2428" s="1"/>
      <c r="ET2428" s="1"/>
      <c r="EU2428" s="1"/>
      <c r="EV2428" s="1"/>
      <c r="EW2428" s="1"/>
      <c r="EX2428" s="1"/>
      <c r="EY2428" s="1"/>
      <c r="EZ2428" s="1"/>
      <c r="FA2428" s="1"/>
      <c r="FB2428" s="1"/>
      <c r="FC2428" s="1"/>
      <c r="FD2428" s="1"/>
      <c r="FE2428" s="1"/>
      <c r="FF2428" s="1"/>
      <c r="FG2428" s="1"/>
      <c r="FH2428" s="1"/>
      <c r="FI2428" s="1"/>
      <c r="FJ2428" s="1"/>
      <c r="FK2428" s="1"/>
      <c r="FL2428" s="1"/>
      <c r="FM2428" s="1"/>
      <c r="FN2428" s="1"/>
      <c r="FO2428" s="1"/>
      <c r="FP2428" s="1"/>
      <c r="FQ2428" s="1"/>
      <c r="FR2428" s="1"/>
      <c r="FS2428" s="1"/>
      <c r="FT2428" s="1"/>
      <c r="FU2428" s="1"/>
      <c r="FV2428" s="1"/>
      <c r="FW2428" s="1"/>
      <c r="FX2428" s="1"/>
      <c r="FY2428" s="1"/>
      <c r="FZ2428" s="1"/>
      <c r="GA2428" s="1"/>
      <c r="GB2428" s="1"/>
      <c r="GC2428" s="1"/>
      <c r="GD2428" s="1"/>
      <c r="GE2428" s="1"/>
      <c r="GF2428" s="1"/>
      <c r="GG2428" s="1"/>
      <c r="GH2428" s="1"/>
      <c r="GI2428" s="1"/>
      <c r="GJ2428" s="1"/>
      <c r="GK2428" s="1"/>
      <c r="GL2428" s="1"/>
      <c r="GM2428" s="1"/>
      <c r="GN2428" s="1"/>
      <c r="GO2428" s="1"/>
      <c r="GP2428" s="1"/>
      <c r="GQ2428" s="1"/>
      <c r="GR2428" s="1"/>
      <c r="GS2428" s="1"/>
      <c r="GT2428" s="1"/>
      <c r="GU2428" s="1"/>
      <c r="GV2428" s="1"/>
      <c r="GW2428" s="1"/>
      <c r="GX2428" s="1"/>
      <c r="GY2428" s="1"/>
      <c r="GZ2428" s="1"/>
      <c r="HA2428" s="1"/>
      <c r="HB2428" s="1"/>
      <c r="HC2428" s="1"/>
      <c r="HD2428" s="1"/>
      <c r="HE2428" s="1"/>
      <c r="HF2428" s="1"/>
      <c r="HG2428" s="1"/>
      <c r="HH2428" s="1"/>
      <c r="HI2428" s="1"/>
      <c r="HJ2428" s="1"/>
      <c r="HK2428" s="1"/>
      <c r="HL2428" s="1"/>
      <c r="HM2428" s="1"/>
      <c r="HN2428" s="1"/>
      <c r="HO2428" s="1"/>
      <c r="HP2428" s="1"/>
      <c r="HQ2428" s="1"/>
    </row>
    <row r="2429" spans="1:225" ht="15.75" customHeight="1" x14ac:dyDescent="0.35">
      <c r="A2429" s="256">
        <f>A2427+1</f>
        <v>2</v>
      </c>
      <c r="B2429" s="256">
        <v>6742</v>
      </c>
      <c r="C2429" s="259" t="s">
        <v>709</v>
      </c>
      <c r="D2429" s="262">
        <v>456.8</v>
      </c>
      <c r="E2429" s="262" t="s">
        <v>75</v>
      </c>
      <c r="F2429" s="265">
        <v>2</v>
      </c>
      <c r="G2429" s="144"/>
      <c r="H2429" s="159" t="s">
        <v>73</v>
      </c>
      <c r="I2429" s="158">
        <f>I2430+I2431+I2432+I2433+I2434+I2435</f>
        <v>1534848</v>
      </c>
      <c r="J2429" s="158">
        <f>J2430+J2431+J2432+J2433+J2434+J2435</f>
        <v>3360</v>
      </c>
      <c r="K2429" s="158">
        <f>K2430+K2431+K2432+K2433+K2434+K2435</f>
        <v>3360</v>
      </c>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1"/>
      <c r="AI2429" s="1"/>
      <c r="AJ2429" s="1"/>
      <c r="AK2429" s="1"/>
      <c r="AL2429" s="1"/>
      <c r="AM2429" s="1"/>
      <c r="AN2429" s="1"/>
      <c r="AO2429" s="1"/>
      <c r="AP2429" s="1"/>
      <c r="AQ2429" s="1"/>
      <c r="AR2429" s="1"/>
      <c r="AS2429" s="1"/>
      <c r="AT2429" s="1"/>
      <c r="AU2429" s="1"/>
      <c r="AV2429" s="1"/>
      <c r="AW2429" s="1"/>
      <c r="AX2429" s="1"/>
      <c r="AY2429" s="1"/>
      <c r="AZ2429" s="1"/>
      <c r="BA2429" s="1"/>
      <c r="BB2429" s="1"/>
      <c r="BC2429" s="1"/>
      <c r="BD2429" s="1"/>
      <c r="BE2429" s="1"/>
      <c r="BF2429" s="1"/>
      <c r="BG2429" s="1"/>
      <c r="BH2429" s="1"/>
      <c r="BI2429" s="1"/>
      <c r="BJ2429" s="1"/>
      <c r="BK2429" s="1"/>
      <c r="BL2429" s="1"/>
      <c r="BM2429" s="1"/>
      <c r="BN2429" s="1"/>
      <c r="BO2429" s="1"/>
      <c r="BP2429" s="1"/>
      <c r="BQ2429" s="1"/>
      <c r="BR2429" s="1"/>
      <c r="BS2429" s="1"/>
      <c r="BT2429" s="1"/>
      <c r="BU2429" s="1"/>
      <c r="BV2429" s="1"/>
      <c r="BW2429" s="1"/>
      <c r="BX2429" s="1"/>
      <c r="BY2429" s="1"/>
      <c r="BZ2429" s="1"/>
      <c r="CA2429" s="1"/>
      <c r="CB2429" s="1"/>
      <c r="CC2429" s="1"/>
      <c r="CD2429" s="1"/>
      <c r="CE2429" s="1"/>
      <c r="CF2429" s="1"/>
      <c r="CG2429" s="1"/>
      <c r="CH2429" s="1"/>
      <c r="CI2429" s="1"/>
      <c r="CJ2429" s="1"/>
      <c r="CK2429" s="1"/>
      <c r="CL2429" s="1"/>
      <c r="CM2429" s="1"/>
      <c r="CN2429" s="1"/>
      <c r="CO2429" s="1"/>
      <c r="CP2429" s="1"/>
      <c r="CQ2429" s="1"/>
      <c r="CR2429" s="1"/>
      <c r="CS2429" s="1"/>
      <c r="CT2429" s="1"/>
      <c r="CU2429" s="1"/>
      <c r="CV2429" s="1"/>
      <c r="CW2429" s="1"/>
      <c r="CX2429" s="1"/>
      <c r="CY2429" s="1"/>
      <c r="CZ2429" s="1"/>
      <c r="DA2429" s="1"/>
      <c r="DB2429" s="1"/>
      <c r="DC2429" s="1"/>
      <c r="DD2429" s="1"/>
      <c r="DE2429" s="1"/>
      <c r="DF2429" s="1"/>
      <c r="DG2429" s="1"/>
      <c r="DH2429" s="1"/>
      <c r="DI2429" s="1"/>
      <c r="DJ2429" s="1"/>
      <c r="DK2429" s="1"/>
      <c r="DL2429" s="1"/>
      <c r="DM2429" s="1"/>
      <c r="DN2429" s="1"/>
      <c r="DO2429" s="1"/>
      <c r="DP2429" s="1"/>
      <c r="DQ2429" s="1"/>
      <c r="DR2429" s="1"/>
      <c r="DS2429" s="1"/>
      <c r="DT2429" s="1"/>
      <c r="DU2429" s="1"/>
      <c r="DV2429" s="1"/>
      <c r="DW2429" s="1"/>
      <c r="DX2429" s="1"/>
      <c r="DY2429" s="1"/>
      <c r="DZ2429" s="1"/>
      <c r="EA2429" s="1"/>
      <c r="EB2429" s="1"/>
      <c r="EC2429" s="1"/>
      <c r="ED2429" s="1"/>
      <c r="EE2429" s="1"/>
      <c r="EF2429" s="1"/>
      <c r="EG2429" s="1"/>
      <c r="EH2429" s="1"/>
      <c r="EI2429" s="1"/>
      <c r="EJ2429" s="1"/>
      <c r="EK2429" s="1"/>
      <c r="EL2429" s="1"/>
      <c r="EM2429" s="1"/>
      <c r="EN2429" s="1"/>
      <c r="EO2429" s="1"/>
      <c r="EP2429" s="1"/>
      <c r="EQ2429" s="1"/>
      <c r="ER2429" s="1"/>
      <c r="ES2429" s="1"/>
      <c r="ET2429" s="1"/>
      <c r="EU2429" s="1"/>
      <c r="EV2429" s="1"/>
      <c r="EW2429" s="1"/>
      <c r="EX2429" s="1"/>
      <c r="EY2429" s="1"/>
      <c r="EZ2429" s="1"/>
      <c r="FA2429" s="1"/>
      <c r="FB2429" s="1"/>
      <c r="FC2429" s="1"/>
      <c r="FD2429" s="1"/>
      <c r="FE2429" s="1"/>
      <c r="FF2429" s="1"/>
      <c r="FG2429" s="1"/>
      <c r="FH2429" s="1"/>
      <c r="FI2429" s="1"/>
      <c r="FJ2429" s="1"/>
      <c r="FK2429" s="1"/>
      <c r="FL2429" s="1"/>
      <c r="FM2429" s="1"/>
      <c r="FN2429" s="1"/>
      <c r="FO2429" s="1"/>
      <c r="FP2429" s="1"/>
      <c r="FQ2429" s="1"/>
      <c r="FR2429" s="1"/>
      <c r="FS2429" s="1"/>
      <c r="FT2429" s="1"/>
      <c r="FU2429" s="1"/>
      <c r="FV2429" s="1"/>
      <c r="FW2429" s="1"/>
      <c r="FX2429" s="1"/>
      <c r="FY2429" s="1"/>
      <c r="FZ2429" s="1"/>
      <c r="GA2429" s="1"/>
      <c r="GB2429" s="1"/>
      <c r="GC2429" s="1"/>
      <c r="GD2429" s="1"/>
      <c r="GE2429" s="1"/>
      <c r="GF2429" s="1"/>
      <c r="GG2429" s="1"/>
      <c r="GH2429" s="1"/>
      <c r="GI2429" s="1"/>
      <c r="GJ2429" s="1"/>
      <c r="GK2429" s="1"/>
      <c r="GL2429" s="1"/>
      <c r="GM2429" s="1"/>
      <c r="GN2429" s="1"/>
      <c r="GO2429" s="1"/>
      <c r="GP2429" s="1"/>
      <c r="GQ2429" s="1"/>
      <c r="GR2429" s="1"/>
      <c r="GS2429" s="1"/>
      <c r="GT2429" s="1"/>
      <c r="GU2429" s="1"/>
      <c r="GV2429" s="1"/>
      <c r="GW2429" s="1"/>
      <c r="GX2429" s="1"/>
      <c r="GY2429" s="1"/>
      <c r="GZ2429" s="1"/>
      <c r="HA2429" s="1"/>
      <c r="HB2429" s="1"/>
      <c r="HC2429" s="1"/>
      <c r="HD2429" s="1"/>
      <c r="HE2429" s="1"/>
      <c r="HF2429" s="1"/>
      <c r="HG2429" s="1"/>
      <c r="HH2429" s="1"/>
      <c r="HI2429" s="1"/>
      <c r="HJ2429" s="1"/>
      <c r="HK2429" s="1"/>
      <c r="HL2429" s="1"/>
      <c r="HM2429" s="1"/>
      <c r="HN2429" s="1"/>
      <c r="HO2429" s="1"/>
      <c r="HP2429" s="1"/>
      <c r="HQ2429" s="1"/>
    </row>
    <row r="2430" spans="1:225" ht="31" x14ac:dyDescent="0.35">
      <c r="A2430" s="257"/>
      <c r="B2430" s="257"/>
      <c r="C2430" s="260"/>
      <c r="D2430" s="263"/>
      <c r="E2430" s="263"/>
      <c r="F2430" s="266"/>
      <c r="G2430" s="256" t="s">
        <v>77</v>
      </c>
      <c r="H2430" s="159" t="s">
        <v>666</v>
      </c>
      <c r="I2430" s="158">
        <f>K2430*D2429</f>
        <v>53445.599999999999</v>
      </c>
      <c r="J2430" s="158">
        <f>I2430/D2429</f>
        <v>117</v>
      </c>
      <c r="K2430" s="158">
        <f>108+9</f>
        <v>117</v>
      </c>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1"/>
      <c r="AI2430" s="1"/>
      <c r="AJ2430" s="1"/>
      <c r="AK2430" s="1"/>
      <c r="AL2430" s="1"/>
      <c r="AM2430" s="1"/>
      <c r="AN2430" s="1"/>
      <c r="AO2430" s="1"/>
      <c r="AP2430" s="1"/>
      <c r="AQ2430" s="1"/>
      <c r="AR2430" s="1"/>
      <c r="AS2430" s="1"/>
      <c r="AT2430" s="1"/>
      <c r="AU2430" s="1"/>
      <c r="AV2430" s="1"/>
      <c r="AW2430" s="1"/>
      <c r="AX2430" s="1"/>
      <c r="AY2430" s="1"/>
      <c r="AZ2430" s="1"/>
      <c r="BA2430" s="1"/>
      <c r="BB2430" s="1"/>
      <c r="BC2430" s="1"/>
      <c r="BD2430" s="1"/>
      <c r="BE2430" s="1"/>
      <c r="BF2430" s="1"/>
      <c r="BG2430" s="1"/>
      <c r="BH2430" s="1"/>
      <c r="BI2430" s="1"/>
      <c r="BJ2430" s="1"/>
      <c r="BK2430" s="1"/>
      <c r="BL2430" s="1"/>
      <c r="BM2430" s="1"/>
      <c r="BN2430" s="1"/>
      <c r="BO2430" s="1"/>
      <c r="BP2430" s="1"/>
      <c r="BQ2430" s="1"/>
      <c r="BR2430" s="1"/>
      <c r="BS2430" s="1"/>
      <c r="BT2430" s="1"/>
      <c r="BU2430" s="1"/>
      <c r="BV2430" s="1"/>
      <c r="BW2430" s="1"/>
      <c r="BX2430" s="1"/>
      <c r="BY2430" s="1"/>
      <c r="BZ2430" s="1"/>
      <c r="CA2430" s="1"/>
      <c r="CB2430" s="1"/>
      <c r="CC2430" s="1"/>
      <c r="CD2430" s="1"/>
      <c r="CE2430" s="1"/>
      <c r="CF2430" s="1"/>
      <c r="CG2430" s="1"/>
      <c r="CH2430" s="1"/>
      <c r="CI2430" s="1"/>
      <c r="CJ2430" s="1"/>
      <c r="CK2430" s="1"/>
      <c r="CL2430" s="1"/>
      <c r="CM2430" s="1"/>
      <c r="CN2430" s="1"/>
      <c r="CO2430" s="1"/>
      <c r="CP2430" s="1"/>
      <c r="CQ2430" s="1"/>
      <c r="CR2430" s="1"/>
      <c r="CS2430" s="1"/>
      <c r="CT2430" s="1"/>
      <c r="CU2430" s="1"/>
      <c r="CV2430" s="1"/>
      <c r="CW2430" s="1"/>
      <c r="CX2430" s="1"/>
      <c r="CY2430" s="1"/>
      <c r="CZ2430" s="1"/>
      <c r="DA2430" s="1"/>
      <c r="DB2430" s="1"/>
      <c r="DC2430" s="1"/>
      <c r="DD2430" s="1"/>
      <c r="DE2430" s="1"/>
      <c r="DF2430" s="1"/>
      <c r="DG2430" s="1"/>
      <c r="DH2430" s="1"/>
      <c r="DI2430" s="1"/>
      <c r="DJ2430" s="1"/>
      <c r="DK2430" s="1"/>
      <c r="DL2430" s="1"/>
      <c r="DM2430" s="1"/>
      <c r="DN2430" s="1"/>
      <c r="DO2430" s="1"/>
      <c r="DP2430" s="1"/>
      <c r="DQ2430" s="1"/>
      <c r="DR2430" s="1"/>
      <c r="DS2430" s="1"/>
      <c r="DT2430" s="1"/>
      <c r="DU2430" s="1"/>
      <c r="DV2430" s="1"/>
      <c r="DW2430" s="1"/>
      <c r="DX2430" s="1"/>
      <c r="DY2430" s="1"/>
      <c r="DZ2430" s="1"/>
      <c r="EA2430" s="1"/>
      <c r="EB2430" s="1"/>
      <c r="EC2430" s="1"/>
      <c r="ED2430" s="1"/>
      <c r="EE2430" s="1"/>
      <c r="EF2430" s="1"/>
      <c r="EG2430" s="1"/>
      <c r="EH2430" s="1"/>
      <c r="EI2430" s="1"/>
      <c r="EJ2430" s="1"/>
      <c r="EK2430" s="1"/>
      <c r="EL2430" s="1"/>
      <c r="EM2430" s="1"/>
      <c r="EN2430" s="1"/>
      <c r="EO2430" s="1"/>
      <c r="EP2430" s="1"/>
      <c r="EQ2430" s="1"/>
      <c r="ER2430" s="1"/>
      <c r="ES2430" s="1"/>
      <c r="ET2430" s="1"/>
      <c r="EU2430" s="1"/>
      <c r="EV2430" s="1"/>
      <c r="EW2430" s="1"/>
      <c r="EX2430" s="1"/>
      <c r="EY2430" s="1"/>
      <c r="EZ2430" s="1"/>
      <c r="FA2430" s="1"/>
      <c r="FB2430" s="1"/>
      <c r="FC2430" s="1"/>
      <c r="FD2430" s="1"/>
      <c r="FE2430" s="1"/>
      <c r="FF2430" s="1"/>
      <c r="FG2430" s="1"/>
      <c r="FH2430" s="1"/>
      <c r="FI2430" s="1"/>
      <c r="FJ2430" s="1"/>
      <c r="FK2430" s="1"/>
      <c r="FL2430" s="1"/>
      <c r="FM2430" s="1"/>
      <c r="FN2430" s="1"/>
      <c r="FO2430" s="1"/>
      <c r="FP2430" s="1"/>
      <c r="FQ2430" s="1"/>
      <c r="FR2430" s="1"/>
      <c r="FS2430" s="1"/>
      <c r="FT2430" s="1"/>
      <c r="FU2430" s="1"/>
      <c r="FV2430" s="1"/>
      <c r="FW2430" s="1"/>
      <c r="FX2430" s="1"/>
      <c r="FY2430" s="1"/>
      <c r="FZ2430" s="1"/>
      <c r="GA2430" s="1"/>
      <c r="GB2430" s="1"/>
      <c r="GC2430" s="1"/>
      <c r="GD2430" s="1"/>
      <c r="GE2430" s="1"/>
      <c r="GF2430" s="1"/>
      <c r="GG2430" s="1"/>
      <c r="GH2430" s="1"/>
      <c r="GI2430" s="1"/>
      <c r="GJ2430" s="1"/>
      <c r="GK2430" s="1"/>
      <c r="GL2430" s="1"/>
      <c r="GM2430" s="1"/>
      <c r="GN2430" s="1"/>
      <c r="GO2430" s="1"/>
      <c r="GP2430" s="1"/>
      <c r="GQ2430" s="1"/>
      <c r="GR2430" s="1"/>
      <c r="GS2430" s="1"/>
      <c r="GT2430" s="1"/>
      <c r="GU2430" s="1"/>
      <c r="GV2430" s="1"/>
      <c r="GW2430" s="1"/>
      <c r="GX2430" s="1"/>
      <c r="GY2430" s="1"/>
      <c r="GZ2430" s="1"/>
      <c r="HA2430" s="1"/>
      <c r="HB2430" s="1"/>
      <c r="HC2430" s="1"/>
      <c r="HD2430" s="1"/>
      <c r="HE2430" s="1"/>
      <c r="HF2430" s="1"/>
      <c r="HG2430" s="1"/>
      <c r="HH2430" s="1"/>
      <c r="HI2430" s="1"/>
      <c r="HJ2430" s="1"/>
      <c r="HK2430" s="1"/>
      <c r="HL2430" s="1"/>
      <c r="HM2430" s="1"/>
      <c r="HN2430" s="1"/>
      <c r="HO2430" s="1"/>
      <c r="HP2430" s="1"/>
      <c r="HQ2430" s="1"/>
    </row>
    <row r="2431" spans="1:225" ht="15.75" customHeight="1" x14ac:dyDescent="0.35">
      <c r="A2431" s="257"/>
      <c r="B2431" s="257"/>
      <c r="C2431" s="260"/>
      <c r="D2431" s="263"/>
      <c r="E2431" s="263"/>
      <c r="F2431" s="266"/>
      <c r="G2431" s="257"/>
      <c r="H2431" s="159" t="s">
        <v>74</v>
      </c>
      <c r="I2431" s="158">
        <f>K2431*D2429</f>
        <v>1229248.8</v>
      </c>
      <c r="J2431" s="158">
        <f>I2431/D2429</f>
        <v>2691</v>
      </c>
      <c r="K2431" s="158">
        <v>2691</v>
      </c>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1"/>
      <c r="AI2431" s="1"/>
      <c r="AJ2431" s="1"/>
      <c r="AK2431" s="1"/>
      <c r="AL2431" s="1"/>
      <c r="AM2431" s="1"/>
      <c r="AN2431" s="1"/>
      <c r="AO2431" s="1"/>
      <c r="AP2431" s="1"/>
      <c r="AQ2431" s="1"/>
      <c r="AR2431" s="1"/>
      <c r="AS2431" s="1"/>
      <c r="AT2431" s="1"/>
      <c r="AU2431" s="1"/>
      <c r="AV2431" s="1"/>
      <c r="AW2431" s="1"/>
      <c r="AX2431" s="1"/>
      <c r="AY2431" s="1"/>
      <c r="AZ2431" s="1"/>
      <c r="BA2431" s="1"/>
      <c r="BB2431" s="1"/>
      <c r="BC2431" s="1"/>
      <c r="BD2431" s="1"/>
      <c r="BE2431" s="1"/>
      <c r="BF2431" s="1"/>
      <c r="BG2431" s="1"/>
      <c r="BH2431" s="1"/>
      <c r="BI2431" s="1"/>
      <c r="BJ2431" s="1"/>
      <c r="BK2431" s="1"/>
      <c r="BL2431" s="1"/>
      <c r="BM2431" s="1"/>
      <c r="BN2431" s="1"/>
      <c r="BO2431" s="1"/>
      <c r="BP2431" s="1"/>
      <c r="BQ2431" s="1"/>
      <c r="BR2431" s="1"/>
      <c r="BS2431" s="1"/>
      <c r="BT2431" s="1"/>
      <c r="BU2431" s="1"/>
      <c r="BV2431" s="1"/>
      <c r="BW2431" s="1"/>
      <c r="BX2431" s="1"/>
      <c r="BY2431" s="1"/>
      <c r="BZ2431" s="1"/>
      <c r="CA2431" s="1"/>
      <c r="CB2431" s="1"/>
      <c r="CC2431" s="1"/>
      <c r="CD2431" s="1"/>
      <c r="CE2431" s="1"/>
      <c r="CF2431" s="1"/>
      <c r="CG2431" s="1"/>
      <c r="CH2431" s="1"/>
      <c r="CI2431" s="1"/>
      <c r="CJ2431" s="1"/>
      <c r="CK2431" s="1"/>
      <c r="CL2431" s="1"/>
      <c r="CM2431" s="1"/>
      <c r="CN2431" s="1"/>
      <c r="CO2431" s="1"/>
      <c r="CP2431" s="1"/>
      <c r="CQ2431" s="1"/>
      <c r="CR2431" s="1"/>
      <c r="CS2431" s="1"/>
      <c r="CT2431" s="1"/>
      <c r="CU2431" s="1"/>
      <c r="CV2431" s="1"/>
      <c r="CW2431" s="1"/>
      <c r="CX2431" s="1"/>
      <c r="CY2431" s="1"/>
      <c r="CZ2431" s="1"/>
      <c r="DA2431" s="1"/>
      <c r="DB2431" s="1"/>
      <c r="DC2431" s="1"/>
      <c r="DD2431" s="1"/>
      <c r="DE2431" s="1"/>
      <c r="DF2431" s="1"/>
      <c r="DG2431" s="1"/>
      <c r="DH2431" s="1"/>
      <c r="DI2431" s="1"/>
      <c r="DJ2431" s="1"/>
      <c r="DK2431" s="1"/>
      <c r="DL2431" s="1"/>
      <c r="DM2431" s="1"/>
      <c r="DN2431" s="1"/>
      <c r="DO2431" s="1"/>
      <c r="DP2431" s="1"/>
      <c r="DQ2431" s="1"/>
      <c r="DR2431" s="1"/>
      <c r="DS2431" s="1"/>
      <c r="DT2431" s="1"/>
      <c r="DU2431" s="1"/>
      <c r="DV2431" s="1"/>
      <c r="DW2431" s="1"/>
      <c r="DX2431" s="1"/>
      <c r="DY2431" s="1"/>
      <c r="DZ2431" s="1"/>
      <c r="EA2431" s="1"/>
      <c r="EB2431" s="1"/>
      <c r="EC2431" s="1"/>
      <c r="ED2431" s="1"/>
      <c r="EE2431" s="1"/>
      <c r="EF2431" s="1"/>
      <c r="EG2431" s="1"/>
      <c r="EH2431" s="1"/>
      <c r="EI2431" s="1"/>
      <c r="EJ2431" s="1"/>
      <c r="EK2431" s="1"/>
      <c r="EL2431" s="1"/>
      <c r="EM2431" s="1"/>
      <c r="EN2431" s="1"/>
      <c r="EO2431" s="1"/>
      <c r="EP2431" s="1"/>
      <c r="EQ2431" s="1"/>
      <c r="ER2431" s="1"/>
      <c r="ES2431" s="1"/>
      <c r="ET2431" s="1"/>
      <c r="EU2431" s="1"/>
      <c r="EV2431" s="1"/>
      <c r="EW2431" s="1"/>
      <c r="EX2431" s="1"/>
      <c r="EY2431" s="1"/>
      <c r="EZ2431" s="1"/>
      <c r="FA2431" s="1"/>
      <c r="FB2431" s="1"/>
      <c r="FC2431" s="1"/>
      <c r="FD2431" s="1"/>
      <c r="FE2431" s="1"/>
      <c r="FF2431" s="1"/>
      <c r="FG2431" s="1"/>
      <c r="FH2431" s="1"/>
      <c r="FI2431" s="1"/>
      <c r="FJ2431" s="1"/>
      <c r="FK2431" s="1"/>
      <c r="FL2431" s="1"/>
      <c r="FM2431" s="1"/>
      <c r="FN2431" s="1"/>
      <c r="FO2431" s="1"/>
      <c r="FP2431" s="1"/>
      <c r="FQ2431" s="1"/>
      <c r="FR2431" s="1"/>
      <c r="FS2431" s="1"/>
      <c r="FT2431" s="1"/>
      <c r="FU2431" s="1"/>
      <c r="FV2431" s="1"/>
      <c r="FW2431" s="1"/>
      <c r="FX2431" s="1"/>
      <c r="FY2431" s="1"/>
      <c r="FZ2431" s="1"/>
      <c r="GA2431" s="1"/>
      <c r="GB2431" s="1"/>
      <c r="GC2431" s="1"/>
      <c r="GD2431" s="1"/>
      <c r="GE2431" s="1"/>
      <c r="GF2431" s="1"/>
      <c r="GG2431" s="1"/>
      <c r="GH2431" s="1"/>
      <c r="GI2431" s="1"/>
      <c r="GJ2431" s="1"/>
      <c r="GK2431" s="1"/>
      <c r="GL2431" s="1"/>
      <c r="GM2431" s="1"/>
      <c r="GN2431" s="1"/>
      <c r="GO2431" s="1"/>
      <c r="GP2431" s="1"/>
      <c r="GQ2431" s="1"/>
      <c r="GR2431" s="1"/>
      <c r="GS2431" s="1"/>
      <c r="GT2431" s="1"/>
      <c r="GU2431" s="1"/>
      <c r="GV2431" s="1"/>
      <c r="GW2431" s="1"/>
      <c r="GX2431" s="1"/>
      <c r="GY2431" s="1"/>
      <c r="GZ2431" s="1"/>
      <c r="HA2431" s="1"/>
      <c r="HB2431" s="1"/>
      <c r="HC2431" s="1"/>
      <c r="HD2431" s="1"/>
      <c r="HE2431" s="1"/>
      <c r="HF2431" s="1"/>
      <c r="HG2431" s="1"/>
      <c r="HH2431" s="1"/>
      <c r="HI2431" s="1"/>
      <c r="HJ2431" s="1"/>
      <c r="HK2431" s="1"/>
      <c r="HL2431" s="1"/>
      <c r="HM2431" s="1"/>
      <c r="HN2431" s="1"/>
      <c r="HO2431" s="1"/>
      <c r="HP2431" s="1"/>
      <c r="HQ2431" s="1"/>
    </row>
    <row r="2432" spans="1:225" x14ac:dyDescent="0.35">
      <c r="A2432" s="257"/>
      <c r="B2432" s="257"/>
      <c r="C2432" s="260"/>
      <c r="D2432" s="263"/>
      <c r="E2432" s="263"/>
      <c r="F2432" s="266"/>
      <c r="G2432" s="258"/>
      <c r="H2432" s="159" t="s">
        <v>76</v>
      </c>
      <c r="I2432" s="158">
        <f>K2432*D2429</f>
        <v>26494.400000000001</v>
      </c>
      <c r="J2432" s="158">
        <f>I2432/D2429</f>
        <v>58</v>
      </c>
      <c r="K2432" s="158">
        <v>58</v>
      </c>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1"/>
      <c r="AI2432" s="1"/>
      <c r="AJ2432" s="1"/>
      <c r="AK2432" s="1"/>
      <c r="AL2432" s="1"/>
      <c r="AM2432" s="1"/>
      <c r="AN2432" s="1"/>
      <c r="AO2432" s="1"/>
      <c r="AP2432" s="1"/>
      <c r="AQ2432" s="1"/>
      <c r="AR2432" s="1"/>
      <c r="AS2432" s="1"/>
      <c r="AT2432" s="1"/>
      <c r="AU2432" s="1"/>
      <c r="AV2432" s="1"/>
      <c r="AW2432" s="1"/>
      <c r="AX2432" s="1"/>
      <c r="AY2432" s="1"/>
      <c r="AZ2432" s="1"/>
      <c r="BA2432" s="1"/>
      <c r="BB2432" s="1"/>
      <c r="BC2432" s="1"/>
      <c r="BD2432" s="1"/>
      <c r="BE2432" s="1"/>
      <c r="BF2432" s="1"/>
      <c r="BG2432" s="1"/>
      <c r="BH2432" s="1"/>
      <c r="BI2432" s="1"/>
      <c r="BJ2432" s="1"/>
      <c r="BK2432" s="1"/>
      <c r="BL2432" s="1"/>
      <c r="BM2432" s="1"/>
      <c r="BN2432" s="1"/>
      <c r="BO2432" s="1"/>
      <c r="BP2432" s="1"/>
      <c r="BQ2432" s="1"/>
      <c r="BR2432" s="1"/>
      <c r="BS2432" s="1"/>
      <c r="BT2432" s="1"/>
      <c r="BU2432" s="1"/>
      <c r="BV2432" s="1"/>
      <c r="BW2432" s="1"/>
      <c r="BX2432" s="1"/>
      <c r="BY2432" s="1"/>
      <c r="BZ2432" s="1"/>
      <c r="CA2432" s="1"/>
      <c r="CB2432" s="1"/>
      <c r="CC2432" s="1"/>
      <c r="CD2432" s="1"/>
      <c r="CE2432" s="1"/>
      <c r="CF2432" s="1"/>
      <c r="CG2432" s="1"/>
      <c r="CH2432" s="1"/>
      <c r="CI2432" s="1"/>
      <c r="CJ2432" s="1"/>
      <c r="CK2432" s="1"/>
      <c r="CL2432" s="1"/>
      <c r="CM2432" s="1"/>
      <c r="CN2432" s="1"/>
      <c r="CO2432" s="1"/>
      <c r="CP2432" s="1"/>
      <c r="CQ2432" s="1"/>
      <c r="CR2432" s="1"/>
      <c r="CS2432" s="1"/>
      <c r="CT2432" s="1"/>
      <c r="CU2432" s="1"/>
      <c r="CV2432" s="1"/>
      <c r="CW2432" s="1"/>
      <c r="CX2432" s="1"/>
      <c r="CY2432" s="1"/>
      <c r="CZ2432" s="1"/>
      <c r="DA2432" s="1"/>
      <c r="DB2432" s="1"/>
      <c r="DC2432" s="1"/>
      <c r="DD2432" s="1"/>
      <c r="DE2432" s="1"/>
      <c r="DF2432" s="1"/>
      <c r="DG2432" s="1"/>
      <c r="DH2432" s="1"/>
      <c r="DI2432" s="1"/>
      <c r="DJ2432" s="1"/>
      <c r="DK2432" s="1"/>
      <c r="DL2432" s="1"/>
      <c r="DM2432" s="1"/>
      <c r="DN2432" s="1"/>
      <c r="DO2432" s="1"/>
      <c r="DP2432" s="1"/>
      <c r="DQ2432" s="1"/>
      <c r="DR2432" s="1"/>
      <c r="DS2432" s="1"/>
      <c r="DT2432" s="1"/>
      <c r="DU2432" s="1"/>
      <c r="DV2432" s="1"/>
      <c r="DW2432" s="1"/>
      <c r="DX2432" s="1"/>
      <c r="DY2432" s="1"/>
      <c r="DZ2432" s="1"/>
      <c r="EA2432" s="1"/>
      <c r="EB2432" s="1"/>
      <c r="EC2432" s="1"/>
      <c r="ED2432" s="1"/>
      <c r="EE2432" s="1"/>
      <c r="EF2432" s="1"/>
      <c r="EG2432" s="1"/>
      <c r="EH2432" s="1"/>
      <c r="EI2432" s="1"/>
      <c r="EJ2432" s="1"/>
      <c r="EK2432" s="1"/>
      <c r="EL2432" s="1"/>
      <c r="EM2432" s="1"/>
      <c r="EN2432" s="1"/>
      <c r="EO2432" s="1"/>
      <c r="EP2432" s="1"/>
      <c r="EQ2432" s="1"/>
      <c r="ER2432" s="1"/>
      <c r="ES2432" s="1"/>
      <c r="ET2432" s="1"/>
      <c r="EU2432" s="1"/>
      <c r="EV2432" s="1"/>
      <c r="EW2432" s="1"/>
      <c r="EX2432" s="1"/>
      <c r="EY2432" s="1"/>
      <c r="EZ2432" s="1"/>
      <c r="FA2432" s="1"/>
      <c r="FB2432" s="1"/>
      <c r="FC2432" s="1"/>
      <c r="FD2432" s="1"/>
      <c r="FE2432" s="1"/>
      <c r="FF2432" s="1"/>
      <c r="FG2432" s="1"/>
      <c r="FH2432" s="1"/>
      <c r="FI2432" s="1"/>
      <c r="FJ2432" s="1"/>
      <c r="FK2432" s="1"/>
      <c r="FL2432" s="1"/>
      <c r="FM2432" s="1"/>
      <c r="FN2432" s="1"/>
      <c r="FO2432" s="1"/>
      <c r="FP2432" s="1"/>
      <c r="FQ2432" s="1"/>
      <c r="FR2432" s="1"/>
      <c r="FS2432" s="1"/>
      <c r="FT2432" s="1"/>
      <c r="FU2432" s="1"/>
      <c r="FV2432" s="1"/>
      <c r="FW2432" s="1"/>
      <c r="FX2432" s="1"/>
      <c r="FY2432" s="1"/>
      <c r="FZ2432" s="1"/>
      <c r="GA2432" s="1"/>
      <c r="GB2432" s="1"/>
      <c r="GC2432" s="1"/>
      <c r="GD2432" s="1"/>
      <c r="GE2432" s="1"/>
      <c r="GF2432" s="1"/>
      <c r="GG2432" s="1"/>
      <c r="GH2432" s="1"/>
      <c r="GI2432" s="1"/>
      <c r="GJ2432" s="1"/>
      <c r="GK2432" s="1"/>
      <c r="GL2432" s="1"/>
      <c r="GM2432" s="1"/>
      <c r="GN2432" s="1"/>
      <c r="GO2432" s="1"/>
      <c r="GP2432" s="1"/>
      <c r="GQ2432" s="1"/>
      <c r="GR2432" s="1"/>
      <c r="GS2432" s="1"/>
      <c r="GT2432" s="1"/>
      <c r="GU2432" s="1"/>
      <c r="GV2432" s="1"/>
      <c r="GW2432" s="1"/>
      <c r="GX2432" s="1"/>
      <c r="GY2432" s="1"/>
      <c r="GZ2432" s="1"/>
      <c r="HA2432" s="1"/>
      <c r="HB2432" s="1"/>
      <c r="HC2432" s="1"/>
      <c r="HD2432" s="1"/>
      <c r="HE2432" s="1"/>
      <c r="HF2432" s="1"/>
      <c r="HG2432" s="1"/>
      <c r="HH2432" s="1"/>
      <c r="HI2432" s="1"/>
      <c r="HJ2432" s="1"/>
      <c r="HK2432" s="1"/>
      <c r="HL2432" s="1"/>
      <c r="HM2432" s="1"/>
      <c r="HN2432" s="1"/>
      <c r="HO2432" s="1"/>
      <c r="HP2432" s="1"/>
      <c r="HQ2432" s="1"/>
    </row>
    <row r="2433" spans="1:225" ht="31" x14ac:dyDescent="0.35">
      <c r="A2433" s="257"/>
      <c r="B2433" s="257"/>
      <c r="C2433" s="260"/>
      <c r="D2433" s="263"/>
      <c r="E2433" s="263"/>
      <c r="F2433" s="266"/>
      <c r="G2433" s="256" t="s">
        <v>78</v>
      </c>
      <c r="H2433" s="159" t="s">
        <v>666</v>
      </c>
      <c r="I2433" s="158">
        <f>K2433*D2429</f>
        <v>9592.7999999999993</v>
      </c>
      <c r="J2433" s="158">
        <f>I2433/D2429</f>
        <v>21</v>
      </c>
      <c r="K2433" s="158">
        <f>19+2</f>
        <v>21</v>
      </c>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1"/>
      <c r="AI2433" s="1"/>
      <c r="AJ2433" s="1"/>
      <c r="AK2433" s="1"/>
      <c r="AL2433" s="1"/>
      <c r="AM2433" s="1"/>
      <c r="AN2433" s="1"/>
      <c r="AO2433" s="1"/>
      <c r="AP2433" s="1"/>
      <c r="AQ2433" s="1"/>
      <c r="AR2433" s="1"/>
      <c r="AS2433" s="1"/>
      <c r="AT2433" s="1"/>
      <c r="AU2433" s="1"/>
      <c r="AV2433" s="1"/>
      <c r="AW2433" s="1"/>
      <c r="AX2433" s="1"/>
      <c r="AY2433" s="1"/>
      <c r="AZ2433" s="1"/>
      <c r="BA2433" s="1"/>
      <c r="BB2433" s="1"/>
      <c r="BC2433" s="1"/>
      <c r="BD2433" s="1"/>
      <c r="BE2433" s="1"/>
      <c r="BF2433" s="1"/>
      <c r="BG2433" s="1"/>
      <c r="BH2433" s="1"/>
      <c r="BI2433" s="1"/>
      <c r="BJ2433" s="1"/>
      <c r="BK2433" s="1"/>
      <c r="BL2433" s="1"/>
      <c r="BM2433" s="1"/>
      <c r="BN2433" s="1"/>
      <c r="BO2433" s="1"/>
      <c r="BP2433" s="1"/>
      <c r="BQ2433" s="1"/>
      <c r="BR2433" s="1"/>
      <c r="BS2433" s="1"/>
      <c r="BT2433" s="1"/>
      <c r="BU2433" s="1"/>
      <c r="BV2433" s="1"/>
      <c r="BW2433" s="1"/>
      <c r="BX2433" s="1"/>
      <c r="BY2433" s="1"/>
      <c r="BZ2433" s="1"/>
      <c r="CA2433" s="1"/>
      <c r="CB2433" s="1"/>
      <c r="CC2433" s="1"/>
      <c r="CD2433" s="1"/>
      <c r="CE2433" s="1"/>
      <c r="CF2433" s="1"/>
      <c r="CG2433" s="1"/>
      <c r="CH2433" s="1"/>
      <c r="CI2433" s="1"/>
      <c r="CJ2433" s="1"/>
      <c r="CK2433" s="1"/>
      <c r="CL2433" s="1"/>
      <c r="CM2433" s="1"/>
      <c r="CN2433" s="1"/>
      <c r="CO2433" s="1"/>
      <c r="CP2433" s="1"/>
      <c r="CQ2433" s="1"/>
      <c r="CR2433" s="1"/>
      <c r="CS2433" s="1"/>
      <c r="CT2433" s="1"/>
      <c r="CU2433" s="1"/>
      <c r="CV2433" s="1"/>
      <c r="CW2433" s="1"/>
      <c r="CX2433" s="1"/>
      <c r="CY2433" s="1"/>
      <c r="CZ2433" s="1"/>
      <c r="DA2433" s="1"/>
      <c r="DB2433" s="1"/>
      <c r="DC2433" s="1"/>
      <c r="DD2433" s="1"/>
      <c r="DE2433" s="1"/>
      <c r="DF2433" s="1"/>
      <c r="DG2433" s="1"/>
      <c r="DH2433" s="1"/>
      <c r="DI2433" s="1"/>
      <c r="DJ2433" s="1"/>
      <c r="DK2433" s="1"/>
      <c r="DL2433" s="1"/>
      <c r="DM2433" s="1"/>
      <c r="DN2433" s="1"/>
      <c r="DO2433" s="1"/>
      <c r="DP2433" s="1"/>
      <c r="DQ2433" s="1"/>
      <c r="DR2433" s="1"/>
      <c r="DS2433" s="1"/>
      <c r="DT2433" s="1"/>
      <c r="DU2433" s="1"/>
      <c r="DV2433" s="1"/>
      <c r="DW2433" s="1"/>
      <c r="DX2433" s="1"/>
      <c r="DY2433" s="1"/>
      <c r="DZ2433" s="1"/>
      <c r="EA2433" s="1"/>
      <c r="EB2433" s="1"/>
      <c r="EC2433" s="1"/>
      <c r="ED2433" s="1"/>
      <c r="EE2433" s="1"/>
      <c r="EF2433" s="1"/>
      <c r="EG2433" s="1"/>
      <c r="EH2433" s="1"/>
      <c r="EI2433" s="1"/>
      <c r="EJ2433" s="1"/>
      <c r="EK2433" s="1"/>
      <c r="EL2433" s="1"/>
      <c r="EM2433" s="1"/>
      <c r="EN2433" s="1"/>
      <c r="EO2433" s="1"/>
      <c r="EP2433" s="1"/>
      <c r="EQ2433" s="1"/>
      <c r="ER2433" s="1"/>
      <c r="ES2433" s="1"/>
      <c r="ET2433" s="1"/>
      <c r="EU2433" s="1"/>
      <c r="EV2433" s="1"/>
      <c r="EW2433" s="1"/>
      <c r="EX2433" s="1"/>
      <c r="EY2433" s="1"/>
      <c r="EZ2433" s="1"/>
      <c r="FA2433" s="1"/>
      <c r="FB2433" s="1"/>
      <c r="FC2433" s="1"/>
      <c r="FD2433" s="1"/>
      <c r="FE2433" s="1"/>
      <c r="FF2433" s="1"/>
      <c r="FG2433" s="1"/>
      <c r="FH2433" s="1"/>
      <c r="FI2433" s="1"/>
      <c r="FJ2433" s="1"/>
      <c r="FK2433" s="1"/>
      <c r="FL2433" s="1"/>
      <c r="FM2433" s="1"/>
      <c r="FN2433" s="1"/>
      <c r="FO2433" s="1"/>
      <c r="FP2433" s="1"/>
      <c r="FQ2433" s="1"/>
      <c r="FR2433" s="1"/>
      <c r="FS2433" s="1"/>
      <c r="FT2433" s="1"/>
      <c r="FU2433" s="1"/>
      <c r="FV2433" s="1"/>
      <c r="FW2433" s="1"/>
      <c r="FX2433" s="1"/>
      <c r="FY2433" s="1"/>
      <c r="FZ2433" s="1"/>
      <c r="GA2433" s="1"/>
      <c r="GB2433" s="1"/>
      <c r="GC2433" s="1"/>
      <c r="GD2433" s="1"/>
      <c r="GE2433" s="1"/>
      <c r="GF2433" s="1"/>
      <c r="GG2433" s="1"/>
      <c r="GH2433" s="1"/>
      <c r="GI2433" s="1"/>
      <c r="GJ2433" s="1"/>
      <c r="GK2433" s="1"/>
      <c r="GL2433" s="1"/>
      <c r="GM2433" s="1"/>
      <c r="GN2433" s="1"/>
      <c r="GO2433" s="1"/>
      <c r="GP2433" s="1"/>
      <c r="GQ2433" s="1"/>
      <c r="GR2433" s="1"/>
      <c r="GS2433" s="1"/>
      <c r="GT2433" s="1"/>
      <c r="GU2433" s="1"/>
      <c r="GV2433" s="1"/>
      <c r="GW2433" s="1"/>
      <c r="GX2433" s="1"/>
      <c r="GY2433" s="1"/>
      <c r="GZ2433" s="1"/>
      <c r="HA2433" s="1"/>
      <c r="HB2433" s="1"/>
      <c r="HC2433" s="1"/>
      <c r="HD2433" s="1"/>
      <c r="HE2433" s="1"/>
      <c r="HF2433" s="1"/>
      <c r="HG2433" s="1"/>
      <c r="HH2433" s="1"/>
      <c r="HI2433" s="1"/>
      <c r="HJ2433" s="1"/>
      <c r="HK2433" s="1"/>
      <c r="HL2433" s="1"/>
      <c r="HM2433" s="1"/>
      <c r="HN2433" s="1"/>
      <c r="HO2433" s="1"/>
      <c r="HP2433" s="1"/>
      <c r="HQ2433" s="1"/>
    </row>
    <row r="2434" spans="1:225" x14ac:dyDescent="0.35">
      <c r="A2434" s="257"/>
      <c r="B2434" s="257"/>
      <c r="C2434" s="260"/>
      <c r="D2434" s="263"/>
      <c r="E2434" s="263"/>
      <c r="F2434" s="266"/>
      <c r="G2434" s="257"/>
      <c r="H2434" s="159" t="s">
        <v>74</v>
      </c>
      <c r="I2434" s="158">
        <f>K2434*D2429</f>
        <v>211498.4</v>
      </c>
      <c r="J2434" s="158">
        <f>I2434/D2429</f>
        <v>463</v>
      </c>
      <c r="K2434" s="158">
        <v>463</v>
      </c>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1"/>
      <c r="AI2434" s="1"/>
      <c r="AJ2434" s="1"/>
      <c r="AK2434" s="1"/>
      <c r="AL2434" s="1"/>
      <c r="AM2434" s="1"/>
      <c r="AN2434" s="1"/>
      <c r="AO2434" s="1"/>
      <c r="AP2434" s="1"/>
      <c r="AQ2434" s="1"/>
      <c r="AR2434" s="1"/>
      <c r="AS2434" s="1"/>
      <c r="AT2434" s="1"/>
      <c r="AU2434" s="1"/>
      <c r="AV2434" s="1"/>
      <c r="AW2434" s="1"/>
      <c r="AX2434" s="1"/>
      <c r="AY2434" s="1"/>
      <c r="AZ2434" s="1"/>
      <c r="BA2434" s="1"/>
      <c r="BB2434" s="1"/>
      <c r="BC2434" s="1"/>
      <c r="BD2434" s="1"/>
      <c r="BE2434" s="1"/>
      <c r="BF2434" s="1"/>
      <c r="BG2434" s="1"/>
      <c r="BH2434" s="1"/>
      <c r="BI2434" s="1"/>
      <c r="BJ2434" s="1"/>
      <c r="BK2434" s="1"/>
      <c r="BL2434" s="1"/>
      <c r="BM2434" s="1"/>
      <c r="BN2434" s="1"/>
      <c r="BO2434" s="1"/>
      <c r="BP2434" s="1"/>
      <c r="BQ2434" s="1"/>
      <c r="BR2434" s="1"/>
      <c r="BS2434" s="1"/>
      <c r="BT2434" s="1"/>
      <c r="BU2434" s="1"/>
      <c r="BV2434" s="1"/>
      <c r="BW2434" s="1"/>
      <c r="BX2434" s="1"/>
      <c r="BY2434" s="1"/>
      <c r="BZ2434" s="1"/>
      <c r="CA2434" s="1"/>
      <c r="CB2434" s="1"/>
      <c r="CC2434" s="1"/>
      <c r="CD2434" s="1"/>
      <c r="CE2434" s="1"/>
      <c r="CF2434" s="1"/>
      <c r="CG2434" s="1"/>
      <c r="CH2434" s="1"/>
      <c r="CI2434" s="1"/>
      <c r="CJ2434" s="1"/>
      <c r="CK2434" s="1"/>
      <c r="CL2434" s="1"/>
      <c r="CM2434" s="1"/>
      <c r="CN2434" s="1"/>
      <c r="CO2434" s="1"/>
      <c r="CP2434" s="1"/>
      <c r="CQ2434" s="1"/>
      <c r="CR2434" s="1"/>
      <c r="CS2434" s="1"/>
      <c r="CT2434" s="1"/>
      <c r="CU2434" s="1"/>
      <c r="CV2434" s="1"/>
      <c r="CW2434" s="1"/>
      <c r="CX2434" s="1"/>
      <c r="CY2434" s="1"/>
      <c r="CZ2434" s="1"/>
      <c r="DA2434" s="1"/>
      <c r="DB2434" s="1"/>
      <c r="DC2434" s="1"/>
      <c r="DD2434" s="1"/>
      <c r="DE2434" s="1"/>
      <c r="DF2434" s="1"/>
      <c r="DG2434" s="1"/>
      <c r="DH2434" s="1"/>
      <c r="DI2434" s="1"/>
      <c r="DJ2434" s="1"/>
      <c r="DK2434" s="1"/>
      <c r="DL2434" s="1"/>
      <c r="DM2434" s="1"/>
      <c r="DN2434" s="1"/>
      <c r="DO2434" s="1"/>
      <c r="DP2434" s="1"/>
      <c r="DQ2434" s="1"/>
      <c r="DR2434" s="1"/>
      <c r="DS2434" s="1"/>
      <c r="DT2434" s="1"/>
      <c r="DU2434" s="1"/>
      <c r="DV2434" s="1"/>
      <c r="DW2434" s="1"/>
      <c r="DX2434" s="1"/>
      <c r="DY2434" s="1"/>
      <c r="DZ2434" s="1"/>
      <c r="EA2434" s="1"/>
      <c r="EB2434" s="1"/>
      <c r="EC2434" s="1"/>
      <c r="ED2434" s="1"/>
      <c r="EE2434" s="1"/>
      <c r="EF2434" s="1"/>
      <c r="EG2434" s="1"/>
      <c r="EH2434" s="1"/>
      <c r="EI2434" s="1"/>
      <c r="EJ2434" s="1"/>
      <c r="EK2434" s="1"/>
      <c r="EL2434" s="1"/>
      <c r="EM2434" s="1"/>
      <c r="EN2434" s="1"/>
      <c r="EO2434" s="1"/>
      <c r="EP2434" s="1"/>
      <c r="EQ2434" s="1"/>
      <c r="ER2434" s="1"/>
      <c r="ES2434" s="1"/>
      <c r="ET2434" s="1"/>
      <c r="EU2434" s="1"/>
      <c r="EV2434" s="1"/>
      <c r="EW2434" s="1"/>
      <c r="EX2434" s="1"/>
      <c r="EY2434" s="1"/>
      <c r="EZ2434" s="1"/>
      <c r="FA2434" s="1"/>
      <c r="FB2434" s="1"/>
      <c r="FC2434" s="1"/>
      <c r="FD2434" s="1"/>
      <c r="FE2434" s="1"/>
      <c r="FF2434" s="1"/>
      <c r="FG2434" s="1"/>
      <c r="FH2434" s="1"/>
      <c r="FI2434" s="1"/>
      <c r="FJ2434" s="1"/>
      <c r="FK2434" s="1"/>
      <c r="FL2434" s="1"/>
      <c r="FM2434" s="1"/>
      <c r="FN2434" s="1"/>
      <c r="FO2434" s="1"/>
      <c r="FP2434" s="1"/>
      <c r="FQ2434" s="1"/>
      <c r="FR2434" s="1"/>
      <c r="FS2434" s="1"/>
      <c r="FT2434" s="1"/>
      <c r="FU2434" s="1"/>
      <c r="FV2434" s="1"/>
      <c r="FW2434" s="1"/>
      <c r="FX2434" s="1"/>
      <c r="FY2434" s="1"/>
      <c r="FZ2434" s="1"/>
      <c r="GA2434" s="1"/>
      <c r="GB2434" s="1"/>
      <c r="GC2434" s="1"/>
      <c r="GD2434" s="1"/>
      <c r="GE2434" s="1"/>
      <c r="GF2434" s="1"/>
      <c r="GG2434" s="1"/>
      <c r="GH2434" s="1"/>
      <c r="GI2434" s="1"/>
      <c r="GJ2434" s="1"/>
      <c r="GK2434" s="1"/>
      <c r="GL2434" s="1"/>
      <c r="GM2434" s="1"/>
      <c r="GN2434" s="1"/>
      <c r="GO2434" s="1"/>
      <c r="GP2434" s="1"/>
      <c r="GQ2434" s="1"/>
      <c r="GR2434" s="1"/>
      <c r="GS2434" s="1"/>
      <c r="GT2434" s="1"/>
      <c r="GU2434" s="1"/>
      <c r="GV2434" s="1"/>
      <c r="GW2434" s="1"/>
      <c r="GX2434" s="1"/>
      <c r="GY2434" s="1"/>
      <c r="GZ2434" s="1"/>
      <c r="HA2434" s="1"/>
      <c r="HB2434" s="1"/>
      <c r="HC2434" s="1"/>
      <c r="HD2434" s="1"/>
      <c r="HE2434" s="1"/>
      <c r="HF2434" s="1"/>
      <c r="HG2434" s="1"/>
      <c r="HH2434" s="1"/>
      <c r="HI2434" s="1"/>
      <c r="HJ2434" s="1"/>
      <c r="HK2434" s="1"/>
      <c r="HL2434" s="1"/>
      <c r="HM2434" s="1"/>
      <c r="HN2434" s="1"/>
      <c r="HO2434" s="1"/>
      <c r="HP2434" s="1"/>
      <c r="HQ2434" s="1"/>
    </row>
    <row r="2435" spans="1:225" ht="15.75" customHeight="1" x14ac:dyDescent="0.35">
      <c r="A2435" s="257"/>
      <c r="B2435" s="258"/>
      <c r="C2435" s="260"/>
      <c r="D2435" s="263"/>
      <c r="E2435" s="264"/>
      <c r="F2435" s="267"/>
      <c r="G2435" s="258"/>
      <c r="H2435" s="159" t="s">
        <v>76</v>
      </c>
      <c r="I2435" s="158">
        <f>K2435*D2429</f>
        <v>4568</v>
      </c>
      <c r="J2435" s="158">
        <f>I2435/D2429</f>
        <v>10</v>
      </c>
      <c r="K2435" s="158">
        <v>10</v>
      </c>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1"/>
      <c r="AI2435" s="1"/>
      <c r="AJ2435" s="1"/>
      <c r="AK2435" s="1"/>
      <c r="AL2435" s="1"/>
      <c r="AM2435" s="1"/>
      <c r="AN2435" s="1"/>
      <c r="AO2435" s="1"/>
      <c r="AP2435" s="1"/>
      <c r="AQ2435" s="1"/>
      <c r="AR2435" s="1"/>
      <c r="AS2435" s="1"/>
      <c r="AT2435" s="1"/>
      <c r="AU2435" s="1"/>
      <c r="AV2435" s="1"/>
      <c r="AW2435" s="1"/>
      <c r="AX2435" s="1"/>
      <c r="AY2435" s="1"/>
      <c r="AZ2435" s="1"/>
      <c r="BA2435" s="1"/>
      <c r="BB2435" s="1"/>
      <c r="BC2435" s="1"/>
      <c r="BD2435" s="1"/>
      <c r="BE2435" s="1"/>
      <c r="BF2435" s="1"/>
      <c r="BG2435" s="1"/>
      <c r="BH2435" s="1"/>
      <c r="BI2435" s="1"/>
      <c r="BJ2435" s="1"/>
      <c r="BK2435" s="1"/>
      <c r="BL2435" s="1"/>
      <c r="BM2435" s="1"/>
      <c r="BN2435" s="1"/>
      <c r="BO2435" s="1"/>
      <c r="BP2435" s="1"/>
      <c r="BQ2435" s="1"/>
      <c r="BR2435" s="1"/>
      <c r="BS2435" s="1"/>
      <c r="BT2435" s="1"/>
      <c r="BU2435" s="1"/>
      <c r="BV2435" s="1"/>
      <c r="BW2435" s="1"/>
      <c r="BX2435" s="1"/>
      <c r="BY2435" s="1"/>
      <c r="BZ2435" s="1"/>
      <c r="CA2435" s="1"/>
      <c r="CB2435" s="1"/>
      <c r="CC2435" s="1"/>
      <c r="CD2435" s="1"/>
      <c r="CE2435" s="1"/>
      <c r="CF2435" s="1"/>
      <c r="CG2435" s="1"/>
      <c r="CH2435" s="1"/>
      <c r="CI2435" s="1"/>
      <c r="CJ2435" s="1"/>
      <c r="CK2435" s="1"/>
      <c r="CL2435" s="1"/>
      <c r="CM2435" s="1"/>
      <c r="CN2435" s="1"/>
      <c r="CO2435" s="1"/>
      <c r="CP2435" s="1"/>
      <c r="CQ2435" s="1"/>
      <c r="CR2435" s="1"/>
      <c r="CS2435" s="1"/>
      <c r="CT2435" s="1"/>
      <c r="CU2435" s="1"/>
      <c r="CV2435" s="1"/>
      <c r="CW2435" s="1"/>
      <c r="CX2435" s="1"/>
      <c r="CY2435" s="1"/>
      <c r="CZ2435" s="1"/>
      <c r="DA2435" s="1"/>
      <c r="DB2435" s="1"/>
      <c r="DC2435" s="1"/>
      <c r="DD2435" s="1"/>
      <c r="DE2435" s="1"/>
      <c r="DF2435" s="1"/>
      <c r="DG2435" s="1"/>
      <c r="DH2435" s="1"/>
      <c r="DI2435" s="1"/>
      <c r="DJ2435" s="1"/>
      <c r="DK2435" s="1"/>
      <c r="DL2435" s="1"/>
      <c r="DM2435" s="1"/>
      <c r="DN2435" s="1"/>
      <c r="DO2435" s="1"/>
      <c r="DP2435" s="1"/>
      <c r="DQ2435" s="1"/>
      <c r="DR2435" s="1"/>
      <c r="DS2435" s="1"/>
      <c r="DT2435" s="1"/>
      <c r="DU2435" s="1"/>
      <c r="DV2435" s="1"/>
      <c r="DW2435" s="1"/>
      <c r="DX2435" s="1"/>
      <c r="DY2435" s="1"/>
      <c r="DZ2435" s="1"/>
      <c r="EA2435" s="1"/>
      <c r="EB2435" s="1"/>
      <c r="EC2435" s="1"/>
      <c r="ED2435" s="1"/>
      <c r="EE2435" s="1"/>
      <c r="EF2435" s="1"/>
      <c r="EG2435" s="1"/>
      <c r="EH2435" s="1"/>
      <c r="EI2435" s="1"/>
      <c r="EJ2435" s="1"/>
      <c r="EK2435" s="1"/>
      <c r="EL2435" s="1"/>
      <c r="EM2435" s="1"/>
      <c r="EN2435" s="1"/>
      <c r="EO2435" s="1"/>
      <c r="EP2435" s="1"/>
      <c r="EQ2435" s="1"/>
      <c r="ER2435" s="1"/>
      <c r="ES2435" s="1"/>
      <c r="ET2435" s="1"/>
      <c r="EU2435" s="1"/>
      <c r="EV2435" s="1"/>
      <c r="EW2435" s="1"/>
      <c r="EX2435" s="1"/>
      <c r="EY2435" s="1"/>
      <c r="EZ2435" s="1"/>
      <c r="FA2435" s="1"/>
      <c r="FB2435" s="1"/>
      <c r="FC2435" s="1"/>
      <c r="FD2435" s="1"/>
      <c r="FE2435" s="1"/>
      <c r="FF2435" s="1"/>
      <c r="FG2435" s="1"/>
      <c r="FH2435" s="1"/>
      <c r="FI2435" s="1"/>
      <c r="FJ2435" s="1"/>
      <c r="FK2435" s="1"/>
      <c r="FL2435" s="1"/>
      <c r="FM2435" s="1"/>
      <c r="FN2435" s="1"/>
      <c r="FO2435" s="1"/>
      <c r="FP2435" s="1"/>
      <c r="FQ2435" s="1"/>
      <c r="FR2435" s="1"/>
      <c r="FS2435" s="1"/>
      <c r="FT2435" s="1"/>
      <c r="FU2435" s="1"/>
      <c r="FV2435" s="1"/>
      <c r="FW2435" s="1"/>
      <c r="FX2435" s="1"/>
      <c r="FY2435" s="1"/>
      <c r="FZ2435" s="1"/>
      <c r="GA2435" s="1"/>
      <c r="GB2435" s="1"/>
      <c r="GC2435" s="1"/>
      <c r="GD2435" s="1"/>
      <c r="GE2435" s="1"/>
      <c r="GF2435" s="1"/>
      <c r="GG2435" s="1"/>
      <c r="GH2435" s="1"/>
      <c r="GI2435" s="1"/>
      <c r="GJ2435" s="1"/>
      <c r="GK2435" s="1"/>
      <c r="GL2435" s="1"/>
      <c r="GM2435" s="1"/>
      <c r="GN2435" s="1"/>
      <c r="GO2435" s="1"/>
      <c r="GP2435" s="1"/>
      <c r="GQ2435" s="1"/>
      <c r="GR2435" s="1"/>
      <c r="GS2435" s="1"/>
      <c r="GT2435" s="1"/>
      <c r="GU2435" s="1"/>
      <c r="GV2435" s="1"/>
      <c r="GW2435" s="1"/>
      <c r="GX2435" s="1"/>
      <c r="GY2435" s="1"/>
      <c r="GZ2435" s="1"/>
      <c r="HA2435" s="1"/>
      <c r="HB2435" s="1"/>
      <c r="HC2435" s="1"/>
      <c r="HD2435" s="1"/>
      <c r="HE2435" s="1"/>
      <c r="HF2435" s="1"/>
      <c r="HG2435" s="1"/>
      <c r="HH2435" s="1"/>
      <c r="HI2435" s="1"/>
      <c r="HJ2435" s="1"/>
      <c r="HK2435" s="1"/>
      <c r="HL2435" s="1"/>
      <c r="HM2435" s="1"/>
      <c r="HN2435" s="1"/>
      <c r="HO2435" s="1"/>
      <c r="HP2435" s="1"/>
      <c r="HQ2435" s="1"/>
    </row>
    <row r="2436" spans="1:225" x14ac:dyDescent="0.35">
      <c r="A2436" s="153" t="s">
        <v>40</v>
      </c>
      <c r="B2436" s="147"/>
      <c r="C2436" s="73"/>
      <c r="D2436" s="142">
        <f>D2437+D2440+D2442+D2445+D2448+D2450+D2455+D2458+D2460+D2463+D2466+D2469+D2474+D2479+D2482+D2485+D2487+D2490+D2493+D2495+D2497+D2499+D2502</f>
        <v>14730.8</v>
      </c>
      <c r="E2436" s="142"/>
      <c r="F2436" s="142"/>
      <c r="G2436" s="125"/>
      <c r="H2436" s="162"/>
      <c r="I2436" s="158">
        <f>I2437+I2440+I2442+I2445+I2448+I2450+I2455+I2458+I2460+I2463+I2466+I2469+I2474+I2479+I2482+I2485+I2487+I2490+I2493+I2495+I2497+I2499+I2502</f>
        <v>31113078</v>
      </c>
      <c r="J2436" s="158"/>
      <c r="K2436" s="158"/>
      <c r="HP2436" s="1"/>
      <c r="HQ2436" s="1"/>
    </row>
    <row r="2437" spans="1:225" ht="15.75" customHeight="1" x14ac:dyDescent="0.35">
      <c r="A2437" s="256">
        <v>1</v>
      </c>
      <c r="B2437" s="256">
        <v>5598</v>
      </c>
      <c r="C2437" s="259" t="s">
        <v>624</v>
      </c>
      <c r="D2437" s="262">
        <v>430.4</v>
      </c>
      <c r="E2437" s="256" t="s">
        <v>665</v>
      </c>
      <c r="F2437" s="256">
        <v>2</v>
      </c>
      <c r="G2437" s="256" t="s">
        <v>72</v>
      </c>
      <c r="H2437" s="159" t="s">
        <v>73</v>
      </c>
      <c r="I2437" s="158">
        <f>I2438+I2439</f>
        <v>1029215.52</v>
      </c>
      <c r="J2437" s="158">
        <f>J2438+J2439</f>
        <v>2391.3000000000002</v>
      </c>
      <c r="K2437" s="158">
        <f>K2438+K2439</f>
        <v>7558</v>
      </c>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1"/>
      <c r="AI2437" s="1"/>
      <c r="AJ2437" s="1"/>
      <c r="AK2437" s="1"/>
      <c r="AL2437" s="1"/>
      <c r="AM2437" s="1"/>
      <c r="AN2437" s="1"/>
      <c r="AO2437" s="1"/>
      <c r="AP2437" s="1"/>
      <c r="AQ2437" s="1"/>
      <c r="AR2437" s="1"/>
      <c r="AS2437" s="1"/>
      <c r="AT2437" s="1"/>
      <c r="AU2437" s="1"/>
      <c r="AV2437" s="1"/>
      <c r="AW2437" s="1"/>
      <c r="AX2437" s="1"/>
      <c r="AY2437" s="1"/>
      <c r="AZ2437" s="1"/>
      <c r="BA2437" s="1"/>
      <c r="BB2437" s="1"/>
      <c r="BC2437" s="1"/>
      <c r="BD2437" s="1"/>
      <c r="BE2437" s="1"/>
      <c r="BF2437" s="1"/>
      <c r="BG2437" s="1"/>
      <c r="BH2437" s="1"/>
      <c r="BI2437" s="1"/>
      <c r="BJ2437" s="1"/>
      <c r="BK2437" s="1"/>
      <c r="BL2437" s="1"/>
      <c r="BM2437" s="1"/>
      <c r="BN2437" s="1"/>
      <c r="BO2437" s="1"/>
      <c r="BP2437" s="1"/>
      <c r="BQ2437" s="1"/>
      <c r="BR2437" s="1"/>
      <c r="BS2437" s="1"/>
      <c r="BT2437" s="1"/>
      <c r="BU2437" s="1"/>
      <c r="BV2437" s="1"/>
      <c r="BW2437" s="1"/>
      <c r="BX2437" s="1"/>
      <c r="BY2437" s="1"/>
      <c r="BZ2437" s="1"/>
      <c r="CA2437" s="1"/>
      <c r="CB2437" s="1"/>
      <c r="CC2437" s="1"/>
      <c r="CD2437" s="1"/>
      <c r="CE2437" s="1"/>
      <c r="CF2437" s="1"/>
      <c r="CG2437" s="1"/>
      <c r="CH2437" s="1"/>
      <c r="CI2437" s="1"/>
      <c r="CJ2437" s="1"/>
      <c r="CK2437" s="1"/>
      <c r="CL2437" s="1"/>
      <c r="CM2437" s="1"/>
      <c r="CN2437" s="1"/>
      <c r="CO2437" s="1"/>
      <c r="CP2437" s="1"/>
      <c r="CQ2437" s="1"/>
      <c r="CR2437" s="1"/>
      <c r="CS2437" s="1"/>
      <c r="CT2437" s="1"/>
      <c r="CU2437" s="1"/>
      <c r="CV2437" s="1"/>
      <c r="CW2437" s="1"/>
      <c r="CX2437" s="1"/>
      <c r="CY2437" s="1"/>
      <c r="CZ2437" s="1"/>
      <c r="DA2437" s="1"/>
      <c r="DB2437" s="1"/>
      <c r="DC2437" s="1"/>
      <c r="DD2437" s="1"/>
      <c r="DE2437" s="1"/>
      <c r="DF2437" s="1"/>
      <c r="DG2437" s="1"/>
      <c r="DH2437" s="1"/>
      <c r="DI2437" s="1"/>
      <c r="DJ2437" s="1"/>
      <c r="DK2437" s="1"/>
      <c r="DL2437" s="1"/>
      <c r="DM2437" s="1"/>
      <c r="DN2437" s="1"/>
      <c r="DO2437" s="1"/>
      <c r="DP2437" s="1"/>
      <c r="DQ2437" s="1"/>
      <c r="DR2437" s="1"/>
      <c r="DS2437" s="1"/>
      <c r="DT2437" s="1"/>
      <c r="DU2437" s="1"/>
      <c r="DV2437" s="1"/>
      <c r="DW2437" s="1"/>
      <c r="DX2437" s="1"/>
      <c r="DY2437" s="1"/>
      <c r="DZ2437" s="1"/>
      <c r="EA2437" s="1"/>
      <c r="EB2437" s="1"/>
      <c r="EC2437" s="1"/>
      <c r="ED2437" s="1"/>
      <c r="EE2437" s="1"/>
      <c r="EF2437" s="1"/>
      <c r="EG2437" s="1"/>
      <c r="EH2437" s="1"/>
      <c r="EI2437" s="1"/>
      <c r="EJ2437" s="1"/>
      <c r="EK2437" s="1"/>
      <c r="EL2437" s="1"/>
      <c r="EM2437" s="1"/>
      <c r="EN2437" s="1"/>
      <c r="EO2437" s="1"/>
      <c r="EP2437" s="1"/>
      <c r="EQ2437" s="1"/>
      <c r="ER2437" s="1"/>
      <c r="ES2437" s="1"/>
      <c r="ET2437" s="1"/>
      <c r="EU2437" s="1"/>
      <c r="EV2437" s="1"/>
      <c r="EW2437" s="1"/>
      <c r="EX2437" s="1"/>
      <c r="EY2437" s="1"/>
      <c r="EZ2437" s="1"/>
      <c r="FA2437" s="1"/>
      <c r="FB2437" s="1"/>
      <c r="FC2437" s="1"/>
      <c r="FD2437" s="1"/>
      <c r="FE2437" s="1"/>
      <c r="FF2437" s="1"/>
      <c r="FG2437" s="1"/>
      <c r="FH2437" s="1"/>
      <c r="FI2437" s="1"/>
      <c r="FJ2437" s="1"/>
      <c r="FK2437" s="1"/>
      <c r="FL2437" s="1"/>
      <c r="FM2437" s="1"/>
      <c r="FN2437" s="1"/>
      <c r="FO2437" s="1"/>
      <c r="FP2437" s="1"/>
      <c r="FQ2437" s="1"/>
      <c r="FR2437" s="1"/>
      <c r="FS2437" s="1"/>
      <c r="FT2437" s="1"/>
      <c r="FU2437" s="1"/>
      <c r="FV2437" s="1"/>
      <c r="FW2437" s="1"/>
      <c r="FX2437" s="1"/>
      <c r="FY2437" s="1"/>
      <c r="FZ2437" s="1"/>
      <c r="GA2437" s="1"/>
      <c r="GB2437" s="1"/>
      <c r="GC2437" s="1"/>
      <c r="GD2437" s="1"/>
      <c r="GE2437" s="1"/>
      <c r="GF2437" s="1"/>
      <c r="GG2437" s="1"/>
      <c r="GH2437" s="1"/>
      <c r="GI2437" s="1"/>
      <c r="GJ2437" s="1"/>
      <c r="GK2437" s="1"/>
      <c r="GL2437" s="1"/>
      <c r="GM2437" s="1"/>
      <c r="GN2437" s="1"/>
      <c r="GO2437" s="1"/>
      <c r="GP2437" s="1"/>
      <c r="GQ2437" s="1"/>
      <c r="GR2437" s="1"/>
      <c r="GS2437" s="1"/>
      <c r="GT2437" s="1"/>
      <c r="GU2437" s="1"/>
      <c r="GV2437" s="1"/>
      <c r="GW2437" s="1"/>
      <c r="GX2437" s="1"/>
      <c r="GY2437" s="1"/>
      <c r="GZ2437" s="1"/>
      <c r="HA2437" s="1"/>
      <c r="HB2437" s="1"/>
      <c r="HC2437" s="1"/>
      <c r="HD2437" s="1"/>
      <c r="HE2437" s="1"/>
      <c r="HF2437" s="1"/>
      <c r="HG2437" s="1"/>
      <c r="HH2437" s="1"/>
      <c r="HI2437" s="1"/>
      <c r="HJ2437" s="1"/>
      <c r="HK2437" s="1"/>
      <c r="HL2437" s="1"/>
      <c r="HM2437" s="1"/>
      <c r="HN2437" s="1"/>
      <c r="HO2437" s="1"/>
      <c r="HP2437" s="1"/>
      <c r="HQ2437" s="1"/>
    </row>
    <row r="2438" spans="1:225" ht="46.5" x14ac:dyDescent="0.35">
      <c r="A2438" s="257"/>
      <c r="B2438" s="257"/>
      <c r="C2438" s="260"/>
      <c r="D2438" s="263"/>
      <c r="E2438" s="257"/>
      <c r="F2438" s="257"/>
      <c r="G2438" s="257"/>
      <c r="H2438" s="159" t="s">
        <v>705</v>
      </c>
      <c r="I2438" s="158">
        <f>K2438*D2437</f>
        <v>76180.800000000003</v>
      </c>
      <c r="J2438" s="158">
        <f>I2438/D2437</f>
        <v>177</v>
      </c>
      <c r="K2438" s="158">
        <f>163+14</f>
        <v>177</v>
      </c>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1"/>
      <c r="AI2438" s="1"/>
      <c r="AJ2438" s="1"/>
      <c r="AK2438" s="1"/>
      <c r="AL2438" s="1"/>
      <c r="AM2438" s="1"/>
      <c r="AN2438" s="1"/>
      <c r="AO2438" s="1"/>
      <c r="AP2438" s="1"/>
      <c r="AQ2438" s="1"/>
      <c r="AR2438" s="1"/>
      <c r="AS2438" s="1"/>
      <c r="AT2438" s="1"/>
      <c r="AU2438" s="1"/>
      <c r="AV2438" s="1"/>
      <c r="AW2438" s="1"/>
      <c r="AX2438" s="1"/>
      <c r="AY2438" s="1"/>
      <c r="AZ2438" s="1"/>
      <c r="BA2438" s="1"/>
      <c r="BB2438" s="1"/>
      <c r="BC2438" s="1"/>
      <c r="BD2438" s="1"/>
      <c r="BE2438" s="1"/>
      <c r="BF2438" s="1"/>
      <c r="BG2438" s="1"/>
      <c r="BH2438" s="1"/>
      <c r="BI2438" s="1"/>
      <c r="BJ2438" s="1"/>
      <c r="BK2438" s="1"/>
      <c r="BL2438" s="1"/>
      <c r="BM2438" s="1"/>
      <c r="BN2438" s="1"/>
      <c r="BO2438" s="1"/>
      <c r="BP2438" s="1"/>
      <c r="BQ2438" s="1"/>
      <c r="BR2438" s="1"/>
      <c r="BS2438" s="1"/>
      <c r="BT2438" s="1"/>
      <c r="BU2438" s="1"/>
      <c r="BV2438" s="1"/>
      <c r="BW2438" s="1"/>
      <c r="BX2438" s="1"/>
      <c r="BY2438" s="1"/>
      <c r="BZ2438" s="1"/>
      <c r="CA2438" s="1"/>
      <c r="CB2438" s="1"/>
      <c r="CC2438" s="1"/>
      <c r="CD2438" s="1"/>
      <c r="CE2438" s="1"/>
      <c r="CF2438" s="1"/>
      <c r="CG2438" s="1"/>
      <c r="CH2438" s="1"/>
      <c r="CI2438" s="1"/>
      <c r="CJ2438" s="1"/>
      <c r="CK2438" s="1"/>
      <c r="CL2438" s="1"/>
      <c r="CM2438" s="1"/>
      <c r="CN2438" s="1"/>
      <c r="CO2438" s="1"/>
      <c r="CP2438" s="1"/>
      <c r="CQ2438" s="1"/>
      <c r="CR2438" s="1"/>
      <c r="CS2438" s="1"/>
      <c r="CT2438" s="1"/>
      <c r="CU2438" s="1"/>
      <c r="CV2438" s="1"/>
      <c r="CW2438" s="1"/>
      <c r="CX2438" s="1"/>
      <c r="CY2438" s="1"/>
      <c r="CZ2438" s="1"/>
      <c r="DA2438" s="1"/>
      <c r="DB2438" s="1"/>
      <c r="DC2438" s="1"/>
      <c r="DD2438" s="1"/>
      <c r="DE2438" s="1"/>
      <c r="DF2438" s="1"/>
      <c r="DG2438" s="1"/>
      <c r="DH2438" s="1"/>
      <c r="DI2438" s="1"/>
      <c r="DJ2438" s="1"/>
      <c r="DK2438" s="1"/>
      <c r="DL2438" s="1"/>
      <c r="DM2438" s="1"/>
      <c r="DN2438" s="1"/>
      <c r="DO2438" s="1"/>
      <c r="DP2438" s="1"/>
      <c r="DQ2438" s="1"/>
      <c r="DR2438" s="1"/>
      <c r="DS2438" s="1"/>
      <c r="DT2438" s="1"/>
      <c r="DU2438" s="1"/>
      <c r="DV2438" s="1"/>
      <c r="DW2438" s="1"/>
      <c r="DX2438" s="1"/>
      <c r="DY2438" s="1"/>
      <c r="DZ2438" s="1"/>
      <c r="EA2438" s="1"/>
      <c r="EB2438" s="1"/>
      <c r="EC2438" s="1"/>
      <c r="ED2438" s="1"/>
      <c r="EE2438" s="1"/>
      <c r="EF2438" s="1"/>
      <c r="EG2438" s="1"/>
      <c r="EH2438" s="1"/>
      <c r="EI2438" s="1"/>
      <c r="EJ2438" s="1"/>
      <c r="EK2438" s="1"/>
      <c r="EL2438" s="1"/>
      <c r="EM2438" s="1"/>
      <c r="EN2438" s="1"/>
      <c r="EO2438" s="1"/>
      <c r="EP2438" s="1"/>
      <c r="EQ2438" s="1"/>
      <c r="ER2438" s="1"/>
      <c r="ES2438" s="1"/>
      <c r="ET2438" s="1"/>
      <c r="EU2438" s="1"/>
      <c r="EV2438" s="1"/>
      <c r="EW2438" s="1"/>
      <c r="EX2438" s="1"/>
      <c r="EY2438" s="1"/>
      <c r="EZ2438" s="1"/>
      <c r="FA2438" s="1"/>
      <c r="FB2438" s="1"/>
      <c r="FC2438" s="1"/>
      <c r="FD2438" s="1"/>
      <c r="FE2438" s="1"/>
      <c r="FF2438" s="1"/>
      <c r="FG2438" s="1"/>
      <c r="FH2438" s="1"/>
      <c r="FI2438" s="1"/>
      <c r="FJ2438" s="1"/>
      <c r="FK2438" s="1"/>
      <c r="FL2438" s="1"/>
      <c r="FM2438" s="1"/>
      <c r="FN2438" s="1"/>
      <c r="FO2438" s="1"/>
      <c r="FP2438" s="1"/>
      <c r="FQ2438" s="1"/>
      <c r="FR2438" s="1"/>
      <c r="FS2438" s="1"/>
      <c r="FT2438" s="1"/>
      <c r="FU2438" s="1"/>
      <c r="FV2438" s="1"/>
      <c r="FW2438" s="1"/>
      <c r="FX2438" s="1"/>
      <c r="FY2438" s="1"/>
      <c r="FZ2438" s="1"/>
      <c r="GA2438" s="1"/>
      <c r="GB2438" s="1"/>
      <c r="GC2438" s="1"/>
      <c r="GD2438" s="1"/>
      <c r="GE2438" s="1"/>
      <c r="GF2438" s="1"/>
      <c r="GG2438" s="1"/>
      <c r="GH2438" s="1"/>
      <c r="GI2438" s="1"/>
      <c r="GJ2438" s="1"/>
      <c r="GK2438" s="1"/>
      <c r="GL2438" s="1"/>
      <c r="GM2438" s="1"/>
      <c r="GN2438" s="1"/>
      <c r="GO2438" s="1"/>
      <c r="GP2438" s="1"/>
      <c r="GQ2438" s="1"/>
      <c r="GR2438" s="1"/>
      <c r="GS2438" s="1"/>
      <c r="GT2438" s="1"/>
      <c r="GU2438" s="1"/>
      <c r="GV2438" s="1"/>
      <c r="GW2438" s="1"/>
      <c r="GX2438" s="1"/>
      <c r="GY2438" s="1"/>
      <c r="GZ2438" s="1"/>
      <c r="HA2438" s="1"/>
      <c r="HB2438" s="1"/>
      <c r="HC2438" s="1"/>
      <c r="HD2438" s="1"/>
      <c r="HE2438" s="1"/>
      <c r="HF2438" s="1"/>
      <c r="HG2438" s="1"/>
      <c r="HH2438" s="1"/>
      <c r="HI2438" s="1"/>
      <c r="HJ2438" s="1"/>
      <c r="HK2438" s="1"/>
      <c r="HL2438" s="1"/>
      <c r="HM2438" s="1"/>
      <c r="HN2438" s="1"/>
      <c r="HO2438" s="1"/>
      <c r="HP2438" s="1"/>
      <c r="HQ2438" s="1"/>
    </row>
    <row r="2439" spans="1:225" x14ac:dyDescent="0.35">
      <c r="A2439" s="258"/>
      <c r="B2439" s="258"/>
      <c r="C2439" s="261"/>
      <c r="D2439" s="264"/>
      <c r="E2439" s="258"/>
      <c r="F2439" s="258"/>
      <c r="G2439" s="121"/>
      <c r="H2439" s="159" t="s">
        <v>74</v>
      </c>
      <c r="I2439" s="158">
        <f>K2439*D2437*0.3</f>
        <v>953034.72</v>
      </c>
      <c r="J2439" s="158">
        <f>I2439/D2437</f>
        <v>2214.3000000000002</v>
      </c>
      <c r="K2439" s="158">
        <v>7381</v>
      </c>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1"/>
      <c r="AI2439" s="1"/>
      <c r="AJ2439" s="1"/>
      <c r="AK2439" s="1"/>
      <c r="AL2439" s="1"/>
      <c r="AM2439" s="1"/>
      <c r="AN2439" s="1"/>
      <c r="AO2439" s="1"/>
      <c r="AP2439" s="1"/>
      <c r="AQ2439" s="1"/>
      <c r="AR2439" s="1"/>
      <c r="AS2439" s="1"/>
      <c r="AT2439" s="1"/>
      <c r="AU2439" s="1"/>
      <c r="AV2439" s="1"/>
      <c r="AW2439" s="1"/>
      <c r="AX2439" s="1"/>
      <c r="AY2439" s="1"/>
      <c r="AZ2439" s="1"/>
      <c r="BA2439" s="1"/>
      <c r="BB2439" s="1"/>
      <c r="BC2439" s="1"/>
      <c r="BD2439" s="1"/>
      <c r="BE2439" s="1"/>
      <c r="BF2439" s="1"/>
      <c r="BG2439" s="1"/>
      <c r="BH2439" s="1"/>
      <c r="BI2439" s="1"/>
      <c r="BJ2439" s="1"/>
      <c r="BK2439" s="1"/>
      <c r="BL2439" s="1"/>
      <c r="BM2439" s="1"/>
      <c r="BN2439" s="1"/>
      <c r="BO2439" s="1"/>
      <c r="BP2439" s="1"/>
      <c r="BQ2439" s="1"/>
      <c r="BR2439" s="1"/>
      <c r="BS2439" s="1"/>
      <c r="BT2439" s="1"/>
      <c r="BU2439" s="1"/>
      <c r="BV2439" s="1"/>
      <c r="BW2439" s="1"/>
      <c r="BX2439" s="1"/>
      <c r="BY2439" s="1"/>
      <c r="BZ2439" s="1"/>
      <c r="CA2439" s="1"/>
      <c r="CB2439" s="1"/>
      <c r="CC2439" s="1"/>
      <c r="CD2439" s="1"/>
      <c r="CE2439" s="1"/>
      <c r="CF2439" s="1"/>
      <c r="CG2439" s="1"/>
      <c r="CH2439" s="1"/>
      <c r="CI2439" s="1"/>
      <c r="CJ2439" s="1"/>
      <c r="CK2439" s="1"/>
      <c r="CL2439" s="1"/>
      <c r="CM2439" s="1"/>
      <c r="CN2439" s="1"/>
      <c r="CO2439" s="1"/>
      <c r="CP2439" s="1"/>
      <c r="CQ2439" s="1"/>
      <c r="CR2439" s="1"/>
      <c r="CS2439" s="1"/>
      <c r="CT2439" s="1"/>
      <c r="CU2439" s="1"/>
      <c r="CV2439" s="1"/>
      <c r="CW2439" s="1"/>
      <c r="CX2439" s="1"/>
      <c r="CY2439" s="1"/>
      <c r="CZ2439" s="1"/>
      <c r="DA2439" s="1"/>
      <c r="DB2439" s="1"/>
      <c r="DC2439" s="1"/>
      <c r="DD2439" s="1"/>
      <c r="DE2439" s="1"/>
      <c r="DF2439" s="1"/>
      <c r="DG2439" s="1"/>
      <c r="DH2439" s="1"/>
      <c r="DI2439" s="1"/>
      <c r="DJ2439" s="1"/>
      <c r="DK2439" s="1"/>
      <c r="DL2439" s="1"/>
      <c r="DM2439" s="1"/>
      <c r="DN2439" s="1"/>
      <c r="DO2439" s="1"/>
      <c r="DP2439" s="1"/>
      <c r="DQ2439" s="1"/>
      <c r="DR2439" s="1"/>
      <c r="DS2439" s="1"/>
      <c r="DT2439" s="1"/>
      <c r="DU2439" s="1"/>
      <c r="DV2439" s="1"/>
      <c r="DW2439" s="1"/>
      <c r="DX2439" s="1"/>
      <c r="DY2439" s="1"/>
      <c r="DZ2439" s="1"/>
      <c r="EA2439" s="1"/>
      <c r="EB2439" s="1"/>
      <c r="EC2439" s="1"/>
      <c r="ED2439" s="1"/>
      <c r="EE2439" s="1"/>
      <c r="EF2439" s="1"/>
      <c r="EG2439" s="1"/>
      <c r="EH2439" s="1"/>
      <c r="EI2439" s="1"/>
      <c r="EJ2439" s="1"/>
      <c r="EK2439" s="1"/>
      <c r="EL2439" s="1"/>
      <c r="EM2439" s="1"/>
      <c r="EN2439" s="1"/>
      <c r="EO2439" s="1"/>
      <c r="EP2439" s="1"/>
      <c r="EQ2439" s="1"/>
      <c r="ER2439" s="1"/>
      <c r="ES2439" s="1"/>
      <c r="ET2439" s="1"/>
      <c r="EU2439" s="1"/>
      <c r="EV2439" s="1"/>
      <c r="EW2439" s="1"/>
      <c r="EX2439" s="1"/>
      <c r="EY2439" s="1"/>
      <c r="EZ2439" s="1"/>
      <c r="FA2439" s="1"/>
      <c r="FB2439" s="1"/>
      <c r="FC2439" s="1"/>
      <c r="FD2439" s="1"/>
      <c r="FE2439" s="1"/>
      <c r="FF2439" s="1"/>
      <c r="FG2439" s="1"/>
      <c r="FH2439" s="1"/>
      <c r="FI2439" s="1"/>
      <c r="FJ2439" s="1"/>
      <c r="FK2439" s="1"/>
      <c r="FL2439" s="1"/>
      <c r="FM2439" s="1"/>
      <c r="FN2439" s="1"/>
      <c r="FO2439" s="1"/>
      <c r="FP2439" s="1"/>
      <c r="FQ2439" s="1"/>
      <c r="FR2439" s="1"/>
      <c r="FS2439" s="1"/>
      <c r="FT2439" s="1"/>
      <c r="FU2439" s="1"/>
      <c r="FV2439" s="1"/>
      <c r="FW2439" s="1"/>
      <c r="FX2439" s="1"/>
      <c r="FY2439" s="1"/>
      <c r="FZ2439" s="1"/>
      <c r="GA2439" s="1"/>
      <c r="GB2439" s="1"/>
      <c r="GC2439" s="1"/>
      <c r="GD2439" s="1"/>
      <c r="GE2439" s="1"/>
      <c r="GF2439" s="1"/>
      <c r="GG2439" s="1"/>
      <c r="GH2439" s="1"/>
      <c r="GI2439" s="1"/>
      <c r="GJ2439" s="1"/>
      <c r="GK2439" s="1"/>
      <c r="GL2439" s="1"/>
      <c r="GM2439" s="1"/>
      <c r="GN2439" s="1"/>
      <c r="GO2439" s="1"/>
      <c r="GP2439" s="1"/>
      <c r="GQ2439" s="1"/>
      <c r="GR2439" s="1"/>
      <c r="GS2439" s="1"/>
      <c r="GT2439" s="1"/>
      <c r="GU2439" s="1"/>
      <c r="GV2439" s="1"/>
      <c r="GW2439" s="1"/>
      <c r="GX2439" s="1"/>
      <c r="GY2439" s="1"/>
      <c r="GZ2439" s="1"/>
      <c r="HA2439" s="1"/>
      <c r="HB2439" s="1"/>
      <c r="HC2439" s="1"/>
      <c r="HD2439" s="1"/>
      <c r="HE2439" s="1"/>
      <c r="HF2439" s="1"/>
      <c r="HG2439" s="1"/>
      <c r="HH2439" s="1"/>
      <c r="HI2439" s="1"/>
      <c r="HJ2439" s="1"/>
      <c r="HK2439" s="1"/>
      <c r="HL2439" s="1"/>
      <c r="HM2439" s="1"/>
      <c r="HN2439" s="1"/>
      <c r="HO2439" s="1"/>
      <c r="HP2439" s="1"/>
      <c r="HQ2439" s="1"/>
    </row>
    <row r="2440" spans="1:225" ht="15.75" customHeight="1" x14ac:dyDescent="0.35">
      <c r="A2440" s="256">
        <f>A2437+1</f>
        <v>2</v>
      </c>
      <c r="B2440" s="256">
        <v>5398</v>
      </c>
      <c r="C2440" s="259" t="s">
        <v>625</v>
      </c>
      <c r="D2440" s="262">
        <v>474.6</v>
      </c>
      <c r="E2440" s="262" t="s">
        <v>665</v>
      </c>
      <c r="F2440" s="265">
        <v>2</v>
      </c>
      <c r="G2440" s="256" t="s">
        <v>72</v>
      </c>
      <c r="H2440" s="159" t="s">
        <v>73</v>
      </c>
      <c r="I2440" s="158">
        <f>I2441</f>
        <v>84004.2</v>
      </c>
      <c r="J2440" s="158">
        <f>J2441</f>
        <v>177</v>
      </c>
      <c r="K2440" s="158">
        <f>K2441</f>
        <v>177</v>
      </c>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1"/>
      <c r="AI2440" s="1"/>
      <c r="AJ2440" s="1"/>
      <c r="AK2440" s="1"/>
      <c r="AL2440" s="1"/>
      <c r="AM2440" s="1"/>
      <c r="AN2440" s="1"/>
      <c r="AO2440" s="1"/>
      <c r="AP2440" s="1"/>
      <c r="AQ2440" s="1"/>
      <c r="AR2440" s="1"/>
      <c r="AS2440" s="1"/>
      <c r="AT2440" s="1"/>
      <c r="AU2440" s="1"/>
      <c r="AV2440" s="1"/>
      <c r="AW2440" s="1"/>
      <c r="AX2440" s="1"/>
      <c r="AY2440" s="1"/>
      <c r="AZ2440" s="1"/>
      <c r="BA2440" s="1"/>
      <c r="BB2440" s="1"/>
      <c r="BC2440" s="1"/>
      <c r="BD2440" s="1"/>
      <c r="BE2440" s="1"/>
      <c r="BF2440" s="1"/>
      <c r="BG2440" s="1"/>
      <c r="BH2440" s="1"/>
      <c r="BI2440" s="1"/>
      <c r="BJ2440" s="1"/>
      <c r="BK2440" s="1"/>
      <c r="BL2440" s="1"/>
      <c r="BM2440" s="1"/>
      <c r="BN2440" s="1"/>
      <c r="BO2440" s="1"/>
      <c r="BP2440" s="1"/>
      <c r="BQ2440" s="1"/>
      <c r="BR2440" s="1"/>
      <c r="BS2440" s="1"/>
      <c r="BT2440" s="1"/>
      <c r="BU2440" s="1"/>
      <c r="BV2440" s="1"/>
      <c r="BW2440" s="1"/>
      <c r="BX2440" s="1"/>
      <c r="BY2440" s="1"/>
      <c r="BZ2440" s="1"/>
      <c r="CA2440" s="1"/>
      <c r="CB2440" s="1"/>
      <c r="CC2440" s="1"/>
      <c r="CD2440" s="1"/>
      <c r="CE2440" s="1"/>
      <c r="CF2440" s="1"/>
      <c r="CG2440" s="1"/>
      <c r="CH2440" s="1"/>
      <c r="CI2440" s="1"/>
      <c r="CJ2440" s="1"/>
      <c r="CK2440" s="1"/>
      <c r="CL2440" s="1"/>
      <c r="CM2440" s="1"/>
      <c r="CN2440" s="1"/>
      <c r="CO2440" s="1"/>
      <c r="CP2440" s="1"/>
      <c r="CQ2440" s="1"/>
      <c r="CR2440" s="1"/>
      <c r="CS2440" s="1"/>
      <c r="CT2440" s="1"/>
      <c r="CU2440" s="1"/>
      <c r="CV2440" s="1"/>
      <c r="CW2440" s="1"/>
      <c r="CX2440" s="1"/>
      <c r="CY2440" s="1"/>
      <c r="CZ2440" s="1"/>
      <c r="DA2440" s="1"/>
      <c r="DB2440" s="1"/>
      <c r="DC2440" s="1"/>
      <c r="DD2440" s="1"/>
      <c r="DE2440" s="1"/>
      <c r="DF2440" s="1"/>
      <c r="DG2440" s="1"/>
      <c r="DH2440" s="1"/>
      <c r="DI2440" s="1"/>
      <c r="DJ2440" s="1"/>
      <c r="DK2440" s="1"/>
      <c r="DL2440" s="1"/>
      <c r="DM2440" s="1"/>
      <c r="DN2440" s="1"/>
      <c r="DO2440" s="1"/>
      <c r="DP2440" s="1"/>
      <c r="DQ2440" s="1"/>
      <c r="DR2440" s="1"/>
      <c r="DS2440" s="1"/>
      <c r="DT2440" s="1"/>
      <c r="DU2440" s="1"/>
      <c r="DV2440" s="1"/>
      <c r="DW2440" s="1"/>
      <c r="DX2440" s="1"/>
      <c r="DY2440" s="1"/>
      <c r="DZ2440" s="1"/>
      <c r="EA2440" s="1"/>
      <c r="EB2440" s="1"/>
      <c r="EC2440" s="1"/>
      <c r="ED2440" s="1"/>
      <c r="EE2440" s="1"/>
      <c r="EF2440" s="1"/>
      <c r="EG2440" s="1"/>
      <c r="EH2440" s="1"/>
      <c r="EI2440" s="1"/>
      <c r="EJ2440" s="1"/>
      <c r="EK2440" s="1"/>
      <c r="EL2440" s="1"/>
      <c r="EM2440" s="1"/>
      <c r="EN2440" s="1"/>
      <c r="EO2440" s="1"/>
      <c r="EP2440" s="1"/>
      <c r="EQ2440" s="1"/>
      <c r="ER2440" s="1"/>
      <c r="ES2440" s="1"/>
      <c r="ET2440" s="1"/>
      <c r="EU2440" s="1"/>
      <c r="EV2440" s="1"/>
      <c r="EW2440" s="1"/>
      <c r="EX2440" s="1"/>
      <c r="EY2440" s="1"/>
      <c r="EZ2440" s="1"/>
      <c r="FA2440" s="1"/>
      <c r="FB2440" s="1"/>
      <c r="FC2440" s="1"/>
      <c r="FD2440" s="1"/>
      <c r="FE2440" s="1"/>
      <c r="FF2440" s="1"/>
      <c r="FG2440" s="1"/>
      <c r="FH2440" s="1"/>
      <c r="FI2440" s="1"/>
      <c r="FJ2440" s="1"/>
      <c r="FK2440" s="1"/>
      <c r="FL2440" s="1"/>
      <c r="FM2440" s="1"/>
      <c r="FN2440" s="1"/>
      <c r="FO2440" s="1"/>
      <c r="FP2440" s="1"/>
      <c r="FQ2440" s="1"/>
      <c r="FR2440" s="1"/>
      <c r="FS2440" s="1"/>
      <c r="FT2440" s="1"/>
      <c r="FU2440" s="1"/>
      <c r="FV2440" s="1"/>
      <c r="FW2440" s="1"/>
      <c r="FX2440" s="1"/>
      <c r="FY2440" s="1"/>
      <c r="FZ2440" s="1"/>
      <c r="GA2440" s="1"/>
      <c r="GB2440" s="1"/>
      <c r="GC2440" s="1"/>
      <c r="GD2440" s="1"/>
      <c r="GE2440" s="1"/>
      <c r="GF2440" s="1"/>
      <c r="GG2440" s="1"/>
      <c r="GH2440" s="1"/>
      <c r="GI2440" s="1"/>
      <c r="GJ2440" s="1"/>
      <c r="GK2440" s="1"/>
      <c r="GL2440" s="1"/>
      <c r="GM2440" s="1"/>
      <c r="GN2440" s="1"/>
      <c r="GO2440" s="1"/>
      <c r="GP2440" s="1"/>
      <c r="GQ2440" s="1"/>
      <c r="GR2440" s="1"/>
      <c r="GS2440" s="1"/>
      <c r="GT2440" s="1"/>
      <c r="GU2440" s="1"/>
      <c r="GV2440" s="1"/>
      <c r="GW2440" s="1"/>
      <c r="GX2440" s="1"/>
      <c r="GY2440" s="1"/>
      <c r="GZ2440" s="1"/>
      <c r="HA2440" s="1"/>
      <c r="HB2440" s="1"/>
      <c r="HC2440" s="1"/>
      <c r="HD2440" s="1"/>
      <c r="HE2440" s="1"/>
      <c r="HF2440" s="1"/>
      <c r="HG2440" s="1"/>
      <c r="HH2440" s="1"/>
      <c r="HI2440" s="1"/>
      <c r="HJ2440" s="1"/>
      <c r="HK2440" s="1"/>
      <c r="HL2440" s="1"/>
      <c r="HM2440" s="1"/>
      <c r="HN2440" s="1"/>
      <c r="HO2440" s="1"/>
      <c r="HP2440" s="1"/>
      <c r="HQ2440" s="1"/>
    </row>
    <row r="2441" spans="1:225" ht="46.5" x14ac:dyDescent="0.35">
      <c r="A2441" s="257">
        <v>1129</v>
      </c>
      <c r="B2441" s="258"/>
      <c r="C2441" s="260"/>
      <c r="D2441" s="263"/>
      <c r="E2441" s="263"/>
      <c r="F2441" s="266"/>
      <c r="G2441" s="257"/>
      <c r="H2441" s="159" t="s">
        <v>705</v>
      </c>
      <c r="I2441" s="158">
        <f>K2441*D2440</f>
        <v>84004.2</v>
      </c>
      <c r="J2441" s="158">
        <f>I2441/D2440</f>
        <v>177</v>
      </c>
      <c r="K2441" s="158">
        <f>163+14</f>
        <v>177</v>
      </c>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1"/>
      <c r="AI2441" s="1"/>
      <c r="AJ2441" s="1"/>
      <c r="AK2441" s="1"/>
      <c r="AL2441" s="1"/>
      <c r="AM2441" s="1"/>
      <c r="AN2441" s="1"/>
      <c r="AO2441" s="1"/>
      <c r="AP2441" s="1"/>
      <c r="AQ2441" s="1"/>
      <c r="AR2441" s="1"/>
      <c r="AS2441" s="1"/>
      <c r="AT2441" s="1"/>
      <c r="AU2441" s="1"/>
      <c r="AV2441" s="1"/>
      <c r="AW2441" s="1"/>
      <c r="AX2441" s="1"/>
      <c r="AY2441" s="1"/>
      <c r="AZ2441" s="1"/>
      <c r="BA2441" s="1"/>
      <c r="BB2441" s="1"/>
      <c r="BC2441" s="1"/>
      <c r="BD2441" s="1"/>
      <c r="BE2441" s="1"/>
      <c r="BF2441" s="1"/>
      <c r="BG2441" s="1"/>
      <c r="BH2441" s="1"/>
      <c r="BI2441" s="1"/>
      <c r="BJ2441" s="1"/>
      <c r="BK2441" s="1"/>
      <c r="BL2441" s="1"/>
      <c r="BM2441" s="1"/>
      <c r="BN2441" s="1"/>
      <c r="BO2441" s="1"/>
      <c r="BP2441" s="1"/>
      <c r="BQ2441" s="1"/>
      <c r="BR2441" s="1"/>
      <c r="BS2441" s="1"/>
      <c r="BT2441" s="1"/>
      <c r="BU2441" s="1"/>
      <c r="BV2441" s="1"/>
      <c r="BW2441" s="1"/>
      <c r="BX2441" s="1"/>
      <c r="BY2441" s="1"/>
      <c r="BZ2441" s="1"/>
      <c r="CA2441" s="1"/>
      <c r="CB2441" s="1"/>
      <c r="CC2441" s="1"/>
      <c r="CD2441" s="1"/>
      <c r="CE2441" s="1"/>
      <c r="CF2441" s="1"/>
      <c r="CG2441" s="1"/>
      <c r="CH2441" s="1"/>
      <c r="CI2441" s="1"/>
      <c r="CJ2441" s="1"/>
      <c r="CK2441" s="1"/>
      <c r="CL2441" s="1"/>
      <c r="CM2441" s="1"/>
      <c r="CN2441" s="1"/>
      <c r="CO2441" s="1"/>
      <c r="CP2441" s="1"/>
      <c r="CQ2441" s="1"/>
      <c r="CR2441" s="1"/>
      <c r="CS2441" s="1"/>
      <c r="CT2441" s="1"/>
      <c r="CU2441" s="1"/>
      <c r="CV2441" s="1"/>
      <c r="CW2441" s="1"/>
      <c r="CX2441" s="1"/>
      <c r="CY2441" s="1"/>
      <c r="CZ2441" s="1"/>
      <c r="DA2441" s="1"/>
      <c r="DB2441" s="1"/>
      <c r="DC2441" s="1"/>
      <c r="DD2441" s="1"/>
      <c r="DE2441" s="1"/>
      <c r="DF2441" s="1"/>
      <c r="DG2441" s="1"/>
      <c r="DH2441" s="1"/>
      <c r="DI2441" s="1"/>
      <c r="DJ2441" s="1"/>
      <c r="DK2441" s="1"/>
      <c r="DL2441" s="1"/>
      <c r="DM2441" s="1"/>
      <c r="DN2441" s="1"/>
      <c r="DO2441" s="1"/>
      <c r="DP2441" s="1"/>
      <c r="DQ2441" s="1"/>
      <c r="DR2441" s="1"/>
      <c r="DS2441" s="1"/>
      <c r="DT2441" s="1"/>
      <c r="DU2441" s="1"/>
      <c r="DV2441" s="1"/>
      <c r="DW2441" s="1"/>
      <c r="DX2441" s="1"/>
      <c r="DY2441" s="1"/>
      <c r="DZ2441" s="1"/>
      <c r="EA2441" s="1"/>
      <c r="EB2441" s="1"/>
      <c r="EC2441" s="1"/>
      <c r="ED2441" s="1"/>
      <c r="EE2441" s="1"/>
      <c r="EF2441" s="1"/>
      <c r="EG2441" s="1"/>
      <c r="EH2441" s="1"/>
      <c r="EI2441" s="1"/>
      <c r="EJ2441" s="1"/>
      <c r="EK2441" s="1"/>
      <c r="EL2441" s="1"/>
      <c r="EM2441" s="1"/>
      <c r="EN2441" s="1"/>
      <c r="EO2441" s="1"/>
      <c r="EP2441" s="1"/>
      <c r="EQ2441" s="1"/>
      <c r="ER2441" s="1"/>
      <c r="ES2441" s="1"/>
      <c r="ET2441" s="1"/>
      <c r="EU2441" s="1"/>
      <c r="EV2441" s="1"/>
      <c r="EW2441" s="1"/>
      <c r="EX2441" s="1"/>
      <c r="EY2441" s="1"/>
      <c r="EZ2441" s="1"/>
      <c r="FA2441" s="1"/>
      <c r="FB2441" s="1"/>
      <c r="FC2441" s="1"/>
      <c r="FD2441" s="1"/>
      <c r="FE2441" s="1"/>
      <c r="FF2441" s="1"/>
      <c r="FG2441" s="1"/>
      <c r="FH2441" s="1"/>
      <c r="FI2441" s="1"/>
      <c r="FJ2441" s="1"/>
      <c r="FK2441" s="1"/>
      <c r="FL2441" s="1"/>
      <c r="FM2441" s="1"/>
      <c r="FN2441" s="1"/>
      <c r="FO2441" s="1"/>
      <c r="FP2441" s="1"/>
      <c r="FQ2441" s="1"/>
      <c r="FR2441" s="1"/>
      <c r="FS2441" s="1"/>
      <c r="FT2441" s="1"/>
      <c r="FU2441" s="1"/>
      <c r="FV2441" s="1"/>
      <c r="FW2441" s="1"/>
      <c r="FX2441" s="1"/>
      <c r="FY2441" s="1"/>
      <c r="FZ2441" s="1"/>
      <c r="GA2441" s="1"/>
      <c r="GB2441" s="1"/>
      <c r="GC2441" s="1"/>
      <c r="GD2441" s="1"/>
      <c r="GE2441" s="1"/>
      <c r="GF2441" s="1"/>
      <c r="GG2441" s="1"/>
      <c r="GH2441" s="1"/>
      <c r="GI2441" s="1"/>
      <c r="GJ2441" s="1"/>
      <c r="GK2441" s="1"/>
      <c r="GL2441" s="1"/>
      <c r="GM2441" s="1"/>
      <c r="GN2441" s="1"/>
      <c r="GO2441" s="1"/>
      <c r="GP2441" s="1"/>
      <c r="GQ2441" s="1"/>
      <c r="GR2441" s="1"/>
      <c r="GS2441" s="1"/>
      <c r="GT2441" s="1"/>
      <c r="GU2441" s="1"/>
      <c r="GV2441" s="1"/>
      <c r="GW2441" s="1"/>
      <c r="GX2441" s="1"/>
      <c r="GY2441" s="1"/>
      <c r="GZ2441" s="1"/>
      <c r="HA2441" s="1"/>
      <c r="HB2441" s="1"/>
      <c r="HC2441" s="1"/>
      <c r="HD2441" s="1"/>
      <c r="HE2441" s="1"/>
      <c r="HF2441" s="1"/>
      <c r="HG2441" s="1"/>
      <c r="HH2441" s="1"/>
      <c r="HI2441" s="1"/>
      <c r="HJ2441" s="1"/>
      <c r="HK2441" s="1"/>
      <c r="HL2441" s="1"/>
      <c r="HM2441" s="1"/>
      <c r="HN2441" s="1"/>
      <c r="HO2441" s="1"/>
      <c r="HP2441" s="1"/>
      <c r="HQ2441" s="1"/>
    </row>
    <row r="2442" spans="1:225" ht="15.75" customHeight="1" x14ac:dyDescent="0.35">
      <c r="A2442" s="256">
        <f>A2440+1</f>
        <v>3</v>
      </c>
      <c r="B2442" s="256">
        <v>5399</v>
      </c>
      <c r="C2442" s="259" t="s">
        <v>626</v>
      </c>
      <c r="D2442" s="262">
        <v>413</v>
      </c>
      <c r="E2442" s="262" t="s">
        <v>665</v>
      </c>
      <c r="F2442" s="265">
        <v>2</v>
      </c>
      <c r="G2442" s="256" t="s">
        <v>72</v>
      </c>
      <c r="H2442" s="159" t="s">
        <v>73</v>
      </c>
      <c r="I2442" s="158">
        <f>I2444+I2443</f>
        <v>987606.9</v>
      </c>
      <c r="J2442" s="158">
        <f>J2444+J2443</f>
        <v>2391.3000000000002</v>
      </c>
      <c r="K2442" s="158">
        <f>K2444+K2443</f>
        <v>7558</v>
      </c>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1"/>
      <c r="AI2442" s="1"/>
      <c r="AJ2442" s="1"/>
      <c r="AK2442" s="1"/>
      <c r="AL2442" s="1"/>
      <c r="AM2442" s="1"/>
      <c r="AN2442" s="1"/>
      <c r="AO2442" s="1"/>
      <c r="AP2442" s="1"/>
      <c r="AQ2442" s="1"/>
      <c r="AR2442" s="1"/>
      <c r="AS2442" s="1"/>
      <c r="AT2442" s="1"/>
      <c r="AU2442" s="1"/>
      <c r="AV2442" s="1"/>
      <c r="AW2442" s="1"/>
      <c r="AX2442" s="1"/>
      <c r="AY2442" s="1"/>
      <c r="AZ2442" s="1"/>
      <c r="BA2442" s="1"/>
      <c r="BB2442" s="1"/>
      <c r="BC2442" s="1"/>
      <c r="BD2442" s="1"/>
      <c r="BE2442" s="1"/>
      <c r="BF2442" s="1"/>
      <c r="BG2442" s="1"/>
      <c r="BH2442" s="1"/>
      <c r="BI2442" s="1"/>
      <c r="BJ2442" s="1"/>
      <c r="BK2442" s="1"/>
      <c r="BL2442" s="1"/>
      <c r="BM2442" s="1"/>
      <c r="BN2442" s="1"/>
      <c r="BO2442" s="1"/>
      <c r="BP2442" s="1"/>
      <c r="BQ2442" s="1"/>
      <c r="BR2442" s="1"/>
      <c r="BS2442" s="1"/>
      <c r="BT2442" s="1"/>
      <c r="BU2442" s="1"/>
      <c r="BV2442" s="1"/>
      <c r="BW2442" s="1"/>
      <c r="BX2442" s="1"/>
      <c r="BY2442" s="1"/>
      <c r="BZ2442" s="1"/>
      <c r="CA2442" s="1"/>
      <c r="CB2442" s="1"/>
      <c r="CC2442" s="1"/>
      <c r="CD2442" s="1"/>
      <c r="CE2442" s="1"/>
      <c r="CF2442" s="1"/>
      <c r="CG2442" s="1"/>
      <c r="CH2442" s="1"/>
      <c r="CI2442" s="1"/>
      <c r="CJ2442" s="1"/>
      <c r="CK2442" s="1"/>
      <c r="CL2442" s="1"/>
      <c r="CM2442" s="1"/>
      <c r="CN2442" s="1"/>
      <c r="CO2442" s="1"/>
      <c r="CP2442" s="1"/>
      <c r="CQ2442" s="1"/>
      <c r="CR2442" s="1"/>
      <c r="CS2442" s="1"/>
      <c r="CT2442" s="1"/>
      <c r="CU2442" s="1"/>
      <c r="CV2442" s="1"/>
      <c r="CW2442" s="1"/>
      <c r="CX2442" s="1"/>
      <c r="CY2442" s="1"/>
      <c r="CZ2442" s="1"/>
      <c r="DA2442" s="1"/>
      <c r="DB2442" s="1"/>
      <c r="DC2442" s="1"/>
      <c r="DD2442" s="1"/>
      <c r="DE2442" s="1"/>
      <c r="DF2442" s="1"/>
      <c r="DG2442" s="1"/>
      <c r="DH2442" s="1"/>
      <c r="DI2442" s="1"/>
      <c r="DJ2442" s="1"/>
      <c r="DK2442" s="1"/>
      <c r="DL2442" s="1"/>
      <c r="DM2442" s="1"/>
      <c r="DN2442" s="1"/>
      <c r="DO2442" s="1"/>
      <c r="DP2442" s="1"/>
      <c r="DQ2442" s="1"/>
      <c r="DR2442" s="1"/>
      <c r="DS2442" s="1"/>
      <c r="DT2442" s="1"/>
      <c r="DU2442" s="1"/>
      <c r="DV2442" s="1"/>
      <c r="DW2442" s="1"/>
      <c r="DX2442" s="1"/>
      <c r="DY2442" s="1"/>
      <c r="DZ2442" s="1"/>
      <c r="EA2442" s="1"/>
      <c r="EB2442" s="1"/>
      <c r="EC2442" s="1"/>
      <c r="ED2442" s="1"/>
      <c r="EE2442" s="1"/>
      <c r="EF2442" s="1"/>
      <c r="EG2442" s="1"/>
      <c r="EH2442" s="1"/>
      <c r="EI2442" s="1"/>
      <c r="EJ2442" s="1"/>
      <c r="EK2442" s="1"/>
      <c r="EL2442" s="1"/>
      <c r="EM2442" s="1"/>
      <c r="EN2442" s="1"/>
      <c r="EO2442" s="1"/>
      <c r="EP2442" s="1"/>
      <c r="EQ2442" s="1"/>
      <c r="ER2442" s="1"/>
      <c r="ES2442" s="1"/>
      <c r="ET2442" s="1"/>
      <c r="EU2442" s="1"/>
      <c r="EV2442" s="1"/>
      <c r="EW2442" s="1"/>
      <c r="EX2442" s="1"/>
      <c r="EY2442" s="1"/>
      <c r="EZ2442" s="1"/>
      <c r="FA2442" s="1"/>
      <c r="FB2442" s="1"/>
      <c r="FC2442" s="1"/>
      <c r="FD2442" s="1"/>
      <c r="FE2442" s="1"/>
      <c r="FF2442" s="1"/>
      <c r="FG2442" s="1"/>
      <c r="FH2442" s="1"/>
      <c r="FI2442" s="1"/>
      <c r="FJ2442" s="1"/>
      <c r="FK2442" s="1"/>
      <c r="FL2442" s="1"/>
      <c r="FM2442" s="1"/>
      <c r="FN2442" s="1"/>
      <c r="FO2442" s="1"/>
      <c r="FP2442" s="1"/>
      <c r="FQ2442" s="1"/>
      <c r="FR2442" s="1"/>
      <c r="FS2442" s="1"/>
      <c r="FT2442" s="1"/>
      <c r="FU2442" s="1"/>
      <c r="FV2442" s="1"/>
      <c r="FW2442" s="1"/>
      <c r="FX2442" s="1"/>
      <c r="FY2442" s="1"/>
      <c r="FZ2442" s="1"/>
      <c r="GA2442" s="1"/>
      <c r="GB2442" s="1"/>
      <c r="GC2442" s="1"/>
      <c r="GD2442" s="1"/>
      <c r="GE2442" s="1"/>
      <c r="GF2442" s="1"/>
      <c r="GG2442" s="1"/>
      <c r="GH2442" s="1"/>
      <c r="GI2442" s="1"/>
      <c r="GJ2442" s="1"/>
      <c r="GK2442" s="1"/>
      <c r="GL2442" s="1"/>
      <c r="GM2442" s="1"/>
      <c r="GN2442" s="1"/>
      <c r="GO2442" s="1"/>
      <c r="GP2442" s="1"/>
      <c r="GQ2442" s="1"/>
      <c r="GR2442" s="1"/>
      <c r="GS2442" s="1"/>
      <c r="GT2442" s="1"/>
      <c r="GU2442" s="1"/>
      <c r="GV2442" s="1"/>
      <c r="GW2442" s="1"/>
      <c r="GX2442" s="1"/>
      <c r="GY2442" s="1"/>
      <c r="GZ2442" s="1"/>
      <c r="HA2442" s="1"/>
      <c r="HB2442" s="1"/>
      <c r="HC2442" s="1"/>
      <c r="HD2442" s="1"/>
      <c r="HE2442" s="1"/>
      <c r="HF2442" s="1"/>
      <c r="HG2442" s="1"/>
      <c r="HH2442" s="1"/>
      <c r="HI2442" s="1"/>
      <c r="HJ2442" s="1"/>
      <c r="HK2442" s="1"/>
      <c r="HL2442" s="1"/>
      <c r="HM2442" s="1"/>
      <c r="HN2442" s="1"/>
      <c r="HO2442" s="1"/>
      <c r="HP2442" s="1"/>
      <c r="HQ2442" s="1"/>
    </row>
    <row r="2443" spans="1:225" ht="46.5" x14ac:dyDescent="0.35">
      <c r="A2443" s="257"/>
      <c r="B2443" s="257"/>
      <c r="C2443" s="260"/>
      <c r="D2443" s="263"/>
      <c r="E2443" s="263"/>
      <c r="F2443" s="266"/>
      <c r="G2443" s="257"/>
      <c r="H2443" s="159" t="s">
        <v>705</v>
      </c>
      <c r="I2443" s="158">
        <f>K2443*D2442</f>
        <v>73101</v>
      </c>
      <c r="J2443" s="158">
        <f>I2443/D2442</f>
        <v>177</v>
      </c>
      <c r="K2443" s="158">
        <f>163+14</f>
        <v>177</v>
      </c>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1"/>
      <c r="AI2443" s="1"/>
      <c r="AJ2443" s="1"/>
      <c r="AK2443" s="1"/>
      <c r="AL2443" s="1"/>
      <c r="AM2443" s="1"/>
      <c r="AN2443" s="1"/>
      <c r="AO2443" s="1"/>
      <c r="AP2443" s="1"/>
      <c r="AQ2443" s="1"/>
      <c r="AR2443" s="1"/>
      <c r="AS2443" s="1"/>
      <c r="AT2443" s="1"/>
      <c r="AU2443" s="1"/>
      <c r="AV2443" s="1"/>
      <c r="AW2443" s="1"/>
      <c r="AX2443" s="1"/>
      <c r="AY2443" s="1"/>
      <c r="AZ2443" s="1"/>
      <c r="BA2443" s="1"/>
      <c r="BB2443" s="1"/>
      <c r="BC2443" s="1"/>
      <c r="BD2443" s="1"/>
      <c r="BE2443" s="1"/>
      <c r="BF2443" s="1"/>
      <c r="BG2443" s="1"/>
      <c r="BH2443" s="1"/>
      <c r="BI2443" s="1"/>
      <c r="BJ2443" s="1"/>
      <c r="BK2443" s="1"/>
      <c r="BL2443" s="1"/>
      <c r="BM2443" s="1"/>
      <c r="BN2443" s="1"/>
      <c r="BO2443" s="1"/>
      <c r="BP2443" s="1"/>
      <c r="BQ2443" s="1"/>
      <c r="BR2443" s="1"/>
      <c r="BS2443" s="1"/>
      <c r="BT2443" s="1"/>
      <c r="BU2443" s="1"/>
      <c r="BV2443" s="1"/>
      <c r="BW2443" s="1"/>
      <c r="BX2443" s="1"/>
      <c r="BY2443" s="1"/>
      <c r="BZ2443" s="1"/>
      <c r="CA2443" s="1"/>
      <c r="CB2443" s="1"/>
      <c r="CC2443" s="1"/>
      <c r="CD2443" s="1"/>
      <c r="CE2443" s="1"/>
      <c r="CF2443" s="1"/>
      <c r="CG2443" s="1"/>
      <c r="CH2443" s="1"/>
      <c r="CI2443" s="1"/>
      <c r="CJ2443" s="1"/>
      <c r="CK2443" s="1"/>
      <c r="CL2443" s="1"/>
      <c r="CM2443" s="1"/>
      <c r="CN2443" s="1"/>
      <c r="CO2443" s="1"/>
      <c r="CP2443" s="1"/>
      <c r="CQ2443" s="1"/>
      <c r="CR2443" s="1"/>
      <c r="CS2443" s="1"/>
      <c r="CT2443" s="1"/>
      <c r="CU2443" s="1"/>
      <c r="CV2443" s="1"/>
      <c r="CW2443" s="1"/>
      <c r="CX2443" s="1"/>
      <c r="CY2443" s="1"/>
      <c r="CZ2443" s="1"/>
      <c r="DA2443" s="1"/>
      <c r="DB2443" s="1"/>
      <c r="DC2443" s="1"/>
      <c r="DD2443" s="1"/>
      <c r="DE2443" s="1"/>
      <c r="DF2443" s="1"/>
      <c r="DG2443" s="1"/>
      <c r="DH2443" s="1"/>
      <c r="DI2443" s="1"/>
      <c r="DJ2443" s="1"/>
      <c r="DK2443" s="1"/>
      <c r="DL2443" s="1"/>
      <c r="DM2443" s="1"/>
      <c r="DN2443" s="1"/>
      <c r="DO2443" s="1"/>
      <c r="DP2443" s="1"/>
      <c r="DQ2443" s="1"/>
      <c r="DR2443" s="1"/>
      <c r="DS2443" s="1"/>
      <c r="DT2443" s="1"/>
      <c r="DU2443" s="1"/>
      <c r="DV2443" s="1"/>
      <c r="DW2443" s="1"/>
      <c r="DX2443" s="1"/>
      <c r="DY2443" s="1"/>
      <c r="DZ2443" s="1"/>
      <c r="EA2443" s="1"/>
      <c r="EB2443" s="1"/>
      <c r="EC2443" s="1"/>
      <c r="ED2443" s="1"/>
      <c r="EE2443" s="1"/>
      <c r="EF2443" s="1"/>
      <c r="EG2443" s="1"/>
      <c r="EH2443" s="1"/>
      <c r="EI2443" s="1"/>
      <c r="EJ2443" s="1"/>
      <c r="EK2443" s="1"/>
      <c r="EL2443" s="1"/>
      <c r="EM2443" s="1"/>
      <c r="EN2443" s="1"/>
      <c r="EO2443" s="1"/>
      <c r="EP2443" s="1"/>
      <c r="EQ2443" s="1"/>
      <c r="ER2443" s="1"/>
      <c r="ES2443" s="1"/>
      <c r="ET2443" s="1"/>
      <c r="EU2443" s="1"/>
      <c r="EV2443" s="1"/>
      <c r="EW2443" s="1"/>
      <c r="EX2443" s="1"/>
      <c r="EY2443" s="1"/>
      <c r="EZ2443" s="1"/>
      <c r="FA2443" s="1"/>
      <c r="FB2443" s="1"/>
      <c r="FC2443" s="1"/>
      <c r="FD2443" s="1"/>
      <c r="FE2443" s="1"/>
      <c r="FF2443" s="1"/>
      <c r="FG2443" s="1"/>
      <c r="FH2443" s="1"/>
      <c r="FI2443" s="1"/>
      <c r="FJ2443" s="1"/>
      <c r="FK2443" s="1"/>
      <c r="FL2443" s="1"/>
      <c r="FM2443" s="1"/>
      <c r="FN2443" s="1"/>
      <c r="FO2443" s="1"/>
      <c r="FP2443" s="1"/>
      <c r="FQ2443" s="1"/>
      <c r="FR2443" s="1"/>
      <c r="FS2443" s="1"/>
      <c r="FT2443" s="1"/>
      <c r="FU2443" s="1"/>
      <c r="FV2443" s="1"/>
      <c r="FW2443" s="1"/>
      <c r="FX2443" s="1"/>
      <c r="FY2443" s="1"/>
      <c r="FZ2443" s="1"/>
      <c r="GA2443" s="1"/>
      <c r="GB2443" s="1"/>
      <c r="GC2443" s="1"/>
      <c r="GD2443" s="1"/>
      <c r="GE2443" s="1"/>
      <c r="GF2443" s="1"/>
      <c r="GG2443" s="1"/>
      <c r="GH2443" s="1"/>
      <c r="GI2443" s="1"/>
      <c r="GJ2443" s="1"/>
      <c r="GK2443" s="1"/>
      <c r="GL2443" s="1"/>
      <c r="GM2443" s="1"/>
      <c r="GN2443" s="1"/>
      <c r="GO2443" s="1"/>
      <c r="GP2443" s="1"/>
      <c r="GQ2443" s="1"/>
      <c r="GR2443" s="1"/>
      <c r="GS2443" s="1"/>
      <c r="GT2443" s="1"/>
      <c r="GU2443" s="1"/>
      <c r="GV2443" s="1"/>
      <c r="GW2443" s="1"/>
      <c r="GX2443" s="1"/>
      <c r="GY2443" s="1"/>
      <c r="GZ2443" s="1"/>
      <c r="HA2443" s="1"/>
      <c r="HB2443" s="1"/>
      <c r="HC2443" s="1"/>
      <c r="HD2443" s="1"/>
      <c r="HE2443" s="1"/>
      <c r="HF2443" s="1"/>
      <c r="HG2443" s="1"/>
      <c r="HH2443" s="1"/>
      <c r="HI2443" s="1"/>
      <c r="HJ2443" s="1"/>
      <c r="HK2443" s="1"/>
      <c r="HL2443" s="1"/>
      <c r="HM2443" s="1"/>
      <c r="HN2443" s="1"/>
      <c r="HO2443" s="1"/>
      <c r="HP2443" s="1"/>
      <c r="HQ2443" s="1"/>
    </row>
    <row r="2444" spans="1:225" ht="15.75" customHeight="1" x14ac:dyDescent="0.35">
      <c r="A2444" s="257"/>
      <c r="B2444" s="257"/>
      <c r="C2444" s="260"/>
      <c r="D2444" s="263"/>
      <c r="E2444" s="263"/>
      <c r="F2444" s="266"/>
      <c r="G2444" s="257"/>
      <c r="H2444" s="159" t="s">
        <v>74</v>
      </c>
      <c r="I2444" s="158">
        <f>K2444*D2442*0.3</f>
        <v>914505.9</v>
      </c>
      <c r="J2444" s="158">
        <f>I2444/D2442</f>
        <v>2214.3000000000002</v>
      </c>
      <c r="K2444" s="158">
        <v>7381</v>
      </c>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1"/>
      <c r="AI2444" s="1"/>
      <c r="AJ2444" s="1"/>
      <c r="AK2444" s="1"/>
      <c r="AL2444" s="1"/>
      <c r="AM2444" s="1"/>
      <c r="AN2444" s="1"/>
      <c r="AO2444" s="1"/>
      <c r="AP2444" s="1"/>
      <c r="AQ2444" s="1"/>
      <c r="AR2444" s="1"/>
      <c r="AS2444" s="1"/>
      <c r="AT2444" s="1"/>
      <c r="AU2444" s="1"/>
      <c r="AV2444" s="1"/>
      <c r="AW2444" s="1"/>
      <c r="AX2444" s="1"/>
      <c r="AY2444" s="1"/>
      <c r="AZ2444" s="1"/>
      <c r="BA2444" s="1"/>
      <c r="BB2444" s="1"/>
      <c r="BC2444" s="1"/>
      <c r="BD2444" s="1"/>
      <c r="BE2444" s="1"/>
      <c r="BF2444" s="1"/>
      <c r="BG2444" s="1"/>
      <c r="BH2444" s="1"/>
      <c r="BI2444" s="1"/>
      <c r="BJ2444" s="1"/>
      <c r="BK2444" s="1"/>
      <c r="BL2444" s="1"/>
      <c r="BM2444" s="1"/>
      <c r="BN2444" s="1"/>
      <c r="BO2444" s="1"/>
      <c r="BP2444" s="1"/>
      <c r="BQ2444" s="1"/>
      <c r="BR2444" s="1"/>
      <c r="BS2444" s="1"/>
      <c r="BT2444" s="1"/>
      <c r="BU2444" s="1"/>
      <c r="BV2444" s="1"/>
      <c r="BW2444" s="1"/>
      <c r="BX2444" s="1"/>
      <c r="BY2444" s="1"/>
      <c r="BZ2444" s="1"/>
      <c r="CA2444" s="1"/>
      <c r="CB2444" s="1"/>
      <c r="CC2444" s="1"/>
      <c r="CD2444" s="1"/>
      <c r="CE2444" s="1"/>
      <c r="CF2444" s="1"/>
      <c r="CG2444" s="1"/>
      <c r="CH2444" s="1"/>
      <c r="CI2444" s="1"/>
      <c r="CJ2444" s="1"/>
      <c r="CK2444" s="1"/>
      <c r="CL2444" s="1"/>
      <c r="CM2444" s="1"/>
      <c r="CN2444" s="1"/>
      <c r="CO2444" s="1"/>
      <c r="CP2444" s="1"/>
      <c r="CQ2444" s="1"/>
      <c r="CR2444" s="1"/>
      <c r="CS2444" s="1"/>
      <c r="CT2444" s="1"/>
      <c r="CU2444" s="1"/>
      <c r="CV2444" s="1"/>
      <c r="CW2444" s="1"/>
      <c r="CX2444" s="1"/>
      <c r="CY2444" s="1"/>
      <c r="CZ2444" s="1"/>
      <c r="DA2444" s="1"/>
      <c r="DB2444" s="1"/>
      <c r="DC2444" s="1"/>
      <c r="DD2444" s="1"/>
      <c r="DE2444" s="1"/>
      <c r="DF2444" s="1"/>
      <c r="DG2444" s="1"/>
      <c r="DH2444" s="1"/>
      <c r="DI2444" s="1"/>
      <c r="DJ2444" s="1"/>
      <c r="DK2444" s="1"/>
      <c r="DL2444" s="1"/>
      <c r="DM2444" s="1"/>
      <c r="DN2444" s="1"/>
      <c r="DO2444" s="1"/>
      <c r="DP2444" s="1"/>
      <c r="DQ2444" s="1"/>
      <c r="DR2444" s="1"/>
      <c r="DS2444" s="1"/>
      <c r="DT2444" s="1"/>
      <c r="DU2444" s="1"/>
      <c r="DV2444" s="1"/>
      <c r="DW2444" s="1"/>
      <c r="DX2444" s="1"/>
      <c r="DY2444" s="1"/>
      <c r="DZ2444" s="1"/>
      <c r="EA2444" s="1"/>
      <c r="EB2444" s="1"/>
      <c r="EC2444" s="1"/>
      <c r="ED2444" s="1"/>
      <c r="EE2444" s="1"/>
      <c r="EF2444" s="1"/>
      <c r="EG2444" s="1"/>
      <c r="EH2444" s="1"/>
      <c r="EI2444" s="1"/>
      <c r="EJ2444" s="1"/>
      <c r="EK2444" s="1"/>
      <c r="EL2444" s="1"/>
      <c r="EM2444" s="1"/>
      <c r="EN2444" s="1"/>
      <c r="EO2444" s="1"/>
      <c r="EP2444" s="1"/>
      <c r="EQ2444" s="1"/>
      <c r="ER2444" s="1"/>
      <c r="ES2444" s="1"/>
      <c r="ET2444" s="1"/>
      <c r="EU2444" s="1"/>
      <c r="EV2444" s="1"/>
      <c r="EW2444" s="1"/>
      <c r="EX2444" s="1"/>
      <c r="EY2444" s="1"/>
      <c r="EZ2444" s="1"/>
      <c r="FA2444" s="1"/>
      <c r="FB2444" s="1"/>
      <c r="FC2444" s="1"/>
      <c r="FD2444" s="1"/>
      <c r="FE2444" s="1"/>
      <c r="FF2444" s="1"/>
      <c r="FG2444" s="1"/>
      <c r="FH2444" s="1"/>
      <c r="FI2444" s="1"/>
      <c r="FJ2444" s="1"/>
      <c r="FK2444" s="1"/>
      <c r="FL2444" s="1"/>
      <c r="FM2444" s="1"/>
      <c r="FN2444" s="1"/>
      <c r="FO2444" s="1"/>
      <c r="FP2444" s="1"/>
      <c r="FQ2444" s="1"/>
      <c r="FR2444" s="1"/>
      <c r="FS2444" s="1"/>
      <c r="FT2444" s="1"/>
      <c r="FU2444" s="1"/>
      <c r="FV2444" s="1"/>
      <c r="FW2444" s="1"/>
      <c r="FX2444" s="1"/>
      <c r="FY2444" s="1"/>
      <c r="FZ2444" s="1"/>
      <c r="GA2444" s="1"/>
      <c r="GB2444" s="1"/>
      <c r="GC2444" s="1"/>
      <c r="GD2444" s="1"/>
      <c r="GE2444" s="1"/>
      <c r="GF2444" s="1"/>
      <c r="GG2444" s="1"/>
      <c r="GH2444" s="1"/>
      <c r="GI2444" s="1"/>
      <c r="GJ2444" s="1"/>
      <c r="GK2444" s="1"/>
      <c r="GL2444" s="1"/>
      <c r="GM2444" s="1"/>
      <c r="GN2444" s="1"/>
      <c r="GO2444" s="1"/>
      <c r="GP2444" s="1"/>
      <c r="GQ2444" s="1"/>
      <c r="GR2444" s="1"/>
      <c r="GS2444" s="1"/>
      <c r="GT2444" s="1"/>
      <c r="GU2444" s="1"/>
      <c r="GV2444" s="1"/>
      <c r="GW2444" s="1"/>
      <c r="GX2444" s="1"/>
      <c r="GY2444" s="1"/>
      <c r="GZ2444" s="1"/>
      <c r="HA2444" s="1"/>
      <c r="HB2444" s="1"/>
      <c r="HC2444" s="1"/>
      <c r="HD2444" s="1"/>
      <c r="HE2444" s="1"/>
      <c r="HF2444" s="1"/>
      <c r="HG2444" s="1"/>
      <c r="HH2444" s="1"/>
      <c r="HI2444" s="1"/>
      <c r="HJ2444" s="1"/>
      <c r="HK2444" s="1"/>
      <c r="HL2444" s="1"/>
      <c r="HM2444" s="1"/>
      <c r="HN2444" s="1"/>
      <c r="HO2444" s="1"/>
      <c r="HP2444" s="1"/>
      <c r="HQ2444" s="1"/>
    </row>
    <row r="2445" spans="1:225" ht="15.75" customHeight="1" x14ac:dyDescent="0.35">
      <c r="A2445" s="256">
        <f>A2442+1</f>
        <v>4</v>
      </c>
      <c r="B2445" s="256">
        <v>5400</v>
      </c>
      <c r="C2445" s="259" t="s">
        <v>443</v>
      </c>
      <c r="D2445" s="262">
        <v>427.3</v>
      </c>
      <c r="E2445" s="262" t="s">
        <v>665</v>
      </c>
      <c r="F2445" s="265">
        <v>2</v>
      </c>
      <c r="G2445" s="256" t="s">
        <v>82</v>
      </c>
      <c r="H2445" s="159" t="s">
        <v>73</v>
      </c>
      <c r="I2445" s="158">
        <f>I2446+I2447</f>
        <v>1754365.61</v>
      </c>
      <c r="J2445" s="158">
        <f>J2446+J2447</f>
        <v>4105.7</v>
      </c>
      <c r="K2445" s="158">
        <f>K2446+K2447</f>
        <v>5813</v>
      </c>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1"/>
      <c r="AI2445" s="1"/>
      <c r="AJ2445" s="1"/>
      <c r="AK2445" s="1"/>
      <c r="AL2445" s="1"/>
      <c r="AM2445" s="1"/>
      <c r="AN2445" s="1"/>
      <c r="AO2445" s="1"/>
      <c r="AP2445" s="1"/>
      <c r="AQ2445" s="1"/>
      <c r="AR2445" s="1"/>
      <c r="AS2445" s="1"/>
      <c r="AT2445" s="1"/>
      <c r="AU2445" s="1"/>
      <c r="AV2445" s="1"/>
      <c r="AW2445" s="1"/>
      <c r="AX2445" s="1"/>
      <c r="AY2445" s="1"/>
      <c r="AZ2445" s="1"/>
      <c r="BA2445" s="1"/>
      <c r="BB2445" s="1"/>
      <c r="BC2445" s="1"/>
      <c r="BD2445" s="1"/>
      <c r="BE2445" s="1"/>
      <c r="BF2445" s="1"/>
      <c r="BG2445" s="1"/>
      <c r="BH2445" s="1"/>
      <c r="BI2445" s="1"/>
      <c r="BJ2445" s="1"/>
      <c r="BK2445" s="1"/>
      <c r="BL2445" s="1"/>
      <c r="BM2445" s="1"/>
      <c r="BN2445" s="1"/>
      <c r="BO2445" s="1"/>
      <c r="BP2445" s="1"/>
      <c r="BQ2445" s="1"/>
      <c r="BR2445" s="1"/>
      <c r="BS2445" s="1"/>
      <c r="BT2445" s="1"/>
      <c r="BU2445" s="1"/>
      <c r="BV2445" s="1"/>
      <c r="BW2445" s="1"/>
      <c r="BX2445" s="1"/>
      <c r="BY2445" s="1"/>
      <c r="BZ2445" s="1"/>
      <c r="CA2445" s="1"/>
      <c r="CB2445" s="1"/>
      <c r="CC2445" s="1"/>
      <c r="CD2445" s="1"/>
      <c r="CE2445" s="1"/>
      <c r="CF2445" s="1"/>
      <c r="CG2445" s="1"/>
      <c r="CH2445" s="1"/>
      <c r="CI2445" s="1"/>
      <c r="CJ2445" s="1"/>
      <c r="CK2445" s="1"/>
      <c r="CL2445" s="1"/>
      <c r="CM2445" s="1"/>
      <c r="CN2445" s="1"/>
      <c r="CO2445" s="1"/>
      <c r="CP2445" s="1"/>
      <c r="CQ2445" s="1"/>
      <c r="CR2445" s="1"/>
      <c r="CS2445" s="1"/>
      <c r="CT2445" s="1"/>
      <c r="CU2445" s="1"/>
      <c r="CV2445" s="1"/>
      <c r="CW2445" s="1"/>
      <c r="CX2445" s="1"/>
      <c r="CY2445" s="1"/>
      <c r="CZ2445" s="1"/>
      <c r="DA2445" s="1"/>
      <c r="DB2445" s="1"/>
      <c r="DC2445" s="1"/>
      <c r="DD2445" s="1"/>
      <c r="DE2445" s="1"/>
      <c r="DF2445" s="1"/>
      <c r="DG2445" s="1"/>
      <c r="DH2445" s="1"/>
      <c r="DI2445" s="1"/>
      <c r="DJ2445" s="1"/>
      <c r="DK2445" s="1"/>
      <c r="DL2445" s="1"/>
      <c r="DM2445" s="1"/>
      <c r="DN2445" s="1"/>
      <c r="DO2445" s="1"/>
      <c r="DP2445" s="1"/>
      <c r="DQ2445" s="1"/>
      <c r="DR2445" s="1"/>
      <c r="DS2445" s="1"/>
      <c r="DT2445" s="1"/>
      <c r="DU2445" s="1"/>
      <c r="DV2445" s="1"/>
      <c r="DW2445" s="1"/>
      <c r="DX2445" s="1"/>
      <c r="DY2445" s="1"/>
      <c r="DZ2445" s="1"/>
      <c r="EA2445" s="1"/>
      <c r="EB2445" s="1"/>
      <c r="EC2445" s="1"/>
      <c r="ED2445" s="1"/>
      <c r="EE2445" s="1"/>
      <c r="EF2445" s="1"/>
      <c r="EG2445" s="1"/>
      <c r="EH2445" s="1"/>
      <c r="EI2445" s="1"/>
      <c r="EJ2445" s="1"/>
      <c r="EK2445" s="1"/>
      <c r="EL2445" s="1"/>
      <c r="EM2445" s="1"/>
      <c r="EN2445" s="1"/>
      <c r="EO2445" s="1"/>
      <c r="EP2445" s="1"/>
      <c r="EQ2445" s="1"/>
      <c r="ER2445" s="1"/>
      <c r="ES2445" s="1"/>
      <c r="ET2445" s="1"/>
      <c r="EU2445" s="1"/>
      <c r="EV2445" s="1"/>
      <c r="EW2445" s="1"/>
      <c r="EX2445" s="1"/>
      <c r="EY2445" s="1"/>
      <c r="EZ2445" s="1"/>
      <c r="FA2445" s="1"/>
      <c r="FB2445" s="1"/>
      <c r="FC2445" s="1"/>
      <c r="FD2445" s="1"/>
      <c r="FE2445" s="1"/>
      <c r="FF2445" s="1"/>
      <c r="FG2445" s="1"/>
      <c r="FH2445" s="1"/>
      <c r="FI2445" s="1"/>
      <c r="FJ2445" s="1"/>
      <c r="FK2445" s="1"/>
      <c r="FL2445" s="1"/>
      <c r="FM2445" s="1"/>
      <c r="FN2445" s="1"/>
      <c r="FO2445" s="1"/>
      <c r="FP2445" s="1"/>
      <c r="FQ2445" s="1"/>
      <c r="FR2445" s="1"/>
      <c r="FS2445" s="1"/>
      <c r="FT2445" s="1"/>
      <c r="FU2445" s="1"/>
      <c r="FV2445" s="1"/>
      <c r="FW2445" s="1"/>
      <c r="FX2445" s="1"/>
      <c r="FY2445" s="1"/>
      <c r="FZ2445" s="1"/>
      <c r="GA2445" s="1"/>
      <c r="GB2445" s="1"/>
      <c r="GC2445" s="1"/>
      <c r="GD2445" s="1"/>
      <c r="GE2445" s="1"/>
      <c r="GF2445" s="1"/>
      <c r="GG2445" s="1"/>
      <c r="GH2445" s="1"/>
      <c r="GI2445" s="1"/>
      <c r="GJ2445" s="1"/>
      <c r="GK2445" s="1"/>
      <c r="GL2445" s="1"/>
      <c r="GM2445" s="1"/>
      <c r="GN2445" s="1"/>
      <c r="GO2445" s="1"/>
      <c r="GP2445" s="1"/>
      <c r="GQ2445" s="1"/>
      <c r="GR2445" s="1"/>
      <c r="GS2445" s="1"/>
      <c r="GT2445" s="1"/>
      <c r="GU2445" s="1"/>
      <c r="GV2445" s="1"/>
      <c r="GW2445" s="1"/>
      <c r="GX2445" s="1"/>
      <c r="GY2445" s="1"/>
      <c r="GZ2445" s="1"/>
      <c r="HA2445" s="1"/>
      <c r="HB2445" s="1"/>
      <c r="HC2445" s="1"/>
      <c r="HD2445" s="1"/>
      <c r="HE2445" s="1"/>
      <c r="HF2445" s="1"/>
      <c r="HG2445" s="1"/>
      <c r="HH2445" s="1"/>
      <c r="HI2445" s="1"/>
      <c r="HJ2445" s="1"/>
      <c r="HK2445" s="1"/>
      <c r="HL2445" s="1"/>
      <c r="HM2445" s="1"/>
      <c r="HN2445" s="1"/>
      <c r="HO2445" s="1"/>
      <c r="HP2445" s="1"/>
      <c r="HQ2445" s="1"/>
    </row>
    <row r="2446" spans="1:225" ht="15.75" customHeight="1" x14ac:dyDescent="0.35">
      <c r="A2446" s="257">
        <v>1128</v>
      </c>
      <c r="B2446" s="257"/>
      <c r="C2446" s="260"/>
      <c r="D2446" s="263"/>
      <c r="E2446" s="263"/>
      <c r="F2446" s="266"/>
      <c r="G2446" s="257"/>
      <c r="H2446" s="159" t="s">
        <v>74</v>
      </c>
      <c r="I2446" s="158">
        <f>K2446*D2445*0.7</f>
        <v>1702235.01</v>
      </c>
      <c r="J2446" s="158">
        <f>I2446/D2445</f>
        <v>3983.7</v>
      </c>
      <c r="K2446" s="158">
        <v>5691</v>
      </c>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1"/>
      <c r="AI2446" s="1"/>
      <c r="AJ2446" s="1"/>
      <c r="AK2446" s="1"/>
      <c r="AL2446" s="1"/>
      <c r="AM2446" s="1"/>
      <c r="AN2446" s="1"/>
      <c r="AO2446" s="1"/>
      <c r="AP2446" s="1"/>
      <c r="AQ2446" s="1"/>
      <c r="AR2446" s="1"/>
      <c r="AS2446" s="1"/>
      <c r="AT2446" s="1"/>
      <c r="AU2446" s="1"/>
      <c r="AV2446" s="1"/>
      <c r="AW2446" s="1"/>
      <c r="AX2446" s="1"/>
      <c r="AY2446" s="1"/>
      <c r="AZ2446" s="1"/>
      <c r="BA2446" s="1"/>
      <c r="BB2446" s="1"/>
      <c r="BC2446" s="1"/>
      <c r="BD2446" s="1"/>
      <c r="BE2446" s="1"/>
      <c r="BF2446" s="1"/>
      <c r="BG2446" s="1"/>
      <c r="BH2446" s="1"/>
      <c r="BI2446" s="1"/>
      <c r="BJ2446" s="1"/>
      <c r="BK2446" s="1"/>
      <c r="BL2446" s="1"/>
      <c r="BM2446" s="1"/>
      <c r="BN2446" s="1"/>
      <c r="BO2446" s="1"/>
      <c r="BP2446" s="1"/>
      <c r="BQ2446" s="1"/>
      <c r="BR2446" s="1"/>
      <c r="BS2446" s="1"/>
      <c r="BT2446" s="1"/>
      <c r="BU2446" s="1"/>
      <c r="BV2446" s="1"/>
      <c r="BW2446" s="1"/>
      <c r="BX2446" s="1"/>
      <c r="BY2446" s="1"/>
      <c r="BZ2446" s="1"/>
      <c r="CA2446" s="1"/>
      <c r="CB2446" s="1"/>
      <c r="CC2446" s="1"/>
      <c r="CD2446" s="1"/>
      <c r="CE2446" s="1"/>
      <c r="CF2446" s="1"/>
      <c r="CG2446" s="1"/>
      <c r="CH2446" s="1"/>
      <c r="CI2446" s="1"/>
      <c r="CJ2446" s="1"/>
      <c r="CK2446" s="1"/>
      <c r="CL2446" s="1"/>
      <c r="CM2446" s="1"/>
      <c r="CN2446" s="1"/>
      <c r="CO2446" s="1"/>
      <c r="CP2446" s="1"/>
      <c r="CQ2446" s="1"/>
      <c r="CR2446" s="1"/>
      <c r="CS2446" s="1"/>
      <c r="CT2446" s="1"/>
      <c r="CU2446" s="1"/>
      <c r="CV2446" s="1"/>
      <c r="CW2446" s="1"/>
      <c r="CX2446" s="1"/>
      <c r="CY2446" s="1"/>
      <c r="CZ2446" s="1"/>
      <c r="DA2446" s="1"/>
      <c r="DB2446" s="1"/>
      <c r="DC2446" s="1"/>
      <c r="DD2446" s="1"/>
      <c r="DE2446" s="1"/>
      <c r="DF2446" s="1"/>
      <c r="DG2446" s="1"/>
      <c r="DH2446" s="1"/>
      <c r="DI2446" s="1"/>
      <c r="DJ2446" s="1"/>
      <c r="DK2446" s="1"/>
      <c r="DL2446" s="1"/>
      <c r="DM2446" s="1"/>
      <c r="DN2446" s="1"/>
      <c r="DO2446" s="1"/>
      <c r="DP2446" s="1"/>
      <c r="DQ2446" s="1"/>
      <c r="DR2446" s="1"/>
      <c r="DS2446" s="1"/>
      <c r="DT2446" s="1"/>
      <c r="DU2446" s="1"/>
      <c r="DV2446" s="1"/>
      <c r="DW2446" s="1"/>
      <c r="DX2446" s="1"/>
      <c r="DY2446" s="1"/>
      <c r="DZ2446" s="1"/>
      <c r="EA2446" s="1"/>
      <c r="EB2446" s="1"/>
      <c r="EC2446" s="1"/>
      <c r="ED2446" s="1"/>
      <c r="EE2446" s="1"/>
      <c r="EF2446" s="1"/>
      <c r="EG2446" s="1"/>
      <c r="EH2446" s="1"/>
      <c r="EI2446" s="1"/>
      <c r="EJ2446" s="1"/>
      <c r="EK2446" s="1"/>
      <c r="EL2446" s="1"/>
      <c r="EM2446" s="1"/>
      <c r="EN2446" s="1"/>
      <c r="EO2446" s="1"/>
      <c r="EP2446" s="1"/>
      <c r="EQ2446" s="1"/>
      <c r="ER2446" s="1"/>
      <c r="ES2446" s="1"/>
      <c r="ET2446" s="1"/>
      <c r="EU2446" s="1"/>
      <c r="EV2446" s="1"/>
      <c r="EW2446" s="1"/>
      <c r="EX2446" s="1"/>
      <c r="EY2446" s="1"/>
      <c r="EZ2446" s="1"/>
      <c r="FA2446" s="1"/>
      <c r="FB2446" s="1"/>
      <c r="FC2446" s="1"/>
      <c r="FD2446" s="1"/>
      <c r="FE2446" s="1"/>
      <c r="FF2446" s="1"/>
      <c r="FG2446" s="1"/>
      <c r="FH2446" s="1"/>
      <c r="FI2446" s="1"/>
      <c r="FJ2446" s="1"/>
      <c r="FK2446" s="1"/>
      <c r="FL2446" s="1"/>
      <c r="FM2446" s="1"/>
      <c r="FN2446" s="1"/>
      <c r="FO2446" s="1"/>
      <c r="FP2446" s="1"/>
      <c r="FQ2446" s="1"/>
      <c r="FR2446" s="1"/>
      <c r="FS2446" s="1"/>
      <c r="FT2446" s="1"/>
      <c r="FU2446" s="1"/>
      <c r="FV2446" s="1"/>
      <c r="FW2446" s="1"/>
      <c r="FX2446" s="1"/>
      <c r="FY2446" s="1"/>
      <c r="FZ2446" s="1"/>
      <c r="GA2446" s="1"/>
      <c r="GB2446" s="1"/>
      <c r="GC2446" s="1"/>
      <c r="GD2446" s="1"/>
      <c r="GE2446" s="1"/>
      <c r="GF2446" s="1"/>
      <c r="GG2446" s="1"/>
      <c r="GH2446" s="1"/>
      <c r="GI2446" s="1"/>
      <c r="GJ2446" s="1"/>
      <c r="GK2446" s="1"/>
      <c r="GL2446" s="1"/>
      <c r="GM2446" s="1"/>
      <c r="GN2446" s="1"/>
      <c r="GO2446" s="1"/>
      <c r="GP2446" s="1"/>
      <c r="GQ2446" s="1"/>
      <c r="GR2446" s="1"/>
      <c r="GS2446" s="1"/>
      <c r="GT2446" s="1"/>
      <c r="GU2446" s="1"/>
      <c r="GV2446" s="1"/>
      <c r="GW2446" s="1"/>
      <c r="GX2446" s="1"/>
      <c r="GY2446" s="1"/>
      <c r="GZ2446" s="1"/>
      <c r="HA2446" s="1"/>
      <c r="HB2446" s="1"/>
      <c r="HC2446" s="1"/>
      <c r="HD2446" s="1"/>
      <c r="HE2446" s="1"/>
      <c r="HF2446" s="1"/>
      <c r="HG2446" s="1"/>
      <c r="HH2446" s="1"/>
      <c r="HI2446" s="1"/>
      <c r="HJ2446" s="1"/>
      <c r="HK2446" s="1"/>
      <c r="HL2446" s="1"/>
      <c r="HM2446" s="1"/>
      <c r="HN2446" s="1"/>
      <c r="HO2446" s="1"/>
      <c r="HP2446" s="1"/>
      <c r="HQ2446" s="1"/>
    </row>
    <row r="2447" spans="1:225" x14ac:dyDescent="0.35">
      <c r="A2447" s="258">
        <v>1129</v>
      </c>
      <c r="B2447" s="257"/>
      <c r="C2447" s="261"/>
      <c r="D2447" s="264"/>
      <c r="E2447" s="264"/>
      <c r="F2447" s="267"/>
      <c r="G2447" s="258"/>
      <c r="H2447" s="159" t="s">
        <v>76</v>
      </c>
      <c r="I2447" s="158">
        <f>K2447*D2445</f>
        <v>52130.6</v>
      </c>
      <c r="J2447" s="158">
        <f>I2447/D2445</f>
        <v>122</v>
      </c>
      <c r="K2447" s="158">
        <v>122</v>
      </c>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1"/>
      <c r="AI2447" s="1"/>
      <c r="AJ2447" s="1"/>
      <c r="AK2447" s="1"/>
      <c r="AL2447" s="1"/>
      <c r="AM2447" s="1"/>
      <c r="AN2447" s="1"/>
      <c r="AO2447" s="1"/>
      <c r="AP2447" s="1"/>
      <c r="AQ2447" s="1"/>
      <c r="AR2447" s="1"/>
      <c r="AS2447" s="1"/>
      <c r="AT2447" s="1"/>
      <c r="AU2447" s="1"/>
      <c r="AV2447" s="1"/>
      <c r="AW2447" s="1"/>
      <c r="AX2447" s="1"/>
      <c r="AY2447" s="1"/>
      <c r="AZ2447" s="1"/>
      <c r="BA2447" s="1"/>
      <c r="BB2447" s="1"/>
      <c r="BC2447" s="1"/>
      <c r="BD2447" s="1"/>
      <c r="BE2447" s="1"/>
      <c r="BF2447" s="1"/>
      <c r="BG2447" s="1"/>
      <c r="BH2447" s="1"/>
      <c r="BI2447" s="1"/>
      <c r="BJ2447" s="1"/>
      <c r="BK2447" s="1"/>
      <c r="BL2447" s="1"/>
      <c r="BM2447" s="1"/>
      <c r="BN2447" s="1"/>
      <c r="BO2447" s="1"/>
      <c r="BP2447" s="1"/>
      <c r="BQ2447" s="1"/>
      <c r="BR2447" s="1"/>
      <c r="BS2447" s="1"/>
      <c r="BT2447" s="1"/>
      <c r="BU2447" s="1"/>
      <c r="BV2447" s="1"/>
      <c r="BW2447" s="1"/>
      <c r="BX2447" s="1"/>
      <c r="BY2447" s="1"/>
      <c r="BZ2447" s="1"/>
      <c r="CA2447" s="1"/>
      <c r="CB2447" s="1"/>
      <c r="CC2447" s="1"/>
      <c r="CD2447" s="1"/>
      <c r="CE2447" s="1"/>
      <c r="CF2447" s="1"/>
      <c r="CG2447" s="1"/>
      <c r="CH2447" s="1"/>
      <c r="CI2447" s="1"/>
      <c r="CJ2447" s="1"/>
      <c r="CK2447" s="1"/>
      <c r="CL2447" s="1"/>
      <c r="CM2447" s="1"/>
      <c r="CN2447" s="1"/>
      <c r="CO2447" s="1"/>
      <c r="CP2447" s="1"/>
      <c r="CQ2447" s="1"/>
      <c r="CR2447" s="1"/>
      <c r="CS2447" s="1"/>
      <c r="CT2447" s="1"/>
      <c r="CU2447" s="1"/>
      <c r="CV2447" s="1"/>
      <c r="CW2447" s="1"/>
      <c r="CX2447" s="1"/>
      <c r="CY2447" s="1"/>
      <c r="CZ2447" s="1"/>
      <c r="DA2447" s="1"/>
      <c r="DB2447" s="1"/>
      <c r="DC2447" s="1"/>
      <c r="DD2447" s="1"/>
      <c r="DE2447" s="1"/>
      <c r="DF2447" s="1"/>
      <c r="DG2447" s="1"/>
      <c r="DH2447" s="1"/>
      <c r="DI2447" s="1"/>
      <c r="DJ2447" s="1"/>
      <c r="DK2447" s="1"/>
      <c r="DL2447" s="1"/>
      <c r="DM2447" s="1"/>
      <c r="DN2447" s="1"/>
      <c r="DO2447" s="1"/>
      <c r="DP2447" s="1"/>
      <c r="DQ2447" s="1"/>
      <c r="DR2447" s="1"/>
      <c r="DS2447" s="1"/>
      <c r="DT2447" s="1"/>
      <c r="DU2447" s="1"/>
      <c r="DV2447" s="1"/>
      <c r="DW2447" s="1"/>
      <c r="DX2447" s="1"/>
      <c r="DY2447" s="1"/>
      <c r="DZ2447" s="1"/>
      <c r="EA2447" s="1"/>
      <c r="EB2447" s="1"/>
      <c r="EC2447" s="1"/>
      <c r="ED2447" s="1"/>
      <c r="EE2447" s="1"/>
      <c r="EF2447" s="1"/>
      <c r="EG2447" s="1"/>
      <c r="EH2447" s="1"/>
      <c r="EI2447" s="1"/>
      <c r="EJ2447" s="1"/>
      <c r="EK2447" s="1"/>
      <c r="EL2447" s="1"/>
      <c r="EM2447" s="1"/>
      <c r="EN2447" s="1"/>
      <c r="EO2447" s="1"/>
      <c r="EP2447" s="1"/>
      <c r="EQ2447" s="1"/>
      <c r="ER2447" s="1"/>
      <c r="ES2447" s="1"/>
      <c r="ET2447" s="1"/>
      <c r="EU2447" s="1"/>
      <c r="EV2447" s="1"/>
      <c r="EW2447" s="1"/>
      <c r="EX2447" s="1"/>
      <c r="EY2447" s="1"/>
      <c r="EZ2447" s="1"/>
      <c r="FA2447" s="1"/>
      <c r="FB2447" s="1"/>
      <c r="FC2447" s="1"/>
      <c r="FD2447" s="1"/>
      <c r="FE2447" s="1"/>
      <c r="FF2447" s="1"/>
      <c r="FG2447" s="1"/>
      <c r="FH2447" s="1"/>
      <c r="FI2447" s="1"/>
      <c r="FJ2447" s="1"/>
      <c r="FK2447" s="1"/>
      <c r="FL2447" s="1"/>
      <c r="FM2447" s="1"/>
      <c r="FN2447" s="1"/>
      <c r="FO2447" s="1"/>
      <c r="FP2447" s="1"/>
      <c r="FQ2447" s="1"/>
      <c r="FR2447" s="1"/>
      <c r="FS2447" s="1"/>
      <c r="FT2447" s="1"/>
      <c r="FU2447" s="1"/>
      <c r="FV2447" s="1"/>
      <c r="FW2447" s="1"/>
      <c r="FX2447" s="1"/>
      <c r="FY2447" s="1"/>
      <c r="FZ2447" s="1"/>
      <c r="GA2447" s="1"/>
      <c r="GB2447" s="1"/>
      <c r="GC2447" s="1"/>
      <c r="GD2447" s="1"/>
      <c r="GE2447" s="1"/>
      <c r="GF2447" s="1"/>
      <c r="GG2447" s="1"/>
      <c r="GH2447" s="1"/>
      <c r="GI2447" s="1"/>
      <c r="GJ2447" s="1"/>
      <c r="GK2447" s="1"/>
      <c r="GL2447" s="1"/>
      <c r="GM2447" s="1"/>
      <c r="GN2447" s="1"/>
      <c r="GO2447" s="1"/>
      <c r="GP2447" s="1"/>
      <c r="GQ2447" s="1"/>
      <c r="GR2447" s="1"/>
      <c r="GS2447" s="1"/>
      <c r="GT2447" s="1"/>
      <c r="GU2447" s="1"/>
      <c r="GV2447" s="1"/>
      <c r="GW2447" s="1"/>
      <c r="GX2447" s="1"/>
      <c r="GY2447" s="1"/>
      <c r="GZ2447" s="1"/>
      <c r="HA2447" s="1"/>
      <c r="HB2447" s="1"/>
      <c r="HC2447" s="1"/>
      <c r="HD2447" s="1"/>
      <c r="HE2447" s="1"/>
      <c r="HF2447" s="1"/>
      <c r="HG2447" s="1"/>
      <c r="HH2447" s="1"/>
      <c r="HI2447" s="1"/>
      <c r="HJ2447" s="1"/>
      <c r="HK2447" s="1"/>
      <c r="HL2447" s="1"/>
      <c r="HM2447" s="1"/>
      <c r="HN2447" s="1"/>
      <c r="HO2447" s="1"/>
      <c r="HP2447" s="1"/>
      <c r="HQ2447" s="1"/>
    </row>
    <row r="2448" spans="1:225" ht="15.75" customHeight="1" x14ac:dyDescent="0.35">
      <c r="A2448" s="256">
        <f>A2445+1</f>
        <v>5</v>
      </c>
      <c r="B2448" s="256">
        <v>5412</v>
      </c>
      <c r="C2448" s="259" t="s">
        <v>627</v>
      </c>
      <c r="D2448" s="262">
        <v>442</v>
      </c>
      <c r="E2448" s="262" t="s">
        <v>665</v>
      </c>
      <c r="F2448" s="265">
        <v>2</v>
      </c>
      <c r="G2448" s="256" t="s">
        <v>72</v>
      </c>
      <c r="H2448" s="159" t="s">
        <v>73</v>
      </c>
      <c r="I2448" s="158">
        <f>I2449</f>
        <v>78234</v>
      </c>
      <c r="J2448" s="158">
        <f>J2449</f>
        <v>177</v>
      </c>
      <c r="K2448" s="158">
        <f>K2449</f>
        <v>177</v>
      </c>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1"/>
      <c r="AI2448" s="1"/>
      <c r="AJ2448" s="1"/>
      <c r="AK2448" s="1"/>
      <c r="AL2448" s="1"/>
      <c r="AM2448" s="1"/>
      <c r="AN2448" s="1"/>
      <c r="AO2448" s="1"/>
      <c r="AP2448" s="1"/>
      <c r="AQ2448" s="1"/>
      <c r="AR2448" s="1"/>
      <c r="AS2448" s="1"/>
      <c r="AT2448" s="1"/>
      <c r="AU2448" s="1"/>
      <c r="AV2448" s="1"/>
      <c r="AW2448" s="1"/>
      <c r="AX2448" s="1"/>
      <c r="AY2448" s="1"/>
      <c r="AZ2448" s="1"/>
      <c r="BA2448" s="1"/>
      <c r="BB2448" s="1"/>
      <c r="BC2448" s="1"/>
      <c r="BD2448" s="1"/>
      <c r="BE2448" s="1"/>
      <c r="BF2448" s="1"/>
      <c r="BG2448" s="1"/>
      <c r="BH2448" s="1"/>
      <c r="BI2448" s="1"/>
      <c r="BJ2448" s="1"/>
      <c r="BK2448" s="1"/>
      <c r="BL2448" s="1"/>
      <c r="BM2448" s="1"/>
      <c r="BN2448" s="1"/>
      <c r="BO2448" s="1"/>
      <c r="BP2448" s="1"/>
      <c r="BQ2448" s="1"/>
      <c r="BR2448" s="1"/>
      <c r="BS2448" s="1"/>
      <c r="BT2448" s="1"/>
      <c r="BU2448" s="1"/>
      <c r="BV2448" s="1"/>
      <c r="BW2448" s="1"/>
      <c r="BX2448" s="1"/>
      <c r="BY2448" s="1"/>
      <c r="BZ2448" s="1"/>
      <c r="CA2448" s="1"/>
      <c r="CB2448" s="1"/>
      <c r="CC2448" s="1"/>
      <c r="CD2448" s="1"/>
      <c r="CE2448" s="1"/>
      <c r="CF2448" s="1"/>
      <c r="CG2448" s="1"/>
      <c r="CH2448" s="1"/>
      <c r="CI2448" s="1"/>
      <c r="CJ2448" s="1"/>
      <c r="CK2448" s="1"/>
      <c r="CL2448" s="1"/>
      <c r="CM2448" s="1"/>
      <c r="CN2448" s="1"/>
      <c r="CO2448" s="1"/>
      <c r="CP2448" s="1"/>
      <c r="CQ2448" s="1"/>
      <c r="CR2448" s="1"/>
      <c r="CS2448" s="1"/>
      <c r="CT2448" s="1"/>
      <c r="CU2448" s="1"/>
      <c r="CV2448" s="1"/>
      <c r="CW2448" s="1"/>
      <c r="CX2448" s="1"/>
      <c r="CY2448" s="1"/>
      <c r="CZ2448" s="1"/>
      <c r="DA2448" s="1"/>
      <c r="DB2448" s="1"/>
      <c r="DC2448" s="1"/>
      <c r="DD2448" s="1"/>
      <c r="DE2448" s="1"/>
      <c r="DF2448" s="1"/>
      <c r="DG2448" s="1"/>
      <c r="DH2448" s="1"/>
      <c r="DI2448" s="1"/>
      <c r="DJ2448" s="1"/>
      <c r="DK2448" s="1"/>
      <c r="DL2448" s="1"/>
      <c r="DM2448" s="1"/>
      <c r="DN2448" s="1"/>
      <c r="DO2448" s="1"/>
      <c r="DP2448" s="1"/>
      <c r="DQ2448" s="1"/>
      <c r="DR2448" s="1"/>
      <c r="DS2448" s="1"/>
      <c r="DT2448" s="1"/>
      <c r="DU2448" s="1"/>
      <c r="DV2448" s="1"/>
      <c r="DW2448" s="1"/>
      <c r="DX2448" s="1"/>
      <c r="DY2448" s="1"/>
      <c r="DZ2448" s="1"/>
      <c r="EA2448" s="1"/>
      <c r="EB2448" s="1"/>
      <c r="EC2448" s="1"/>
      <c r="ED2448" s="1"/>
      <c r="EE2448" s="1"/>
      <c r="EF2448" s="1"/>
      <c r="EG2448" s="1"/>
      <c r="EH2448" s="1"/>
      <c r="EI2448" s="1"/>
      <c r="EJ2448" s="1"/>
      <c r="EK2448" s="1"/>
      <c r="EL2448" s="1"/>
      <c r="EM2448" s="1"/>
      <c r="EN2448" s="1"/>
      <c r="EO2448" s="1"/>
      <c r="EP2448" s="1"/>
      <c r="EQ2448" s="1"/>
      <c r="ER2448" s="1"/>
      <c r="ES2448" s="1"/>
      <c r="ET2448" s="1"/>
      <c r="EU2448" s="1"/>
      <c r="EV2448" s="1"/>
      <c r="EW2448" s="1"/>
      <c r="EX2448" s="1"/>
      <c r="EY2448" s="1"/>
      <c r="EZ2448" s="1"/>
      <c r="FA2448" s="1"/>
      <c r="FB2448" s="1"/>
      <c r="FC2448" s="1"/>
      <c r="FD2448" s="1"/>
      <c r="FE2448" s="1"/>
      <c r="FF2448" s="1"/>
      <c r="FG2448" s="1"/>
      <c r="FH2448" s="1"/>
      <c r="FI2448" s="1"/>
      <c r="FJ2448" s="1"/>
      <c r="FK2448" s="1"/>
      <c r="FL2448" s="1"/>
      <c r="FM2448" s="1"/>
      <c r="FN2448" s="1"/>
      <c r="FO2448" s="1"/>
      <c r="FP2448" s="1"/>
      <c r="FQ2448" s="1"/>
      <c r="FR2448" s="1"/>
      <c r="FS2448" s="1"/>
      <c r="FT2448" s="1"/>
      <c r="FU2448" s="1"/>
      <c r="FV2448" s="1"/>
      <c r="FW2448" s="1"/>
      <c r="FX2448" s="1"/>
      <c r="FY2448" s="1"/>
      <c r="FZ2448" s="1"/>
      <c r="GA2448" s="1"/>
      <c r="GB2448" s="1"/>
      <c r="GC2448" s="1"/>
      <c r="GD2448" s="1"/>
      <c r="GE2448" s="1"/>
      <c r="GF2448" s="1"/>
      <c r="GG2448" s="1"/>
      <c r="GH2448" s="1"/>
      <c r="GI2448" s="1"/>
      <c r="GJ2448" s="1"/>
      <c r="GK2448" s="1"/>
      <c r="GL2448" s="1"/>
      <c r="GM2448" s="1"/>
      <c r="GN2448" s="1"/>
      <c r="GO2448" s="1"/>
      <c r="GP2448" s="1"/>
      <c r="GQ2448" s="1"/>
      <c r="GR2448" s="1"/>
      <c r="GS2448" s="1"/>
      <c r="GT2448" s="1"/>
      <c r="GU2448" s="1"/>
      <c r="GV2448" s="1"/>
      <c r="GW2448" s="1"/>
      <c r="GX2448" s="1"/>
      <c r="GY2448" s="1"/>
      <c r="GZ2448" s="1"/>
      <c r="HA2448" s="1"/>
      <c r="HB2448" s="1"/>
      <c r="HC2448" s="1"/>
      <c r="HD2448" s="1"/>
      <c r="HE2448" s="1"/>
      <c r="HF2448" s="1"/>
      <c r="HG2448" s="1"/>
      <c r="HH2448" s="1"/>
      <c r="HI2448" s="1"/>
      <c r="HJ2448" s="1"/>
      <c r="HK2448" s="1"/>
      <c r="HL2448" s="1"/>
      <c r="HM2448" s="1"/>
      <c r="HN2448" s="1"/>
      <c r="HO2448" s="1"/>
      <c r="HP2448" s="1"/>
      <c r="HQ2448" s="1"/>
    </row>
    <row r="2449" spans="1:225" ht="46.5" x14ac:dyDescent="0.35">
      <c r="A2449" s="257">
        <v>1130</v>
      </c>
      <c r="B2449" s="258"/>
      <c r="C2449" s="260"/>
      <c r="D2449" s="263"/>
      <c r="E2449" s="263"/>
      <c r="F2449" s="266"/>
      <c r="G2449" s="257"/>
      <c r="H2449" s="159" t="s">
        <v>705</v>
      </c>
      <c r="I2449" s="158">
        <f>K2449*D2448</f>
        <v>78234</v>
      </c>
      <c r="J2449" s="158">
        <f>I2449/D2448</f>
        <v>177</v>
      </c>
      <c r="K2449" s="158">
        <f>163+14</f>
        <v>177</v>
      </c>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1"/>
      <c r="AI2449" s="1"/>
      <c r="AJ2449" s="1"/>
      <c r="AK2449" s="1"/>
      <c r="AL2449" s="1"/>
      <c r="AM2449" s="1"/>
      <c r="AN2449" s="1"/>
      <c r="AO2449" s="1"/>
      <c r="AP2449" s="1"/>
      <c r="AQ2449" s="1"/>
      <c r="AR2449" s="1"/>
      <c r="AS2449" s="1"/>
      <c r="AT2449" s="1"/>
      <c r="AU2449" s="1"/>
      <c r="AV2449" s="1"/>
      <c r="AW2449" s="1"/>
      <c r="AX2449" s="1"/>
      <c r="AY2449" s="1"/>
      <c r="AZ2449" s="1"/>
      <c r="BA2449" s="1"/>
      <c r="BB2449" s="1"/>
      <c r="BC2449" s="1"/>
      <c r="BD2449" s="1"/>
      <c r="BE2449" s="1"/>
      <c r="BF2449" s="1"/>
      <c r="BG2449" s="1"/>
      <c r="BH2449" s="1"/>
      <c r="BI2449" s="1"/>
      <c r="BJ2449" s="1"/>
      <c r="BK2449" s="1"/>
      <c r="BL2449" s="1"/>
      <c r="BM2449" s="1"/>
      <c r="BN2449" s="1"/>
      <c r="BO2449" s="1"/>
      <c r="BP2449" s="1"/>
      <c r="BQ2449" s="1"/>
      <c r="BR2449" s="1"/>
      <c r="BS2449" s="1"/>
      <c r="BT2449" s="1"/>
      <c r="BU2449" s="1"/>
      <c r="BV2449" s="1"/>
      <c r="BW2449" s="1"/>
      <c r="BX2449" s="1"/>
      <c r="BY2449" s="1"/>
      <c r="BZ2449" s="1"/>
      <c r="CA2449" s="1"/>
      <c r="CB2449" s="1"/>
      <c r="CC2449" s="1"/>
      <c r="CD2449" s="1"/>
      <c r="CE2449" s="1"/>
      <c r="CF2449" s="1"/>
      <c r="CG2449" s="1"/>
      <c r="CH2449" s="1"/>
      <c r="CI2449" s="1"/>
      <c r="CJ2449" s="1"/>
      <c r="CK2449" s="1"/>
      <c r="CL2449" s="1"/>
      <c r="CM2449" s="1"/>
      <c r="CN2449" s="1"/>
      <c r="CO2449" s="1"/>
      <c r="CP2449" s="1"/>
      <c r="CQ2449" s="1"/>
      <c r="CR2449" s="1"/>
      <c r="CS2449" s="1"/>
      <c r="CT2449" s="1"/>
      <c r="CU2449" s="1"/>
      <c r="CV2449" s="1"/>
      <c r="CW2449" s="1"/>
      <c r="CX2449" s="1"/>
      <c r="CY2449" s="1"/>
      <c r="CZ2449" s="1"/>
      <c r="DA2449" s="1"/>
      <c r="DB2449" s="1"/>
      <c r="DC2449" s="1"/>
      <c r="DD2449" s="1"/>
      <c r="DE2449" s="1"/>
      <c r="DF2449" s="1"/>
      <c r="DG2449" s="1"/>
      <c r="DH2449" s="1"/>
      <c r="DI2449" s="1"/>
      <c r="DJ2449" s="1"/>
      <c r="DK2449" s="1"/>
      <c r="DL2449" s="1"/>
      <c r="DM2449" s="1"/>
      <c r="DN2449" s="1"/>
      <c r="DO2449" s="1"/>
      <c r="DP2449" s="1"/>
      <c r="DQ2449" s="1"/>
      <c r="DR2449" s="1"/>
      <c r="DS2449" s="1"/>
      <c r="DT2449" s="1"/>
      <c r="DU2449" s="1"/>
      <c r="DV2449" s="1"/>
      <c r="DW2449" s="1"/>
      <c r="DX2449" s="1"/>
      <c r="DY2449" s="1"/>
      <c r="DZ2449" s="1"/>
      <c r="EA2449" s="1"/>
      <c r="EB2449" s="1"/>
      <c r="EC2449" s="1"/>
      <c r="ED2449" s="1"/>
      <c r="EE2449" s="1"/>
      <c r="EF2449" s="1"/>
      <c r="EG2449" s="1"/>
      <c r="EH2449" s="1"/>
      <c r="EI2449" s="1"/>
      <c r="EJ2449" s="1"/>
      <c r="EK2449" s="1"/>
      <c r="EL2449" s="1"/>
      <c r="EM2449" s="1"/>
      <c r="EN2449" s="1"/>
      <c r="EO2449" s="1"/>
      <c r="EP2449" s="1"/>
      <c r="EQ2449" s="1"/>
      <c r="ER2449" s="1"/>
      <c r="ES2449" s="1"/>
      <c r="ET2449" s="1"/>
      <c r="EU2449" s="1"/>
      <c r="EV2449" s="1"/>
      <c r="EW2449" s="1"/>
      <c r="EX2449" s="1"/>
      <c r="EY2449" s="1"/>
      <c r="EZ2449" s="1"/>
      <c r="FA2449" s="1"/>
      <c r="FB2449" s="1"/>
      <c r="FC2449" s="1"/>
      <c r="FD2449" s="1"/>
      <c r="FE2449" s="1"/>
      <c r="FF2449" s="1"/>
      <c r="FG2449" s="1"/>
      <c r="FH2449" s="1"/>
      <c r="FI2449" s="1"/>
      <c r="FJ2449" s="1"/>
      <c r="FK2449" s="1"/>
      <c r="FL2449" s="1"/>
      <c r="FM2449" s="1"/>
      <c r="FN2449" s="1"/>
      <c r="FO2449" s="1"/>
      <c r="FP2449" s="1"/>
      <c r="FQ2449" s="1"/>
      <c r="FR2449" s="1"/>
      <c r="FS2449" s="1"/>
      <c r="FT2449" s="1"/>
      <c r="FU2449" s="1"/>
      <c r="FV2449" s="1"/>
      <c r="FW2449" s="1"/>
      <c r="FX2449" s="1"/>
      <c r="FY2449" s="1"/>
      <c r="FZ2449" s="1"/>
      <c r="GA2449" s="1"/>
      <c r="GB2449" s="1"/>
      <c r="GC2449" s="1"/>
      <c r="GD2449" s="1"/>
      <c r="GE2449" s="1"/>
      <c r="GF2449" s="1"/>
      <c r="GG2449" s="1"/>
      <c r="GH2449" s="1"/>
      <c r="GI2449" s="1"/>
      <c r="GJ2449" s="1"/>
      <c r="GK2449" s="1"/>
      <c r="GL2449" s="1"/>
      <c r="GM2449" s="1"/>
      <c r="GN2449" s="1"/>
      <c r="GO2449" s="1"/>
      <c r="GP2449" s="1"/>
      <c r="GQ2449" s="1"/>
      <c r="GR2449" s="1"/>
      <c r="GS2449" s="1"/>
      <c r="GT2449" s="1"/>
      <c r="GU2449" s="1"/>
      <c r="GV2449" s="1"/>
      <c r="GW2449" s="1"/>
      <c r="GX2449" s="1"/>
      <c r="GY2449" s="1"/>
      <c r="GZ2449" s="1"/>
      <c r="HA2449" s="1"/>
      <c r="HB2449" s="1"/>
      <c r="HC2449" s="1"/>
      <c r="HD2449" s="1"/>
      <c r="HE2449" s="1"/>
      <c r="HF2449" s="1"/>
      <c r="HG2449" s="1"/>
      <c r="HH2449" s="1"/>
      <c r="HI2449" s="1"/>
      <c r="HJ2449" s="1"/>
      <c r="HK2449" s="1"/>
      <c r="HL2449" s="1"/>
      <c r="HM2449" s="1"/>
      <c r="HN2449" s="1"/>
      <c r="HO2449" s="1"/>
      <c r="HP2449" s="1"/>
      <c r="HQ2449" s="1"/>
    </row>
    <row r="2450" spans="1:225" ht="15.75" customHeight="1" x14ac:dyDescent="0.35">
      <c r="A2450" s="256">
        <f>A2448+1</f>
        <v>6</v>
      </c>
      <c r="B2450" s="256">
        <v>5404</v>
      </c>
      <c r="C2450" s="259" t="s">
        <v>444</v>
      </c>
      <c r="D2450" s="262">
        <v>418</v>
      </c>
      <c r="E2450" s="262" t="s">
        <v>665</v>
      </c>
      <c r="F2450" s="265">
        <v>2</v>
      </c>
      <c r="G2450" s="256" t="s">
        <v>85</v>
      </c>
      <c r="H2450" s="159" t="s">
        <v>73</v>
      </c>
      <c r="I2450" s="158">
        <f>I2453+I2454+I2451+I2452</f>
        <v>3967656</v>
      </c>
      <c r="J2450" s="158">
        <f>J2453+J2454+J2451+J2452</f>
        <v>9492</v>
      </c>
      <c r="K2450" s="158">
        <f>K2453+K2454+K2451+K2452</f>
        <v>9492</v>
      </c>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1"/>
      <c r="AI2450" s="1"/>
      <c r="AJ2450" s="1"/>
      <c r="AK2450" s="1"/>
      <c r="AL2450" s="1"/>
      <c r="AM2450" s="1"/>
      <c r="AN2450" s="1"/>
      <c r="AO2450" s="1"/>
      <c r="AP2450" s="1"/>
      <c r="AQ2450" s="1"/>
      <c r="AR2450" s="1"/>
      <c r="AS2450" s="1"/>
      <c r="AT2450" s="1"/>
      <c r="AU2450" s="1"/>
      <c r="AV2450" s="1"/>
      <c r="AW2450" s="1"/>
      <c r="AX2450" s="1"/>
      <c r="AY2450" s="1"/>
      <c r="AZ2450" s="1"/>
      <c r="BA2450" s="1"/>
      <c r="BB2450" s="1"/>
      <c r="BC2450" s="1"/>
      <c r="BD2450" s="1"/>
      <c r="BE2450" s="1"/>
      <c r="BF2450" s="1"/>
      <c r="BG2450" s="1"/>
      <c r="BH2450" s="1"/>
      <c r="BI2450" s="1"/>
      <c r="BJ2450" s="1"/>
      <c r="BK2450" s="1"/>
      <c r="BL2450" s="1"/>
      <c r="BM2450" s="1"/>
      <c r="BN2450" s="1"/>
      <c r="BO2450" s="1"/>
      <c r="BP2450" s="1"/>
      <c r="BQ2450" s="1"/>
      <c r="BR2450" s="1"/>
      <c r="BS2450" s="1"/>
      <c r="BT2450" s="1"/>
      <c r="BU2450" s="1"/>
      <c r="BV2450" s="1"/>
      <c r="BW2450" s="1"/>
      <c r="BX2450" s="1"/>
      <c r="BY2450" s="1"/>
      <c r="BZ2450" s="1"/>
      <c r="CA2450" s="1"/>
      <c r="CB2450" s="1"/>
      <c r="CC2450" s="1"/>
      <c r="CD2450" s="1"/>
      <c r="CE2450" s="1"/>
      <c r="CF2450" s="1"/>
      <c r="CG2450" s="1"/>
      <c r="CH2450" s="1"/>
      <c r="CI2450" s="1"/>
      <c r="CJ2450" s="1"/>
      <c r="CK2450" s="1"/>
      <c r="CL2450" s="1"/>
      <c r="CM2450" s="1"/>
      <c r="CN2450" s="1"/>
      <c r="CO2450" s="1"/>
      <c r="CP2450" s="1"/>
      <c r="CQ2450" s="1"/>
      <c r="CR2450" s="1"/>
      <c r="CS2450" s="1"/>
      <c r="CT2450" s="1"/>
      <c r="CU2450" s="1"/>
      <c r="CV2450" s="1"/>
      <c r="CW2450" s="1"/>
      <c r="CX2450" s="1"/>
      <c r="CY2450" s="1"/>
      <c r="CZ2450" s="1"/>
      <c r="DA2450" s="1"/>
      <c r="DB2450" s="1"/>
      <c r="DC2450" s="1"/>
      <c r="DD2450" s="1"/>
      <c r="DE2450" s="1"/>
      <c r="DF2450" s="1"/>
      <c r="DG2450" s="1"/>
      <c r="DH2450" s="1"/>
      <c r="DI2450" s="1"/>
      <c r="DJ2450" s="1"/>
      <c r="DK2450" s="1"/>
      <c r="DL2450" s="1"/>
      <c r="DM2450" s="1"/>
      <c r="DN2450" s="1"/>
      <c r="DO2450" s="1"/>
      <c r="DP2450" s="1"/>
      <c r="DQ2450" s="1"/>
      <c r="DR2450" s="1"/>
      <c r="DS2450" s="1"/>
      <c r="DT2450" s="1"/>
      <c r="DU2450" s="1"/>
      <c r="DV2450" s="1"/>
      <c r="DW2450" s="1"/>
      <c r="DX2450" s="1"/>
      <c r="DY2450" s="1"/>
      <c r="DZ2450" s="1"/>
      <c r="EA2450" s="1"/>
      <c r="EB2450" s="1"/>
      <c r="EC2450" s="1"/>
      <c r="ED2450" s="1"/>
      <c r="EE2450" s="1"/>
      <c r="EF2450" s="1"/>
      <c r="EG2450" s="1"/>
      <c r="EH2450" s="1"/>
      <c r="EI2450" s="1"/>
      <c r="EJ2450" s="1"/>
      <c r="EK2450" s="1"/>
      <c r="EL2450" s="1"/>
      <c r="EM2450" s="1"/>
      <c r="EN2450" s="1"/>
      <c r="EO2450" s="1"/>
      <c r="EP2450" s="1"/>
      <c r="EQ2450" s="1"/>
      <c r="ER2450" s="1"/>
      <c r="ES2450" s="1"/>
      <c r="ET2450" s="1"/>
      <c r="EU2450" s="1"/>
      <c r="EV2450" s="1"/>
      <c r="EW2450" s="1"/>
      <c r="EX2450" s="1"/>
      <c r="EY2450" s="1"/>
      <c r="EZ2450" s="1"/>
      <c r="FA2450" s="1"/>
      <c r="FB2450" s="1"/>
      <c r="FC2450" s="1"/>
      <c r="FD2450" s="1"/>
      <c r="FE2450" s="1"/>
      <c r="FF2450" s="1"/>
      <c r="FG2450" s="1"/>
      <c r="FH2450" s="1"/>
      <c r="FI2450" s="1"/>
      <c r="FJ2450" s="1"/>
      <c r="FK2450" s="1"/>
      <c r="FL2450" s="1"/>
      <c r="FM2450" s="1"/>
      <c r="FN2450" s="1"/>
      <c r="FO2450" s="1"/>
      <c r="FP2450" s="1"/>
      <c r="FQ2450" s="1"/>
      <c r="FR2450" s="1"/>
      <c r="FS2450" s="1"/>
      <c r="FT2450" s="1"/>
      <c r="FU2450" s="1"/>
      <c r="FV2450" s="1"/>
      <c r="FW2450" s="1"/>
      <c r="FX2450" s="1"/>
      <c r="FY2450" s="1"/>
      <c r="FZ2450" s="1"/>
      <c r="GA2450" s="1"/>
      <c r="GB2450" s="1"/>
      <c r="GC2450" s="1"/>
      <c r="GD2450" s="1"/>
      <c r="GE2450" s="1"/>
      <c r="GF2450" s="1"/>
      <c r="GG2450" s="1"/>
      <c r="GH2450" s="1"/>
      <c r="GI2450" s="1"/>
      <c r="GJ2450" s="1"/>
      <c r="GK2450" s="1"/>
      <c r="GL2450" s="1"/>
      <c r="GM2450" s="1"/>
      <c r="GN2450" s="1"/>
      <c r="GO2450" s="1"/>
      <c r="GP2450" s="1"/>
      <c r="GQ2450" s="1"/>
      <c r="GR2450" s="1"/>
      <c r="GS2450" s="1"/>
      <c r="GT2450" s="1"/>
      <c r="GU2450" s="1"/>
      <c r="GV2450" s="1"/>
      <c r="GW2450" s="1"/>
      <c r="GX2450" s="1"/>
      <c r="GY2450" s="1"/>
      <c r="GZ2450" s="1"/>
      <c r="HA2450" s="1"/>
      <c r="HB2450" s="1"/>
      <c r="HC2450" s="1"/>
      <c r="HD2450" s="1"/>
      <c r="HE2450" s="1"/>
      <c r="HF2450" s="1"/>
      <c r="HG2450" s="1"/>
      <c r="HH2450" s="1"/>
      <c r="HI2450" s="1"/>
      <c r="HJ2450" s="1"/>
      <c r="HK2450" s="1"/>
      <c r="HL2450" s="1"/>
      <c r="HM2450" s="1"/>
      <c r="HN2450" s="1"/>
      <c r="HO2450" s="1"/>
      <c r="HP2450" s="1"/>
      <c r="HQ2450" s="1"/>
    </row>
    <row r="2451" spans="1:225" ht="15.75" customHeight="1" x14ac:dyDescent="0.35">
      <c r="A2451" s="257"/>
      <c r="B2451" s="257"/>
      <c r="C2451" s="260"/>
      <c r="D2451" s="263"/>
      <c r="E2451" s="263"/>
      <c r="F2451" s="266"/>
      <c r="G2451" s="257"/>
      <c r="H2451" s="159" t="s">
        <v>667</v>
      </c>
      <c r="I2451" s="158">
        <f>D2450*K2451</f>
        <v>2193664</v>
      </c>
      <c r="J2451" s="158">
        <f>I2451/D2450</f>
        <v>5248</v>
      </c>
      <c r="K2451" s="158">
        <v>5248</v>
      </c>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1"/>
      <c r="AI2451" s="1"/>
      <c r="AJ2451" s="1"/>
      <c r="AK2451" s="1"/>
      <c r="AL2451" s="1"/>
      <c r="AM2451" s="1"/>
      <c r="AN2451" s="1"/>
      <c r="AO2451" s="1"/>
      <c r="AP2451" s="1"/>
      <c r="AQ2451" s="1"/>
      <c r="AR2451" s="1"/>
      <c r="AS2451" s="1"/>
      <c r="AT2451" s="1"/>
      <c r="AU2451" s="1"/>
      <c r="AV2451" s="1"/>
      <c r="AW2451" s="1"/>
      <c r="AX2451" s="1"/>
      <c r="AY2451" s="1"/>
      <c r="AZ2451" s="1"/>
      <c r="BA2451" s="1"/>
      <c r="BB2451" s="1"/>
      <c r="BC2451" s="1"/>
      <c r="BD2451" s="1"/>
      <c r="BE2451" s="1"/>
      <c r="BF2451" s="1"/>
      <c r="BG2451" s="1"/>
      <c r="BH2451" s="1"/>
      <c r="BI2451" s="1"/>
      <c r="BJ2451" s="1"/>
      <c r="BK2451" s="1"/>
      <c r="BL2451" s="1"/>
      <c r="BM2451" s="1"/>
      <c r="BN2451" s="1"/>
      <c r="BO2451" s="1"/>
      <c r="BP2451" s="1"/>
      <c r="BQ2451" s="1"/>
      <c r="BR2451" s="1"/>
      <c r="BS2451" s="1"/>
      <c r="BT2451" s="1"/>
      <c r="BU2451" s="1"/>
      <c r="BV2451" s="1"/>
      <c r="BW2451" s="1"/>
      <c r="BX2451" s="1"/>
      <c r="BY2451" s="1"/>
      <c r="BZ2451" s="1"/>
      <c r="CA2451" s="1"/>
      <c r="CB2451" s="1"/>
      <c r="CC2451" s="1"/>
      <c r="CD2451" s="1"/>
      <c r="CE2451" s="1"/>
      <c r="CF2451" s="1"/>
      <c r="CG2451" s="1"/>
      <c r="CH2451" s="1"/>
      <c r="CI2451" s="1"/>
      <c r="CJ2451" s="1"/>
      <c r="CK2451" s="1"/>
      <c r="CL2451" s="1"/>
      <c r="CM2451" s="1"/>
      <c r="CN2451" s="1"/>
      <c r="CO2451" s="1"/>
      <c r="CP2451" s="1"/>
      <c r="CQ2451" s="1"/>
      <c r="CR2451" s="1"/>
      <c r="CS2451" s="1"/>
      <c r="CT2451" s="1"/>
      <c r="CU2451" s="1"/>
      <c r="CV2451" s="1"/>
      <c r="CW2451" s="1"/>
      <c r="CX2451" s="1"/>
      <c r="CY2451" s="1"/>
      <c r="CZ2451" s="1"/>
      <c r="DA2451" s="1"/>
      <c r="DB2451" s="1"/>
      <c r="DC2451" s="1"/>
      <c r="DD2451" s="1"/>
      <c r="DE2451" s="1"/>
      <c r="DF2451" s="1"/>
      <c r="DG2451" s="1"/>
      <c r="DH2451" s="1"/>
      <c r="DI2451" s="1"/>
      <c r="DJ2451" s="1"/>
      <c r="DK2451" s="1"/>
      <c r="DL2451" s="1"/>
      <c r="DM2451" s="1"/>
      <c r="DN2451" s="1"/>
      <c r="DO2451" s="1"/>
      <c r="DP2451" s="1"/>
      <c r="DQ2451" s="1"/>
      <c r="DR2451" s="1"/>
      <c r="DS2451" s="1"/>
      <c r="DT2451" s="1"/>
      <c r="DU2451" s="1"/>
      <c r="DV2451" s="1"/>
      <c r="DW2451" s="1"/>
      <c r="DX2451" s="1"/>
      <c r="DY2451" s="1"/>
      <c r="DZ2451" s="1"/>
      <c r="EA2451" s="1"/>
      <c r="EB2451" s="1"/>
      <c r="EC2451" s="1"/>
      <c r="ED2451" s="1"/>
      <c r="EE2451" s="1"/>
      <c r="EF2451" s="1"/>
      <c r="EG2451" s="1"/>
      <c r="EH2451" s="1"/>
      <c r="EI2451" s="1"/>
      <c r="EJ2451" s="1"/>
      <c r="EK2451" s="1"/>
      <c r="EL2451" s="1"/>
      <c r="EM2451" s="1"/>
      <c r="EN2451" s="1"/>
      <c r="EO2451" s="1"/>
      <c r="EP2451" s="1"/>
      <c r="EQ2451" s="1"/>
      <c r="ER2451" s="1"/>
      <c r="ES2451" s="1"/>
      <c r="ET2451" s="1"/>
      <c r="EU2451" s="1"/>
      <c r="EV2451" s="1"/>
      <c r="EW2451" s="1"/>
      <c r="EX2451" s="1"/>
      <c r="EY2451" s="1"/>
      <c r="EZ2451" s="1"/>
      <c r="FA2451" s="1"/>
      <c r="FB2451" s="1"/>
      <c r="FC2451" s="1"/>
      <c r="FD2451" s="1"/>
      <c r="FE2451" s="1"/>
      <c r="FF2451" s="1"/>
      <c r="FG2451" s="1"/>
      <c r="FH2451" s="1"/>
      <c r="FI2451" s="1"/>
      <c r="FJ2451" s="1"/>
      <c r="FK2451" s="1"/>
      <c r="FL2451" s="1"/>
      <c r="FM2451" s="1"/>
      <c r="FN2451" s="1"/>
      <c r="FO2451" s="1"/>
      <c r="FP2451" s="1"/>
      <c r="FQ2451" s="1"/>
      <c r="FR2451" s="1"/>
      <c r="FS2451" s="1"/>
      <c r="FT2451" s="1"/>
      <c r="FU2451" s="1"/>
      <c r="FV2451" s="1"/>
      <c r="FW2451" s="1"/>
      <c r="FX2451" s="1"/>
      <c r="FY2451" s="1"/>
      <c r="FZ2451" s="1"/>
      <c r="GA2451" s="1"/>
      <c r="GB2451" s="1"/>
      <c r="GC2451" s="1"/>
      <c r="GD2451" s="1"/>
      <c r="GE2451" s="1"/>
      <c r="GF2451" s="1"/>
      <c r="GG2451" s="1"/>
      <c r="GH2451" s="1"/>
      <c r="GI2451" s="1"/>
      <c r="GJ2451" s="1"/>
      <c r="GK2451" s="1"/>
      <c r="GL2451" s="1"/>
      <c r="GM2451" s="1"/>
      <c r="GN2451" s="1"/>
      <c r="GO2451" s="1"/>
      <c r="GP2451" s="1"/>
      <c r="GQ2451" s="1"/>
      <c r="GR2451" s="1"/>
      <c r="GS2451" s="1"/>
      <c r="GT2451" s="1"/>
      <c r="GU2451" s="1"/>
      <c r="GV2451" s="1"/>
      <c r="GW2451" s="1"/>
      <c r="GX2451" s="1"/>
      <c r="GY2451" s="1"/>
      <c r="GZ2451" s="1"/>
      <c r="HA2451" s="1"/>
      <c r="HB2451" s="1"/>
      <c r="HC2451" s="1"/>
      <c r="HD2451" s="1"/>
      <c r="HE2451" s="1"/>
      <c r="HF2451" s="1"/>
      <c r="HG2451" s="1"/>
      <c r="HH2451" s="1"/>
      <c r="HI2451" s="1"/>
      <c r="HJ2451" s="1"/>
      <c r="HK2451" s="1"/>
      <c r="HL2451" s="1"/>
      <c r="HM2451" s="1"/>
      <c r="HN2451" s="1"/>
      <c r="HO2451" s="1"/>
      <c r="HP2451" s="1"/>
      <c r="HQ2451" s="1"/>
    </row>
    <row r="2452" spans="1:225" ht="15.75" customHeight="1" x14ac:dyDescent="0.35">
      <c r="A2452" s="257"/>
      <c r="B2452" s="257"/>
      <c r="C2452" s="260"/>
      <c r="D2452" s="263"/>
      <c r="E2452" s="263"/>
      <c r="F2452" s="266"/>
      <c r="G2452" s="257"/>
      <c r="H2452" s="159" t="s">
        <v>76</v>
      </c>
      <c r="I2452" s="158">
        <f>D2450*K2452</f>
        <v>46816</v>
      </c>
      <c r="J2452" s="158">
        <f>I2452/D2450</f>
        <v>112</v>
      </c>
      <c r="K2452" s="158">
        <v>112</v>
      </c>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1"/>
      <c r="AI2452" s="1"/>
      <c r="AJ2452" s="1"/>
      <c r="AK2452" s="1"/>
      <c r="AL2452" s="1"/>
      <c r="AM2452" s="1"/>
      <c r="AN2452" s="1"/>
      <c r="AO2452" s="1"/>
      <c r="AP2452" s="1"/>
      <c r="AQ2452" s="1"/>
      <c r="AR2452" s="1"/>
      <c r="AS2452" s="1"/>
      <c r="AT2452" s="1"/>
      <c r="AU2452" s="1"/>
      <c r="AV2452" s="1"/>
      <c r="AW2452" s="1"/>
      <c r="AX2452" s="1"/>
      <c r="AY2452" s="1"/>
      <c r="AZ2452" s="1"/>
      <c r="BA2452" s="1"/>
      <c r="BB2452" s="1"/>
      <c r="BC2452" s="1"/>
      <c r="BD2452" s="1"/>
      <c r="BE2452" s="1"/>
      <c r="BF2452" s="1"/>
      <c r="BG2452" s="1"/>
      <c r="BH2452" s="1"/>
      <c r="BI2452" s="1"/>
      <c r="BJ2452" s="1"/>
      <c r="BK2452" s="1"/>
      <c r="BL2452" s="1"/>
      <c r="BM2452" s="1"/>
      <c r="BN2452" s="1"/>
      <c r="BO2452" s="1"/>
      <c r="BP2452" s="1"/>
      <c r="BQ2452" s="1"/>
      <c r="BR2452" s="1"/>
      <c r="BS2452" s="1"/>
      <c r="BT2452" s="1"/>
      <c r="BU2452" s="1"/>
      <c r="BV2452" s="1"/>
      <c r="BW2452" s="1"/>
      <c r="BX2452" s="1"/>
      <c r="BY2452" s="1"/>
      <c r="BZ2452" s="1"/>
      <c r="CA2452" s="1"/>
      <c r="CB2452" s="1"/>
      <c r="CC2452" s="1"/>
      <c r="CD2452" s="1"/>
      <c r="CE2452" s="1"/>
      <c r="CF2452" s="1"/>
      <c r="CG2452" s="1"/>
      <c r="CH2452" s="1"/>
      <c r="CI2452" s="1"/>
      <c r="CJ2452" s="1"/>
      <c r="CK2452" s="1"/>
      <c r="CL2452" s="1"/>
      <c r="CM2452" s="1"/>
      <c r="CN2452" s="1"/>
      <c r="CO2452" s="1"/>
      <c r="CP2452" s="1"/>
      <c r="CQ2452" s="1"/>
      <c r="CR2452" s="1"/>
      <c r="CS2452" s="1"/>
      <c r="CT2452" s="1"/>
      <c r="CU2452" s="1"/>
      <c r="CV2452" s="1"/>
      <c r="CW2452" s="1"/>
      <c r="CX2452" s="1"/>
      <c r="CY2452" s="1"/>
      <c r="CZ2452" s="1"/>
      <c r="DA2452" s="1"/>
      <c r="DB2452" s="1"/>
      <c r="DC2452" s="1"/>
      <c r="DD2452" s="1"/>
      <c r="DE2452" s="1"/>
      <c r="DF2452" s="1"/>
      <c r="DG2452" s="1"/>
      <c r="DH2452" s="1"/>
      <c r="DI2452" s="1"/>
      <c r="DJ2452" s="1"/>
      <c r="DK2452" s="1"/>
      <c r="DL2452" s="1"/>
      <c r="DM2452" s="1"/>
      <c r="DN2452" s="1"/>
      <c r="DO2452" s="1"/>
      <c r="DP2452" s="1"/>
      <c r="DQ2452" s="1"/>
      <c r="DR2452" s="1"/>
      <c r="DS2452" s="1"/>
      <c r="DT2452" s="1"/>
      <c r="DU2452" s="1"/>
      <c r="DV2452" s="1"/>
      <c r="DW2452" s="1"/>
      <c r="DX2452" s="1"/>
      <c r="DY2452" s="1"/>
      <c r="DZ2452" s="1"/>
      <c r="EA2452" s="1"/>
      <c r="EB2452" s="1"/>
      <c r="EC2452" s="1"/>
      <c r="ED2452" s="1"/>
      <c r="EE2452" s="1"/>
      <c r="EF2452" s="1"/>
      <c r="EG2452" s="1"/>
      <c r="EH2452" s="1"/>
      <c r="EI2452" s="1"/>
      <c r="EJ2452" s="1"/>
      <c r="EK2452" s="1"/>
      <c r="EL2452" s="1"/>
      <c r="EM2452" s="1"/>
      <c r="EN2452" s="1"/>
      <c r="EO2452" s="1"/>
      <c r="EP2452" s="1"/>
      <c r="EQ2452" s="1"/>
      <c r="ER2452" s="1"/>
      <c r="ES2452" s="1"/>
      <c r="ET2452" s="1"/>
      <c r="EU2452" s="1"/>
      <c r="EV2452" s="1"/>
      <c r="EW2452" s="1"/>
      <c r="EX2452" s="1"/>
      <c r="EY2452" s="1"/>
      <c r="EZ2452" s="1"/>
      <c r="FA2452" s="1"/>
      <c r="FB2452" s="1"/>
      <c r="FC2452" s="1"/>
      <c r="FD2452" s="1"/>
      <c r="FE2452" s="1"/>
      <c r="FF2452" s="1"/>
      <c r="FG2452" s="1"/>
      <c r="FH2452" s="1"/>
      <c r="FI2452" s="1"/>
      <c r="FJ2452" s="1"/>
      <c r="FK2452" s="1"/>
      <c r="FL2452" s="1"/>
      <c r="FM2452" s="1"/>
      <c r="FN2452" s="1"/>
      <c r="FO2452" s="1"/>
      <c r="FP2452" s="1"/>
      <c r="FQ2452" s="1"/>
      <c r="FR2452" s="1"/>
      <c r="FS2452" s="1"/>
      <c r="FT2452" s="1"/>
      <c r="FU2452" s="1"/>
      <c r="FV2452" s="1"/>
      <c r="FW2452" s="1"/>
      <c r="FX2452" s="1"/>
      <c r="FY2452" s="1"/>
      <c r="FZ2452" s="1"/>
      <c r="GA2452" s="1"/>
      <c r="GB2452" s="1"/>
      <c r="GC2452" s="1"/>
      <c r="GD2452" s="1"/>
      <c r="GE2452" s="1"/>
      <c r="GF2452" s="1"/>
      <c r="GG2452" s="1"/>
      <c r="GH2452" s="1"/>
      <c r="GI2452" s="1"/>
      <c r="GJ2452" s="1"/>
      <c r="GK2452" s="1"/>
      <c r="GL2452" s="1"/>
      <c r="GM2452" s="1"/>
      <c r="GN2452" s="1"/>
      <c r="GO2452" s="1"/>
      <c r="GP2452" s="1"/>
      <c r="GQ2452" s="1"/>
      <c r="GR2452" s="1"/>
      <c r="GS2452" s="1"/>
      <c r="GT2452" s="1"/>
      <c r="GU2452" s="1"/>
      <c r="GV2452" s="1"/>
      <c r="GW2452" s="1"/>
      <c r="GX2452" s="1"/>
      <c r="GY2452" s="1"/>
      <c r="GZ2452" s="1"/>
      <c r="HA2452" s="1"/>
      <c r="HB2452" s="1"/>
      <c r="HC2452" s="1"/>
      <c r="HD2452" s="1"/>
      <c r="HE2452" s="1"/>
      <c r="HF2452" s="1"/>
      <c r="HG2452" s="1"/>
      <c r="HH2452" s="1"/>
      <c r="HI2452" s="1"/>
      <c r="HJ2452" s="1"/>
      <c r="HK2452" s="1"/>
      <c r="HL2452" s="1"/>
      <c r="HM2452" s="1"/>
      <c r="HN2452" s="1"/>
      <c r="HO2452" s="1"/>
      <c r="HP2452" s="1"/>
      <c r="HQ2452" s="1"/>
    </row>
    <row r="2453" spans="1:225" x14ac:dyDescent="0.35">
      <c r="A2453" s="257">
        <v>1128</v>
      </c>
      <c r="B2453" s="257"/>
      <c r="C2453" s="260"/>
      <c r="D2453" s="263"/>
      <c r="E2453" s="263"/>
      <c r="F2453" s="266"/>
      <c r="G2453" s="257"/>
      <c r="H2453" s="159" t="s">
        <v>708</v>
      </c>
      <c r="I2453" s="158">
        <f>D2450*K2453</f>
        <v>1690810</v>
      </c>
      <c r="J2453" s="158">
        <f>I2453/D2450</f>
        <v>4045</v>
      </c>
      <c r="K2453" s="158">
        <v>4045</v>
      </c>
      <c r="L2453" s="1"/>
      <c r="M2453" s="1"/>
      <c r="N2453" s="1"/>
      <c r="O2453" s="1"/>
      <c r="P2453" s="1"/>
      <c r="Q2453" s="1"/>
      <c r="R2453" s="1"/>
      <c r="S2453" s="1"/>
      <c r="T2453" s="1"/>
      <c r="U2453" s="1"/>
      <c r="V2453" s="1"/>
      <c r="W2453" s="1"/>
      <c r="X2453" s="1"/>
      <c r="Y2453" s="1"/>
      <c r="Z2453" s="1"/>
      <c r="AA2453" s="1"/>
      <c r="AB2453" s="1"/>
      <c r="AC2453" s="1"/>
      <c r="AD2453" s="1"/>
      <c r="AE2453" s="1"/>
      <c r="AF2453" s="1"/>
      <c r="AG2453" s="1"/>
      <c r="AH2453" s="1"/>
      <c r="AI2453" s="1"/>
      <c r="AJ2453" s="1"/>
      <c r="AK2453" s="1"/>
      <c r="AL2453" s="1"/>
      <c r="AM2453" s="1"/>
      <c r="AN2453" s="1"/>
      <c r="AO2453" s="1"/>
      <c r="AP2453" s="1"/>
      <c r="AQ2453" s="1"/>
      <c r="AR2453" s="1"/>
      <c r="AS2453" s="1"/>
      <c r="AT2453" s="1"/>
      <c r="AU2453" s="1"/>
      <c r="AV2453" s="1"/>
      <c r="AW2453" s="1"/>
      <c r="AX2453" s="1"/>
      <c r="AY2453" s="1"/>
      <c r="AZ2453" s="1"/>
      <c r="BA2453" s="1"/>
      <c r="BB2453" s="1"/>
      <c r="BC2453" s="1"/>
      <c r="BD2453" s="1"/>
      <c r="BE2453" s="1"/>
      <c r="BF2453" s="1"/>
      <c r="BG2453" s="1"/>
      <c r="BH2453" s="1"/>
      <c r="BI2453" s="1"/>
      <c r="BJ2453" s="1"/>
      <c r="BK2453" s="1"/>
      <c r="BL2453" s="1"/>
      <c r="BM2453" s="1"/>
      <c r="BN2453" s="1"/>
      <c r="BO2453" s="1"/>
      <c r="BP2453" s="1"/>
      <c r="BQ2453" s="1"/>
      <c r="BR2453" s="1"/>
      <c r="BS2453" s="1"/>
      <c r="BT2453" s="1"/>
      <c r="BU2453" s="1"/>
      <c r="BV2453" s="1"/>
      <c r="BW2453" s="1"/>
      <c r="BX2453" s="1"/>
      <c r="BY2453" s="1"/>
      <c r="BZ2453" s="1"/>
      <c r="CA2453" s="1"/>
      <c r="CB2453" s="1"/>
      <c r="CC2453" s="1"/>
      <c r="CD2453" s="1"/>
      <c r="CE2453" s="1"/>
      <c r="CF2453" s="1"/>
      <c r="CG2453" s="1"/>
      <c r="CH2453" s="1"/>
      <c r="CI2453" s="1"/>
      <c r="CJ2453" s="1"/>
      <c r="CK2453" s="1"/>
      <c r="CL2453" s="1"/>
      <c r="CM2453" s="1"/>
      <c r="CN2453" s="1"/>
      <c r="CO2453" s="1"/>
      <c r="CP2453" s="1"/>
      <c r="CQ2453" s="1"/>
      <c r="CR2453" s="1"/>
      <c r="CS2453" s="1"/>
      <c r="CT2453" s="1"/>
      <c r="CU2453" s="1"/>
      <c r="CV2453" s="1"/>
      <c r="CW2453" s="1"/>
      <c r="CX2453" s="1"/>
      <c r="CY2453" s="1"/>
      <c r="CZ2453" s="1"/>
      <c r="DA2453" s="1"/>
      <c r="DB2453" s="1"/>
      <c r="DC2453" s="1"/>
      <c r="DD2453" s="1"/>
      <c r="DE2453" s="1"/>
      <c r="DF2453" s="1"/>
      <c r="DG2453" s="1"/>
      <c r="DH2453" s="1"/>
      <c r="DI2453" s="1"/>
      <c r="DJ2453" s="1"/>
      <c r="DK2453" s="1"/>
      <c r="DL2453" s="1"/>
      <c r="DM2453" s="1"/>
      <c r="DN2453" s="1"/>
      <c r="DO2453" s="1"/>
      <c r="DP2453" s="1"/>
      <c r="DQ2453" s="1"/>
      <c r="DR2453" s="1"/>
      <c r="DS2453" s="1"/>
      <c r="DT2453" s="1"/>
      <c r="DU2453" s="1"/>
      <c r="DV2453" s="1"/>
      <c r="DW2453" s="1"/>
      <c r="DX2453" s="1"/>
      <c r="DY2453" s="1"/>
      <c r="DZ2453" s="1"/>
      <c r="EA2453" s="1"/>
      <c r="EB2453" s="1"/>
      <c r="EC2453" s="1"/>
      <c r="ED2453" s="1"/>
      <c r="EE2453" s="1"/>
      <c r="EF2453" s="1"/>
      <c r="EG2453" s="1"/>
      <c r="EH2453" s="1"/>
      <c r="EI2453" s="1"/>
      <c r="EJ2453" s="1"/>
      <c r="EK2453" s="1"/>
      <c r="EL2453" s="1"/>
      <c r="EM2453" s="1"/>
      <c r="EN2453" s="1"/>
      <c r="EO2453" s="1"/>
      <c r="EP2453" s="1"/>
      <c r="EQ2453" s="1"/>
      <c r="ER2453" s="1"/>
      <c r="ES2453" s="1"/>
      <c r="ET2453" s="1"/>
      <c r="EU2453" s="1"/>
      <c r="EV2453" s="1"/>
      <c r="EW2453" s="1"/>
      <c r="EX2453" s="1"/>
      <c r="EY2453" s="1"/>
      <c r="EZ2453" s="1"/>
      <c r="FA2453" s="1"/>
      <c r="FB2453" s="1"/>
      <c r="FC2453" s="1"/>
      <c r="FD2453" s="1"/>
      <c r="FE2453" s="1"/>
      <c r="FF2453" s="1"/>
      <c r="FG2453" s="1"/>
      <c r="FH2453" s="1"/>
      <c r="FI2453" s="1"/>
      <c r="FJ2453" s="1"/>
      <c r="FK2453" s="1"/>
      <c r="FL2453" s="1"/>
      <c r="FM2453" s="1"/>
      <c r="FN2453" s="1"/>
      <c r="FO2453" s="1"/>
      <c r="FP2453" s="1"/>
      <c r="FQ2453" s="1"/>
      <c r="FR2453" s="1"/>
      <c r="FS2453" s="1"/>
      <c r="FT2453" s="1"/>
      <c r="FU2453" s="1"/>
      <c r="FV2453" s="1"/>
      <c r="FW2453" s="1"/>
      <c r="FX2453" s="1"/>
      <c r="FY2453" s="1"/>
      <c r="FZ2453" s="1"/>
      <c r="GA2453" s="1"/>
      <c r="GB2453" s="1"/>
      <c r="GC2453" s="1"/>
      <c r="GD2453" s="1"/>
      <c r="GE2453" s="1"/>
      <c r="GF2453" s="1"/>
      <c r="GG2453" s="1"/>
      <c r="GH2453" s="1"/>
      <c r="GI2453" s="1"/>
      <c r="GJ2453" s="1"/>
      <c r="GK2453" s="1"/>
      <c r="GL2453" s="1"/>
      <c r="GM2453" s="1"/>
      <c r="GN2453" s="1"/>
      <c r="GO2453" s="1"/>
      <c r="GP2453" s="1"/>
      <c r="GQ2453" s="1"/>
      <c r="GR2453" s="1"/>
      <c r="GS2453" s="1"/>
      <c r="GT2453" s="1"/>
      <c r="GU2453" s="1"/>
      <c r="GV2453" s="1"/>
      <c r="GW2453" s="1"/>
      <c r="GX2453" s="1"/>
      <c r="GY2453" s="1"/>
      <c r="GZ2453" s="1"/>
      <c r="HA2453" s="1"/>
      <c r="HB2453" s="1"/>
      <c r="HC2453" s="1"/>
      <c r="HD2453" s="1"/>
      <c r="HE2453" s="1"/>
      <c r="HF2453" s="1"/>
      <c r="HG2453" s="1"/>
      <c r="HH2453" s="1"/>
      <c r="HI2453" s="1"/>
      <c r="HJ2453" s="1"/>
      <c r="HK2453" s="1"/>
      <c r="HL2453" s="1"/>
      <c r="HM2453" s="1"/>
      <c r="HN2453" s="1"/>
      <c r="HO2453" s="1"/>
      <c r="HP2453" s="1"/>
      <c r="HQ2453" s="1"/>
    </row>
    <row r="2454" spans="1:225" ht="15.75" customHeight="1" x14ac:dyDescent="0.35">
      <c r="A2454" s="258">
        <v>1129</v>
      </c>
      <c r="B2454" s="258"/>
      <c r="C2454" s="261"/>
      <c r="D2454" s="264"/>
      <c r="E2454" s="264"/>
      <c r="F2454" s="267"/>
      <c r="G2454" s="258"/>
      <c r="H2454" s="159" t="s">
        <v>76</v>
      </c>
      <c r="I2454" s="158">
        <f>D2450*K2454</f>
        <v>36366</v>
      </c>
      <c r="J2454" s="158">
        <f>I2454/D2450</f>
        <v>87</v>
      </c>
      <c r="K2454" s="158">
        <v>87</v>
      </c>
      <c r="L2454" s="1"/>
      <c r="M2454" s="1"/>
      <c r="N2454" s="1"/>
      <c r="O2454" s="1"/>
      <c r="P2454" s="1"/>
      <c r="Q2454" s="1"/>
      <c r="R2454" s="1"/>
      <c r="S2454" s="1"/>
      <c r="T2454" s="1"/>
      <c r="U2454" s="1"/>
      <c r="V2454" s="1"/>
      <c r="W2454" s="1"/>
      <c r="X2454" s="1"/>
      <c r="Y2454" s="1"/>
      <c r="Z2454" s="1"/>
      <c r="AA2454" s="1"/>
      <c r="AB2454" s="1"/>
      <c r="AC2454" s="1"/>
      <c r="AD2454" s="1"/>
      <c r="AE2454" s="1"/>
      <c r="AF2454" s="1"/>
      <c r="AG2454" s="1"/>
      <c r="AH2454" s="1"/>
      <c r="AI2454" s="1"/>
      <c r="AJ2454" s="1"/>
      <c r="AK2454" s="1"/>
      <c r="AL2454" s="1"/>
      <c r="AM2454" s="1"/>
      <c r="AN2454" s="1"/>
      <c r="AO2454" s="1"/>
      <c r="AP2454" s="1"/>
      <c r="AQ2454" s="1"/>
      <c r="AR2454" s="1"/>
      <c r="AS2454" s="1"/>
      <c r="AT2454" s="1"/>
      <c r="AU2454" s="1"/>
      <c r="AV2454" s="1"/>
      <c r="AW2454" s="1"/>
      <c r="AX2454" s="1"/>
      <c r="AY2454" s="1"/>
      <c r="AZ2454" s="1"/>
      <c r="BA2454" s="1"/>
      <c r="BB2454" s="1"/>
      <c r="BC2454" s="1"/>
      <c r="BD2454" s="1"/>
      <c r="BE2454" s="1"/>
      <c r="BF2454" s="1"/>
      <c r="BG2454" s="1"/>
      <c r="BH2454" s="1"/>
      <c r="BI2454" s="1"/>
      <c r="BJ2454" s="1"/>
      <c r="BK2454" s="1"/>
      <c r="BL2454" s="1"/>
      <c r="BM2454" s="1"/>
      <c r="BN2454" s="1"/>
      <c r="BO2454" s="1"/>
      <c r="BP2454" s="1"/>
      <c r="BQ2454" s="1"/>
      <c r="BR2454" s="1"/>
      <c r="BS2454" s="1"/>
      <c r="BT2454" s="1"/>
      <c r="BU2454" s="1"/>
      <c r="BV2454" s="1"/>
      <c r="BW2454" s="1"/>
      <c r="BX2454" s="1"/>
      <c r="BY2454" s="1"/>
      <c r="BZ2454" s="1"/>
      <c r="CA2454" s="1"/>
      <c r="CB2454" s="1"/>
      <c r="CC2454" s="1"/>
      <c r="CD2454" s="1"/>
      <c r="CE2454" s="1"/>
      <c r="CF2454" s="1"/>
      <c r="CG2454" s="1"/>
      <c r="CH2454" s="1"/>
      <c r="CI2454" s="1"/>
      <c r="CJ2454" s="1"/>
      <c r="CK2454" s="1"/>
      <c r="CL2454" s="1"/>
      <c r="CM2454" s="1"/>
      <c r="CN2454" s="1"/>
      <c r="CO2454" s="1"/>
      <c r="CP2454" s="1"/>
      <c r="CQ2454" s="1"/>
      <c r="CR2454" s="1"/>
      <c r="CS2454" s="1"/>
      <c r="CT2454" s="1"/>
      <c r="CU2454" s="1"/>
      <c r="CV2454" s="1"/>
      <c r="CW2454" s="1"/>
      <c r="CX2454" s="1"/>
      <c r="CY2454" s="1"/>
      <c r="CZ2454" s="1"/>
      <c r="DA2454" s="1"/>
      <c r="DB2454" s="1"/>
      <c r="DC2454" s="1"/>
      <c r="DD2454" s="1"/>
      <c r="DE2454" s="1"/>
      <c r="DF2454" s="1"/>
      <c r="DG2454" s="1"/>
      <c r="DH2454" s="1"/>
      <c r="DI2454" s="1"/>
      <c r="DJ2454" s="1"/>
      <c r="DK2454" s="1"/>
      <c r="DL2454" s="1"/>
      <c r="DM2454" s="1"/>
      <c r="DN2454" s="1"/>
      <c r="DO2454" s="1"/>
      <c r="DP2454" s="1"/>
      <c r="DQ2454" s="1"/>
      <c r="DR2454" s="1"/>
      <c r="DS2454" s="1"/>
      <c r="DT2454" s="1"/>
      <c r="DU2454" s="1"/>
      <c r="DV2454" s="1"/>
      <c r="DW2454" s="1"/>
      <c r="DX2454" s="1"/>
      <c r="DY2454" s="1"/>
      <c r="DZ2454" s="1"/>
      <c r="EA2454" s="1"/>
      <c r="EB2454" s="1"/>
      <c r="EC2454" s="1"/>
      <c r="ED2454" s="1"/>
      <c r="EE2454" s="1"/>
      <c r="EF2454" s="1"/>
      <c r="EG2454" s="1"/>
      <c r="EH2454" s="1"/>
      <c r="EI2454" s="1"/>
      <c r="EJ2454" s="1"/>
      <c r="EK2454" s="1"/>
      <c r="EL2454" s="1"/>
      <c r="EM2454" s="1"/>
      <c r="EN2454" s="1"/>
      <c r="EO2454" s="1"/>
      <c r="EP2454" s="1"/>
      <c r="EQ2454" s="1"/>
      <c r="ER2454" s="1"/>
      <c r="ES2454" s="1"/>
      <c r="ET2454" s="1"/>
      <c r="EU2454" s="1"/>
      <c r="EV2454" s="1"/>
      <c r="EW2454" s="1"/>
      <c r="EX2454" s="1"/>
      <c r="EY2454" s="1"/>
      <c r="EZ2454" s="1"/>
      <c r="FA2454" s="1"/>
      <c r="FB2454" s="1"/>
      <c r="FC2454" s="1"/>
      <c r="FD2454" s="1"/>
      <c r="FE2454" s="1"/>
      <c r="FF2454" s="1"/>
      <c r="FG2454" s="1"/>
      <c r="FH2454" s="1"/>
      <c r="FI2454" s="1"/>
      <c r="FJ2454" s="1"/>
      <c r="FK2454" s="1"/>
      <c r="FL2454" s="1"/>
      <c r="FM2454" s="1"/>
      <c r="FN2454" s="1"/>
      <c r="FO2454" s="1"/>
      <c r="FP2454" s="1"/>
      <c r="FQ2454" s="1"/>
      <c r="FR2454" s="1"/>
      <c r="FS2454" s="1"/>
      <c r="FT2454" s="1"/>
      <c r="FU2454" s="1"/>
      <c r="FV2454" s="1"/>
      <c r="FW2454" s="1"/>
      <c r="FX2454" s="1"/>
      <c r="FY2454" s="1"/>
      <c r="FZ2454" s="1"/>
      <c r="GA2454" s="1"/>
      <c r="GB2454" s="1"/>
      <c r="GC2454" s="1"/>
      <c r="GD2454" s="1"/>
      <c r="GE2454" s="1"/>
      <c r="GF2454" s="1"/>
      <c r="GG2454" s="1"/>
      <c r="GH2454" s="1"/>
      <c r="GI2454" s="1"/>
      <c r="GJ2454" s="1"/>
      <c r="GK2454" s="1"/>
      <c r="GL2454" s="1"/>
      <c r="GM2454" s="1"/>
      <c r="GN2454" s="1"/>
      <c r="GO2454" s="1"/>
      <c r="GP2454" s="1"/>
      <c r="GQ2454" s="1"/>
      <c r="GR2454" s="1"/>
      <c r="GS2454" s="1"/>
      <c r="GT2454" s="1"/>
      <c r="GU2454" s="1"/>
      <c r="GV2454" s="1"/>
      <c r="GW2454" s="1"/>
      <c r="GX2454" s="1"/>
      <c r="GY2454" s="1"/>
      <c r="GZ2454" s="1"/>
      <c r="HA2454" s="1"/>
      <c r="HB2454" s="1"/>
      <c r="HC2454" s="1"/>
      <c r="HD2454" s="1"/>
      <c r="HE2454" s="1"/>
      <c r="HF2454" s="1"/>
      <c r="HG2454" s="1"/>
      <c r="HH2454" s="1"/>
      <c r="HI2454" s="1"/>
      <c r="HJ2454" s="1"/>
      <c r="HK2454" s="1"/>
      <c r="HL2454" s="1"/>
      <c r="HM2454" s="1"/>
      <c r="HN2454" s="1"/>
      <c r="HO2454" s="1"/>
      <c r="HP2454" s="1"/>
      <c r="HQ2454" s="1"/>
    </row>
    <row r="2455" spans="1:225" ht="15.75" customHeight="1" x14ac:dyDescent="0.35">
      <c r="A2455" s="256">
        <f>A2450+1</f>
        <v>7</v>
      </c>
      <c r="B2455" s="256">
        <v>5408</v>
      </c>
      <c r="C2455" s="259" t="s">
        <v>445</v>
      </c>
      <c r="D2455" s="262">
        <v>280.60000000000002</v>
      </c>
      <c r="E2455" s="262" t="s">
        <v>665</v>
      </c>
      <c r="F2455" s="265">
        <v>2</v>
      </c>
      <c r="G2455" s="256" t="s">
        <v>72</v>
      </c>
      <c r="H2455" s="159" t="s">
        <v>73</v>
      </c>
      <c r="I2455" s="158">
        <f>I2456+I2457</f>
        <v>1494110.82</v>
      </c>
      <c r="J2455" s="158">
        <f>J2456+J2457</f>
        <v>5324.7</v>
      </c>
      <c r="K2455" s="158">
        <f>K2456+K2457</f>
        <v>7539</v>
      </c>
      <c r="L2455" s="1"/>
      <c r="M2455" s="1"/>
      <c r="N2455" s="1"/>
      <c r="O2455" s="1"/>
      <c r="P2455" s="1"/>
      <c r="Q2455" s="1"/>
      <c r="R2455" s="1"/>
      <c r="S2455" s="1"/>
      <c r="T2455" s="1"/>
      <c r="U2455" s="1"/>
      <c r="V2455" s="1"/>
      <c r="W2455" s="1"/>
      <c r="X2455" s="1"/>
      <c r="Y2455" s="1"/>
      <c r="Z2455" s="1"/>
      <c r="AA2455" s="1"/>
      <c r="AB2455" s="1"/>
      <c r="AC2455" s="1"/>
      <c r="AD2455" s="1"/>
      <c r="AE2455" s="1"/>
      <c r="AF2455" s="1"/>
      <c r="AG2455" s="1"/>
      <c r="AH2455" s="1"/>
      <c r="AI2455" s="1"/>
      <c r="AJ2455" s="1"/>
      <c r="AK2455" s="1"/>
      <c r="AL2455" s="1"/>
      <c r="AM2455" s="1"/>
      <c r="AN2455" s="1"/>
      <c r="AO2455" s="1"/>
      <c r="AP2455" s="1"/>
      <c r="AQ2455" s="1"/>
      <c r="AR2455" s="1"/>
      <c r="AS2455" s="1"/>
      <c r="AT2455" s="1"/>
      <c r="AU2455" s="1"/>
      <c r="AV2455" s="1"/>
      <c r="AW2455" s="1"/>
      <c r="AX2455" s="1"/>
      <c r="AY2455" s="1"/>
      <c r="AZ2455" s="1"/>
      <c r="BA2455" s="1"/>
      <c r="BB2455" s="1"/>
      <c r="BC2455" s="1"/>
      <c r="BD2455" s="1"/>
      <c r="BE2455" s="1"/>
      <c r="BF2455" s="1"/>
      <c r="BG2455" s="1"/>
      <c r="BH2455" s="1"/>
      <c r="BI2455" s="1"/>
      <c r="BJ2455" s="1"/>
      <c r="BK2455" s="1"/>
      <c r="BL2455" s="1"/>
      <c r="BM2455" s="1"/>
      <c r="BN2455" s="1"/>
      <c r="BO2455" s="1"/>
      <c r="BP2455" s="1"/>
      <c r="BQ2455" s="1"/>
      <c r="BR2455" s="1"/>
      <c r="BS2455" s="1"/>
      <c r="BT2455" s="1"/>
      <c r="BU2455" s="1"/>
      <c r="BV2455" s="1"/>
      <c r="BW2455" s="1"/>
      <c r="BX2455" s="1"/>
      <c r="BY2455" s="1"/>
      <c r="BZ2455" s="1"/>
      <c r="CA2455" s="1"/>
      <c r="CB2455" s="1"/>
      <c r="CC2455" s="1"/>
      <c r="CD2455" s="1"/>
      <c r="CE2455" s="1"/>
      <c r="CF2455" s="1"/>
      <c r="CG2455" s="1"/>
      <c r="CH2455" s="1"/>
      <c r="CI2455" s="1"/>
      <c r="CJ2455" s="1"/>
      <c r="CK2455" s="1"/>
      <c r="CL2455" s="1"/>
      <c r="CM2455" s="1"/>
      <c r="CN2455" s="1"/>
      <c r="CO2455" s="1"/>
      <c r="CP2455" s="1"/>
      <c r="CQ2455" s="1"/>
      <c r="CR2455" s="1"/>
      <c r="CS2455" s="1"/>
      <c r="CT2455" s="1"/>
      <c r="CU2455" s="1"/>
      <c r="CV2455" s="1"/>
      <c r="CW2455" s="1"/>
      <c r="CX2455" s="1"/>
      <c r="CY2455" s="1"/>
      <c r="CZ2455" s="1"/>
      <c r="DA2455" s="1"/>
      <c r="DB2455" s="1"/>
      <c r="DC2455" s="1"/>
      <c r="DD2455" s="1"/>
      <c r="DE2455" s="1"/>
      <c r="DF2455" s="1"/>
      <c r="DG2455" s="1"/>
      <c r="DH2455" s="1"/>
      <c r="DI2455" s="1"/>
      <c r="DJ2455" s="1"/>
      <c r="DK2455" s="1"/>
      <c r="DL2455" s="1"/>
      <c r="DM2455" s="1"/>
      <c r="DN2455" s="1"/>
      <c r="DO2455" s="1"/>
      <c r="DP2455" s="1"/>
      <c r="DQ2455" s="1"/>
      <c r="DR2455" s="1"/>
      <c r="DS2455" s="1"/>
      <c r="DT2455" s="1"/>
      <c r="DU2455" s="1"/>
      <c r="DV2455" s="1"/>
      <c r="DW2455" s="1"/>
      <c r="DX2455" s="1"/>
      <c r="DY2455" s="1"/>
      <c r="DZ2455" s="1"/>
      <c r="EA2455" s="1"/>
      <c r="EB2455" s="1"/>
      <c r="EC2455" s="1"/>
      <c r="ED2455" s="1"/>
      <c r="EE2455" s="1"/>
      <c r="EF2455" s="1"/>
      <c r="EG2455" s="1"/>
      <c r="EH2455" s="1"/>
      <c r="EI2455" s="1"/>
      <c r="EJ2455" s="1"/>
      <c r="EK2455" s="1"/>
      <c r="EL2455" s="1"/>
      <c r="EM2455" s="1"/>
      <c r="EN2455" s="1"/>
      <c r="EO2455" s="1"/>
      <c r="EP2455" s="1"/>
      <c r="EQ2455" s="1"/>
      <c r="ER2455" s="1"/>
      <c r="ES2455" s="1"/>
      <c r="ET2455" s="1"/>
      <c r="EU2455" s="1"/>
      <c r="EV2455" s="1"/>
      <c r="EW2455" s="1"/>
      <c r="EX2455" s="1"/>
      <c r="EY2455" s="1"/>
      <c r="EZ2455" s="1"/>
      <c r="FA2455" s="1"/>
      <c r="FB2455" s="1"/>
      <c r="FC2455" s="1"/>
      <c r="FD2455" s="1"/>
      <c r="FE2455" s="1"/>
      <c r="FF2455" s="1"/>
      <c r="FG2455" s="1"/>
      <c r="FH2455" s="1"/>
      <c r="FI2455" s="1"/>
      <c r="FJ2455" s="1"/>
      <c r="FK2455" s="1"/>
      <c r="FL2455" s="1"/>
      <c r="FM2455" s="1"/>
      <c r="FN2455" s="1"/>
      <c r="FO2455" s="1"/>
      <c r="FP2455" s="1"/>
      <c r="FQ2455" s="1"/>
      <c r="FR2455" s="1"/>
      <c r="FS2455" s="1"/>
      <c r="FT2455" s="1"/>
      <c r="FU2455" s="1"/>
      <c r="FV2455" s="1"/>
      <c r="FW2455" s="1"/>
      <c r="FX2455" s="1"/>
      <c r="FY2455" s="1"/>
      <c r="FZ2455" s="1"/>
      <c r="GA2455" s="1"/>
      <c r="GB2455" s="1"/>
      <c r="GC2455" s="1"/>
      <c r="GD2455" s="1"/>
      <c r="GE2455" s="1"/>
      <c r="GF2455" s="1"/>
      <c r="GG2455" s="1"/>
      <c r="GH2455" s="1"/>
      <c r="GI2455" s="1"/>
      <c r="GJ2455" s="1"/>
      <c r="GK2455" s="1"/>
      <c r="GL2455" s="1"/>
      <c r="GM2455" s="1"/>
      <c r="GN2455" s="1"/>
      <c r="GO2455" s="1"/>
      <c r="GP2455" s="1"/>
      <c r="GQ2455" s="1"/>
      <c r="GR2455" s="1"/>
      <c r="GS2455" s="1"/>
      <c r="GT2455" s="1"/>
      <c r="GU2455" s="1"/>
      <c r="GV2455" s="1"/>
      <c r="GW2455" s="1"/>
      <c r="GX2455" s="1"/>
      <c r="GY2455" s="1"/>
      <c r="GZ2455" s="1"/>
      <c r="HA2455" s="1"/>
      <c r="HB2455" s="1"/>
      <c r="HC2455" s="1"/>
      <c r="HD2455" s="1"/>
      <c r="HE2455" s="1"/>
      <c r="HF2455" s="1"/>
      <c r="HG2455" s="1"/>
      <c r="HH2455" s="1"/>
      <c r="HI2455" s="1"/>
      <c r="HJ2455" s="1"/>
      <c r="HK2455" s="1"/>
      <c r="HL2455" s="1"/>
      <c r="HM2455" s="1"/>
      <c r="HN2455" s="1"/>
      <c r="HO2455" s="1"/>
      <c r="HP2455" s="1"/>
      <c r="HQ2455" s="1"/>
    </row>
    <row r="2456" spans="1:225" ht="15.75" customHeight="1" x14ac:dyDescent="0.35">
      <c r="A2456" s="257">
        <v>1130</v>
      </c>
      <c r="B2456" s="257"/>
      <c r="C2456" s="260"/>
      <c r="D2456" s="263"/>
      <c r="E2456" s="263"/>
      <c r="F2456" s="266"/>
      <c r="G2456" s="257"/>
      <c r="H2456" s="159" t="s">
        <v>74</v>
      </c>
      <c r="I2456" s="158">
        <f>K2456*D2455*70/100</f>
        <v>1449776.02</v>
      </c>
      <c r="J2456" s="158">
        <f>I2456/D2455</f>
        <v>5166.7</v>
      </c>
      <c r="K2456" s="158">
        <v>7381</v>
      </c>
      <c r="L2456" s="1"/>
      <c r="M2456" s="1"/>
      <c r="N2456" s="1"/>
      <c r="O2456" s="1"/>
      <c r="P2456" s="1"/>
      <c r="Q2456" s="1"/>
      <c r="R2456" s="1"/>
      <c r="S2456" s="1"/>
      <c r="T2456" s="1"/>
      <c r="U2456" s="1"/>
      <c r="V2456" s="1"/>
      <c r="W2456" s="1"/>
      <c r="X2456" s="1"/>
      <c r="Y2456" s="1"/>
      <c r="Z2456" s="1"/>
      <c r="AA2456" s="1"/>
      <c r="AB2456" s="1"/>
      <c r="AC2456" s="1"/>
      <c r="AD2456" s="1"/>
      <c r="AE2456" s="1"/>
      <c r="AF2456" s="1"/>
      <c r="AG2456" s="1"/>
      <c r="AH2456" s="1"/>
      <c r="AI2456" s="1"/>
      <c r="AJ2456" s="1"/>
      <c r="AK2456" s="1"/>
      <c r="AL2456" s="1"/>
      <c r="AM2456" s="1"/>
      <c r="AN2456" s="1"/>
      <c r="AO2456" s="1"/>
      <c r="AP2456" s="1"/>
      <c r="AQ2456" s="1"/>
      <c r="AR2456" s="1"/>
      <c r="AS2456" s="1"/>
      <c r="AT2456" s="1"/>
      <c r="AU2456" s="1"/>
      <c r="AV2456" s="1"/>
      <c r="AW2456" s="1"/>
      <c r="AX2456" s="1"/>
      <c r="AY2456" s="1"/>
      <c r="AZ2456" s="1"/>
      <c r="BA2456" s="1"/>
      <c r="BB2456" s="1"/>
      <c r="BC2456" s="1"/>
      <c r="BD2456" s="1"/>
      <c r="BE2456" s="1"/>
      <c r="BF2456" s="1"/>
      <c r="BG2456" s="1"/>
      <c r="BH2456" s="1"/>
      <c r="BI2456" s="1"/>
      <c r="BJ2456" s="1"/>
      <c r="BK2456" s="1"/>
      <c r="BL2456" s="1"/>
      <c r="BM2456" s="1"/>
      <c r="BN2456" s="1"/>
      <c r="BO2456" s="1"/>
      <c r="BP2456" s="1"/>
      <c r="BQ2456" s="1"/>
      <c r="BR2456" s="1"/>
      <c r="BS2456" s="1"/>
      <c r="BT2456" s="1"/>
      <c r="BU2456" s="1"/>
      <c r="BV2456" s="1"/>
      <c r="BW2456" s="1"/>
      <c r="BX2456" s="1"/>
      <c r="BY2456" s="1"/>
      <c r="BZ2456" s="1"/>
      <c r="CA2456" s="1"/>
      <c r="CB2456" s="1"/>
      <c r="CC2456" s="1"/>
      <c r="CD2456" s="1"/>
      <c r="CE2456" s="1"/>
      <c r="CF2456" s="1"/>
      <c r="CG2456" s="1"/>
      <c r="CH2456" s="1"/>
      <c r="CI2456" s="1"/>
      <c r="CJ2456" s="1"/>
      <c r="CK2456" s="1"/>
      <c r="CL2456" s="1"/>
      <c r="CM2456" s="1"/>
      <c r="CN2456" s="1"/>
      <c r="CO2456" s="1"/>
      <c r="CP2456" s="1"/>
      <c r="CQ2456" s="1"/>
      <c r="CR2456" s="1"/>
      <c r="CS2456" s="1"/>
      <c r="CT2456" s="1"/>
      <c r="CU2456" s="1"/>
      <c r="CV2456" s="1"/>
      <c r="CW2456" s="1"/>
      <c r="CX2456" s="1"/>
      <c r="CY2456" s="1"/>
      <c r="CZ2456" s="1"/>
      <c r="DA2456" s="1"/>
      <c r="DB2456" s="1"/>
      <c r="DC2456" s="1"/>
      <c r="DD2456" s="1"/>
      <c r="DE2456" s="1"/>
      <c r="DF2456" s="1"/>
      <c r="DG2456" s="1"/>
      <c r="DH2456" s="1"/>
      <c r="DI2456" s="1"/>
      <c r="DJ2456" s="1"/>
      <c r="DK2456" s="1"/>
      <c r="DL2456" s="1"/>
      <c r="DM2456" s="1"/>
      <c r="DN2456" s="1"/>
      <c r="DO2456" s="1"/>
      <c r="DP2456" s="1"/>
      <c r="DQ2456" s="1"/>
      <c r="DR2456" s="1"/>
      <c r="DS2456" s="1"/>
      <c r="DT2456" s="1"/>
      <c r="DU2456" s="1"/>
      <c r="DV2456" s="1"/>
      <c r="DW2456" s="1"/>
      <c r="DX2456" s="1"/>
      <c r="DY2456" s="1"/>
      <c r="DZ2456" s="1"/>
      <c r="EA2456" s="1"/>
      <c r="EB2456" s="1"/>
      <c r="EC2456" s="1"/>
      <c r="ED2456" s="1"/>
      <c r="EE2456" s="1"/>
      <c r="EF2456" s="1"/>
      <c r="EG2456" s="1"/>
      <c r="EH2456" s="1"/>
      <c r="EI2456" s="1"/>
      <c r="EJ2456" s="1"/>
      <c r="EK2456" s="1"/>
      <c r="EL2456" s="1"/>
      <c r="EM2456" s="1"/>
      <c r="EN2456" s="1"/>
      <c r="EO2456" s="1"/>
      <c r="EP2456" s="1"/>
      <c r="EQ2456" s="1"/>
      <c r="ER2456" s="1"/>
      <c r="ES2456" s="1"/>
      <c r="ET2456" s="1"/>
      <c r="EU2456" s="1"/>
      <c r="EV2456" s="1"/>
      <c r="EW2456" s="1"/>
      <c r="EX2456" s="1"/>
      <c r="EY2456" s="1"/>
      <c r="EZ2456" s="1"/>
      <c r="FA2456" s="1"/>
      <c r="FB2456" s="1"/>
      <c r="FC2456" s="1"/>
      <c r="FD2456" s="1"/>
      <c r="FE2456" s="1"/>
      <c r="FF2456" s="1"/>
      <c r="FG2456" s="1"/>
      <c r="FH2456" s="1"/>
      <c r="FI2456" s="1"/>
      <c r="FJ2456" s="1"/>
      <c r="FK2456" s="1"/>
      <c r="FL2456" s="1"/>
      <c r="FM2456" s="1"/>
      <c r="FN2456" s="1"/>
      <c r="FO2456" s="1"/>
      <c r="FP2456" s="1"/>
      <c r="FQ2456" s="1"/>
      <c r="FR2456" s="1"/>
      <c r="FS2456" s="1"/>
      <c r="FT2456" s="1"/>
      <c r="FU2456" s="1"/>
      <c r="FV2456" s="1"/>
      <c r="FW2456" s="1"/>
      <c r="FX2456" s="1"/>
      <c r="FY2456" s="1"/>
      <c r="FZ2456" s="1"/>
      <c r="GA2456" s="1"/>
      <c r="GB2456" s="1"/>
      <c r="GC2456" s="1"/>
      <c r="GD2456" s="1"/>
      <c r="GE2456" s="1"/>
      <c r="GF2456" s="1"/>
      <c r="GG2456" s="1"/>
      <c r="GH2456" s="1"/>
      <c r="GI2456" s="1"/>
      <c r="GJ2456" s="1"/>
      <c r="GK2456" s="1"/>
      <c r="GL2456" s="1"/>
      <c r="GM2456" s="1"/>
      <c r="GN2456" s="1"/>
      <c r="GO2456" s="1"/>
      <c r="GP2456" s="1"/>
      <c r="GQ2456" s="1"/>
      <c r="GR2456" s="1"/>
      <c r="GS2456" s="1"/>
      <c r="GT2456" s="1"/>
      <c r="GU2456" s="1"/>
      <c r="GV2456" s="1"/>
      <c r="GW2456" s="1"/>
      <c r="GX2456" s="1"/>
      <c r="GY2456" s="1"/>
      <c r="GZ2456" s="1"/>
      <c r="HA2456" s="1"/>
      <c r="HB2456" s="1"/>
      <c r="HC2456" s="1"/>
      <c r="HD2456" s="1"/>
      <c r="HE2456" s="1"/>
      <c r="HF2456" s="1"/>
      <c r="HG2456" s="1"/>
      <c r="HH2456" s="1"/>
      <c r="HI2456" s="1"/>
      <c r="HJ2456" s="1"/>
      <c r="HK2456" s="1"/>
      <c r="HL2456" s="1"/>
      <c r="HM2456" s="1"/>
      <c r="HN2456" s="1"/>
      <c r="HO2456" s="1"/>
      <c r="HP2456" s="1"/>
      <c r="HQ2456" s="1"/>
    </row>
    <row r="2457" spans="1:225" x14ac:dyDescent="0.35">
      <c r="A2457" s="258">
        <v>1131</v>
      </c>
      <c r="B2457" s="258"/>
      <c r="C2457" s="261"/>
      <c r="D2457" s="264"/>
      <c r="E2457" s="264"/>
      <c r="F2457" s="267"/>
      <c r="G2457" s="258"/>
      <c r="H2457" s="159" t="s">
        <v>76</v>
      </c>
      <c r="I2457" s="158">
        <f>K2457*D2455</f>
        <v>44334.8</v>
      </c>
      <c r="J2457" s="158">
        <f>I2457/D2455</f>
        <v>158</v>
      </c>
      <c r="K2457" s="158">
        <v>158</v>
      </c>
      <c r="L2457" s="1"/>
      <c r="M2457" s="1"/>
      <c r="N2457" s="1"/>
      <c r="O2457" s="1"/>
      <c r="P2457" s="1"/>
      <c r="Q2457" s="1"/>
      <c r="R2457" s="1"/>
      <c r="S2457" s="1"/>
      <c r="T2457" s="1"/>
      <c r="U2457" s="1"/>
      <c r="V2457" s="1"/>
      <c r="W2457" s="1"/>
      <c r="X2457" s="1"/>
      <c r="Y2457" s="1"/>
      <c r="Z2457" s="1"/>
      <c r="AA2457" s="1"/>
      <c r="AB2457" s="1"/>
      <c r="AC2457" s="1"/>
      <c r="AD2457" s="1"/>
      <c r="AE2457" s="1"/>
      <c r="AF2457" s="1"/>
      <c r="AG2457" s="1"/>
      <c r="AH2457" s="1"/>
      <c r="AI2457" s="1"/>
      <c r="AJ2457" s="1"/>
      <c r="AK2457" s="1"/>
      <c r="AL2457" s="1"/>
      <c r="AM2457" s="1"/>
      <c r="AN2457" s="1"/>
      <c r="AO2457" s="1"/>
      <c r="AP2457" s="1"/>
      <c r="AQ2457" s="1"/>
      <c r="AR2457" s="1"/>
      <c r="AS2457" s="1"/>
      <c r="AT2457" s="1"/>
      <c r="AU2457" s="1"/>
      <c r="AV2457" s="1"/>
      <c r="AW2457" s="1"/>
      <c r="AX2457" s="1"/>
      <c r="AY2457" s="1"/>
      <c r="AZ2457" s="1"/>
      <c r="BA2457" s="1"/>
      <c r="BB2457" s="1"/>
      <c r="BC2457" s="1"/>
      <c r="BD2457" s="1"/>
      <c r="BE2457" s="1"/>
      <c r="BF2457" s="1"/>
      <c r="BG2457" s="1"/>
      <c r="BH2457" s="1"/>
      <c r="BI2457" s="1"/>
      <c r="BJ2457" s="1"/>
      <c r="BK2457" s="1"/>
      <c r="BL2457" s="1"/>
      <c r="BM2457" s="1"/>
      <c r="BN2457" s="1"/>
      <c r="BO2457" s="1"/>
      <c r="BP2457" s="1"/>
      <c r="BQ2457" s="1"/>
      <c r="BR2457" s="1"/>
      <c r="BS2457" s="1"/>
      <c r="BT2457" s="1"/>
      <c r="BU2457" s="1"/>
      <c r="BV2457" s="1"/>
      <c r="BW2457" s="1"/>
      <c r="BX2457" s="1"/>
      <c r="BY2457" s="1"/>
      <c r="BZ2457" s="1"/>
      <c r="CA2457" s="1"/>
      <c r="CB2457" s="1"/>
      <c r="CC2457" s="1"/>
      <c r="CD2457" s="1"/>
      <c r="CE2457" s="1"/>
      <c r="CF2457" s="1"/>
      <c r="CG2457" s="1"/>
      <c r="CH2457" s="1"/>
      <c r="CI2457" s="1"/>
      <c r="CJ2457" s="1"/>
      <c r="CK2457" s="1"/>
      <c r="CL2457" s="1"/>
      <c r="CM2457" s="1"/>
      <c r="CN2457" s="1"/>
      <c r="CO2457" s="1"/>
      <c r="CP2457" s="1"/>
      <c r="CQ2457" s="1"/>
      <c r="CR2457" s="1"/>
      <c r="CS2457" s="1"/>
      <c r="CT2457" s="1"/>
      <c r="CU2457" s="1"/>
      <c r="CV2457" s="1"/>
      <c r="CW2457" s="1"/>
      <c r="CX2457" s="1"/>
      <c r="CY2457" s="1"/>
      <c r="CZ2457" s="1"/>
      <c r="DA2457" s="1"/>
      <c r="DB2457" s="1"/>
      <c r="DC2457" s="1"/>
      <c r="DD2457" s="1"/>
      <c r="DE2457" s="1"/>
      <c r="DF2457" s="1"/>
      <c r="DG2457" s="1"/>
      <c r="DH2457" s="1"/>
      <c r="DI2457" s="1"/>
      <c r="DJ2457" s="1"/>
      <c r="DK2457" s="1"/>
      <c r="DL2457" s="1"/>
      <c r="DM2457" s="1"/>
      <c r="DN2457" s="1"/>
      <c r="DO2457" s="1"/>
      <c r="DP2457" s="1"/>
      <c r="DQ2457" s="1"/>
      <c r="DR2457" s="1"/>
      <c r="DS2457" s="1"/>
      <c r="DT2457" s="1"/>
      <c r="DU2457" s="1"/>
      <c r="DV2457" s="1"/>
      <c r="DW2457" s="1"/>
      <c r="DX2457" s="1"/>
      <c r="DY2457" s="1"/>
      <c r="DZ2457" s="1"/>
      <c r="EA2457" s="1"/>
      <c r="EB2457" s="1"/>
      <c r="EC2457" s="1"/>
      <c r="ED2457" s="1"/>
      <c r="EE2457" s="1"/>
      <c r="EF2457" s="1"/>
      <c r="EG2457" s="1"/>
      <c r="EH2457" s="1"/>
      <c r="EI2457" s="1"/>
      <c r="EJ2457" s="1"/>
      <c r="EK2457" s="1"/>
      <c r="EL2457" s="1"/>
      <c r="EM2457" s="1"/>
      <c r="EN2457" s="1"/>
      <c r="EO2457" s="1"/>
      <c r="EP2457" s="1"/>
      <c r="EQ2457" s="1"/>
      <c r="ER2457" s="1"/>
      <c r="ES2457" s="1"/>
      <c r="ET2457" s="1"/>
      <c r="EU2457" s="1"/>
      <c r="EV2457" s="1"/>
      <c r="EW2457" s="1"/>
      <c r="EX2457" s="1"/>
      <c r="EY2457" s="1"/>
      <c r="EZ2457" s="1"/>
      <c r="FA2457" s="1"/>
      <c r="FB2457" s="1"/>
      <c r="FC2457" s="1"/>
      <c r="FD2457" s="1"/>
      <c r="FE2457" s="1"/>
      <c r="FF2457" s="1"/>
      <c r="FG2457" s="1"/>
      <c r="FH2457" s="1"/>
      <c r="FI2457" s="1"/>
      <c r="FJ2457" s="1"/>
      <c r="FK2457" s="1"/>
      <c r="FL2457" s="1"/>
      <c r="FM2457" s="1"/>
      <c r="FN2457" s="1"/>
      <c r="FO2457" s="1"/>
      <c r="FP2457" s="1"/>
      <c r="FQ2457" s="1"/>
      <c r="FR2457" s="1"/>
      <c r="FS2457" s="1"/>
      <c r="FT2457" s="1"/>
      <c r="FU2457" s="1"/>
      <c r="FV2457" s="1"/>
      <c r="FW2457" s="1"/>
      <c r="FX2457" s="1"/>
      <c r="FY2457" s="1"/>
      <c r="FZ2457" s="1"/>
      <c r="GA2457" s="1"/>
      <c r="GB2457" s="1"/>
      <c r="GC2457" s="1"/>
      <c r="GD2457" s="1"/>
      <c r="GE2457" s="1"/>
      <c r="GF2457" s="1"/>
      <c r="GG2457" s="1"/>
      <c r="GH2457" s="1"/>
      <c r="GI2457" s="1"/>
      <c r="GJ2457" s="1"/>
      <c r="GK2457" s="1"/>
      <c r="GL2457" s="1"/>
      <c r="GM2457" s="1"/>
      <c r="GN2457" s="1"/>
      <c r="GO2457" s="1"/>
      <c r="GP2457" s="1"/>
      <c r="GQ2457" s="1"/>
      <c r="GR2457" s="1"/>
      <c r="GS2457" s="1"/>
      <c r="GT2457" s="1"/>
      <c r="GU2457" s="1"/>
      <c r="GV2457" s="1"/>
      <c r="GW2457" s="1"/>
      <c r="GX2457" s="1"/>
      <c r="GY2457" s="1"/>
      <c r="GZ2457" s="1"/>
      <c r="HA2457" s="1"/>
      <c r="HB2457" s="1"/>
      <c r="HC2457" s="1"/>
      <c r="HD2457" s="1"/>
      <c r="HE2457" s="1"/>
      <c r="HF2457" s="1"/>
      <c r="HG2457" s="1"/>
      <c r="HH2457" s="1"/>
      <c r="HI2457" s="1"/>
      <c r="HJ2457" s="1"/>
      <c r="HK2457" s="1"/>
      <c r="HL2457" s="1"/>
      <c r="HM2457" s="1"/>
      <c r="HN2457" s="1"/>
      <c r="HO2457" s="1"/>
      <c r="HP2457" s="1"/>
      <c r="HQ2457" s="1"/>
    </row>
    <row r="2458" spans="1:225" ht="15.75" customHeight="1" x14ac:dyDescent="0.35">
      <c r="A2458" s="256">
        <f>A2455+1</f>
        <v>8</v>
      </c>
      <c r="B2458" s="256">
        <v>5423</v>
      </c>
      <c r="C2458" s="259" t="s">
        <v>628</v>
      </c>
      <c r="D2458" s="262">
        <v>2954.3</v>
      </c>
      <c r="E2458" s="262" t="s">
        <v>75</v>
      </c>
      <c r="F2458" s="265">
        <v>5</v>
      </c>
      <c r="G2458" s="256" t="s">
        <v>72</v>
      </c>
      <c r="H2458" s="159" t="s">
        <v>73</v>
      </c>
      <c r="I2458" s="158">
        <f>I2459</f>
        <v>493368.1</v>
      </c>
      <c r="J2458" s="158">
        <f>J2459</f>
        <v>167</v>
      </c>
      <c r="K2458" s="158">
        <f>K2459</f>
        <v>167</v>
      </c>
      <c r="L2458" s="8"/>
      <c r="M2458" s="8"/>
      <c r="N2458" s="8"/>
      <c r="O2458" s="8"/>
      <c r="P2458" s="8"/>
      <c r="Q2458" s="8"/>
      <c r="R2458" s="8"/>
      <c r="S2458" s="8"/>
      <c r="T2458" s="8"/>
      <c r="U2458" s="29"/>
      <c r="V2458" s="29"/>
      <c r="W2458" s="29"/>
      <c r="X2458" s="29"/>
      <c r="Y2458" s="29"/>
      <c r="Z2458" s="29"/>
      <c r="AA2458" s="29"/>
      <c r="AB2458" s="29"/>
      <c r="AC2458" s="29"/>
      <c r="AD2458" s="29"/>
      <c r="AE2458" s="29"/>
      <c r="AF2458" s="29"/>
      <c r="AG2458" s="29"/>
      <c r="AH2458" s="29"/>
      <c r="AI2458" s="29"/>
      <c r="AJ2458" s="29"/>
      <c r="AK2458" s="29"/>
      <c r="AL2458" s="29"/>
      <c r="AM2458" s="29"/>
      <c r="AN2458" s="29"/>
      <c r="AO2458" s="29"/>
      <c r="AP2458" s="29"/>
      <c r="AQ2458" s="29"/>
      <c r="AR2458" s="29"/>
      <c r="AS2458" s="29"/>
      <c r="AT2458" s="29"/>
      <c r="AU2458" s="29"/>
      <c r="AV2458" s="29"/>
      <c r="AW2458" s="29"/>
      <c r="AX2458" s="29"/>
      <c r="AY2458" s="29"/>
      <c r="AZ2458" s="29"/>
      <c r="BA2458" s="29"/>
      <c r="BB2458" s="29"/>
      <c r="BC2458" s="29"/>
      <c r="BD2458" s="29"/>
      <c r="BE2458" s="29"/>
      <c r="BF2458" s="29"/>
      <c r="BG2458" s="29"/>
      <c r="BH2458" s="29"/>
      <c r="BI2458" s="29"/>
      <c r="BJ2458" s="29"/>
      <c r="BK2458" s="29"/>
      <c r="BL2458" s="29"/>
      <c r="BM2458" s="29"/>
      <c r="BN2458" s="29"/>
      <c r="BO2458" s="29"/>
      <c r="BP2458" s="29"/>
      <c r="BQ2458" s="29"/>
      <c r="BR2458" s="29"/>
      <c r="BS2458" s="29"/>
      <c r="BT2458" s="29"/>
      <c r="BU2458" s="29"/>
      <c r="BV2458" s="29"/>
      <c r="BW2458" s="29"/>
      <c r="BX2458" s="29"/>
      <c r="BY2458" s="29"/>
      <c r="BZ2458" s="29"/>
      <c r="CA2458" s="29"/>
      <c r="CB2458" s="29"/>
      <c r="CC2458" s="29"/>
      <c r="CD2458" s="29"/>
      <c r="CE2458" s="29"/>
      <c r="CF2458" s="29"/>
      <c r="CG2458" s="29"/>
      <c r="CH2458" s="29"/>
      <c r="CI2458" s="29"/>
      <c r="CJ2458" s="29"/>
      <c r="CK2458" s="29"/>
      <c r="CL2458" s="29"/>
      <c r="CM2458" s="29"/>
      <c r="CN2458" s="29"/>
      <c r="CO2458" s="29"/>
      <c r="CP2458" s="29"/>
      <c r="CQ2458" s="29"/>
      <c r="CR2458" s="29"/>
      <c r="CS2458" s="29"/>
      <c r="CT2458" s="29"/>
      <c r="CU2458" s="29"/>
      <c r="CV2458" s="29"/>
      <c r="CW2458" s="29"/>
      <c r="CX2458" s="29"/>
      <c r="CY2458" s="29"/>
      <c r="CZ2458" s="29"/>
      <c r="DA2458" s="29"/>
      <c r="DB2458" s="29"/>
      <c r="DC2458" s="29"/>
      <c r="DD2458" s="29"/>
      <c r="DE2458" s="29"/>
      <c r="DF2458" s="29"/>
      <c r="DG2458" s="29"/>
      <c r="DH2458" s="29"/>
      <c r="DI2458" s="29"/>
      <c r="DJ2458" s="29"/>
      <c r="DK2458" s="29"/>
      <c r="DL2458" s="29"/>
      <c r="DM2458" s="29"/>
      <c r="DN2458" s="29"/>
      <c r="DO2458" s="29"/>
      <c r="DP2458" s="29"/>
      <c r="DQ2458" s="29"/>
      <c r="DR2458" s="29"/>
      <c r="DS2458" s="29"/>
      <c r="DT2458" s="29"/>
      <c r="DU2458" s="29"/>
      <c r="DV2458" s="29"/>
      <c r="DW2458" s="29"/>
      <c r="DX2458" s="29"/>
      <c r="DY2458" s="29"/>
      <c r="DZ2458" s="29"/>
      <c r="EA2458" s="29"/>
      <c r="EB2458" s="29"/>
      <c r="EC2458" s="29"/>
      <c r="ED2458" s="29"/>
      <c r="EE2458" s="29"/>
      <c r="EF2458" s="29"/>
      <c r="EG2458" s="29"/>
      <c r="EH2458" s="29"/>
      <c r="EI2458" s="29"/>
      <c r="EJ2458" s="29"/>
      <c r="EK2458" s="29"/>
      <c r="EL2458" s="29"/>
      <c r="EM2458" s="29"/>
      <c r="EN2458" s="29"/>
      <c r="EO2458" s="29"/>
      <c r="EP2458" s="29"/>
      <c r="EQ2458" s="29"/>
      <c r="ER2458" s="29"/>
      <c r="ES2458" s="29"/>
      <c r="ET2458" s="29"/>
      <c r="EU2458" s="29"/>
      <c r="EV2458" s="29"/>
      <c r="EW2458" s="29"/>
      <c r="EX2458" s="29"/>
      <c r="EY2458" s="29"/>
      <c r="EZ2458" s="29"/>
      <c r="FA2458" s="29"/>
      <c r="FB2458" s="29"/>
      <c r="FC2458" s="29"/>
      <c r="FD2458" s="29"/>
      <c r="FE2458" s="29"/>
      <c r="FF2458" s="29"/>
      <c r="FG2458" s="29"/>
      <c r="FH2458" s="29"/>
      <c r="FI2458" s="29"/>
      <c r="FJ2458" s="29"/>
      <c r="FK2458" s="29"/>
      <c r="FL2458" s="29"/>
      <c r="FM2458" s="29"/>
      <c r="FN2458" s="29"/>
      <c r="FO2458" s="29"/>
      <c r="FP2458" s="29"/>
      <c r="FQ2458" s="29"/>
      <c r="FR2458" s="29"/>
      <c r="FS2458" s="29"/>
      <c r="FT2458" s="29"/>
      <c r="FU2458" s="29"/>
      <c r="FV2458" s="29"/>
      <c r="FW2458" s="29"/>
      <c r="FX2458" s="29"/>
      <c r="FY2458" s="29"/>
      <c r="FZ2458" s="29"/>
      <c r="GA2458" s="29"/>
      <c r="GB2458" s="29"/>
      <c r="GC2458" s="29"/>
      <c r="GD2458" s="29"/>
      <c r="GE2458" s="29"/>
      <c r="GF2458" s="29"/>
      <c r="GG2458" s="29"/>
      <c r="GH2458" s="29"/>
      <c r="GI2458" s="29"/>
      <c r="GJ2458" s="29"/>
      <c r="GK2458" s="29"/>
      <c r="GL2458" s="29"/>
      <c r="GM2458" s="29"/>
      <c r="GN2458" s="29"/>
      <c r="GO2458" s="29"/>
      <c r="GP2458" s="29"/>
      <c r="GQ2458" s="29"/>
      <c r="GR2458" s="29"/>
      <c r="GS2458" s="29"/>
      <c r="GT2458" s="29"/>
      <c r="GU2458" s="29"/>
      <c r="GV2458" s="29"/>
      <c r="GW2458" s="29"/>
      <c r="GX2458" s="29"/>
      <c r="GY2458" s="29"/>
      <c r="GZ2458" s="29"/>
      <c r="HA2458" s="29"/>
      <c r="HB2458" s="29"/>
      <c r="HC2458" s="29"/>
      <c r="HD2458" s="29"/>
      <c r="HE2458" s="29"/>
      <c r="HF2458" s="29"/>
      <c r="HG2458" s="29"/>
      <c r="HH2458" s="29"/>
      <c r="HI2458" s="29"/>
      <c r="HJ2458" s="29"/>
      <c r="HK2458" s="29"/>
      <c r="HL2458" s="29"/>
      <c r="HM2458" s="29"/>
      <c r="HN2458" s="29"/>
      <c r="HO2458" s="29"/>
      <c r="HP2458" s="29"/>
      <c r="HQ2458" s="29"/>
    </row>
    <row r="2459" spans="1:225" ht="46.5" x14ac:dyDescent="0.35">
      <c r="A2459" s="257">
        <v>1130</v>
      </c>
      <c r="B2459" s="258"/>
      <c r="C2459" s="260"/>
      <c r="D2459" s="263"/>
      <c r="E2459" s="263"/>
      <c r="F2459" s="266"/>
      <c r="G2459" s="257"/>
      <c r="H2459" s="159" t="s">
        <v>705</v>
      </c>
      <c r="I2459" s="158">
        <f>K2459*D2458</f>
        <v>493368.1</v>
      </c>
      <c r="J2459" s="158">
        <f>I2459/D2458</f>
        <v>167</v>
      </c>
      <c r="K2459" s="158">
        <f>154+13</f>
        <v>167</v>
      </c>
      <c r="L2459" s="8"/>
      <c r="M2459" s="8"/>
      <c r="N2459" s="8"/>
      <c r="O2459" s="8"/>
      <c r="P2459" s="8"/>
      <c r="Q2459" s="8"/>
      <c r="R2459" s="8"/>
      <c r="S2459" s="8"/>
      <c r="T2459" s="8"/>
      <c r="U2459" s="29"/>
      <c r="V2459" s="29"/>
      <c r="W2459" s="29"/>
      <c r="X2459" s="29"/>
      <c r="Y2459" s="29"/>
      <c r="Z2459" s="29"/>
      <c r="AA2459" s="29"/>
      <c r="AB2459" s="29"/>
      <c r="AC2459" s="29"/>
      <c r="AD2459" s="29"/>
      <c r="AE2459" s="29"/>
      <c r="AF2459" s="29"/>
      <c r="AG2459" s="29"/>
      <c r="AH2459" s="29"/>
      <c r="AI2459" s="29"/>
      <c r="AJ2459" s="29"/>
      <c r="AK2459" s="29"/>
      <c r="AL2459" s="29"/>
      <c r="AM2459" s="29"/>
      <c r="AN2459" s="29"/>
      <c r="AO2459" s="29"/>
      <c r="AP2459" s="29"/>
      <c r="AQ2459" s="29"/>
      <c r="AR2459" s="29"/>
      <c r="AS2459" s="29"/>
      <c r="AT2459" s="29"/>
      <c r="AU2459" s="29"/>
      <c r="AV2459" s="29"/>
      <c r="AW2459" s="29"/>
      <c r="AX2459" s="29"/>
      <c r="AY2459" s="29"/>
      <c r="AZ2459" s="29"/>
      <c r="BA2459" s="29"/>
      <c r="BB2459" s="29"/>
      <c r="BC2459" s="29"/>
      <c r="BD2459" s="29"/>
      <c r="BE2459" s="29"/>
      <c r="BF2459" s="29"/>
      <c r="BG2459" s="29"/>
      <c r="BH2459" s="29"/>
      <c r="BI2459" s="29"/>
      <c r="BJ2459" s="29"/>
      <c r="BK2459" s="29"/>
      <c r="BL2459" s="29"/>
      <c r="BM2459" s="29"/>
      <c r="BN2459" s="29"/>
      <c r="BO2459" s="29"/>
      <c r="BP2459" s="29"/>
      <c r="BQ2459" s="29"/>
      <c r="BR2459" s="29"/>
      <c r="BS2459" s="29"/>
      <c r="BT2459" s="29"/>
      <c r="BU2459" s="29"/>
      <c r="BV2459" s="29"/>
      <c r="BW2459" s="29"/>
      <c r="BX2459" s="29"/>
      <c r="BY2459" s="29"/>
      <c r="BZ2459" s="29"/>
      <c r="CA2459" s="29"/>
      <c r="CB2459" s="29"/>
      <c r="CC2459" s="29"/>
      <c r="CD2459" s="29"/>
      <c r="CE2459" s="29"/>
      <c r="CF2459" s="29"/>
      <c r="CG2459" s="29"/>
      <c r="CH2459" s="29"/>
      <c r="CI2459" s="29"/>
      <c r="CJ2459" s="29"/>
      <c r="CK2459" s="29"/>
      <c r="CL2459" s="29"/>
      <c r="CM2459" s="29"/>
      <c r="CN2459" s="29"/>
      <c r="CO2459" s="29"/>
      <c r="CP2459" s="29"/>
      <c r="CQ2459" s="29"/>
      <c r="CR2459" s="29"/>
      <c r="CS2459" s="29"/>
      <c r="CT2459" s="29"/>
      <c r="CU2459" s="29"/>
      <c r="CV2459" s="29"/>
      <c r="CW2459" s="29"/>
      <c r="CX2459" s="29"/>
      <c r="CY2459" s="29"/>
      <c r="CZ2459" s="29"/>
      <c r="DA2459" s="29"/>
      <c r="DB2459" s="29"/>
      <c r="DC2459" s="29"/>
      <c r="DD2459" s="29"/>
      <c r="DE2459" s="29"/>
      <c r="DF2459" s="29"/>
      <c r="DG2459" s="29"/>
      <c r="DH2459" s="29"/>
      <c r="DI2459" s="29"/>
      <c r="DJ2459" s="29"/>
      <c r="DK2459" s="29"/>
      <c r="DL2459" s="29"/>
      <c r="DM2459" s="29"/>
      <c r="DN2459" s="29"/>
      <c r="DO2459" s="29"/>
      <c r="DP2459" s="29"/>
      <c r="DQ2459" s="29"/>
      <c r="DR2459" s="29"/>
      <c r="DS2459" s="29"/>
      <c r="DT2459" s="29"/>
      <c r="DU2459" s="29"/>
      <c r="DV2459" s="29"/>
      <c r="DW2459" s="29"/>
      <c r="DX2459" s="29"/>
      <c r="DY2459" s="29"/>
      <c r="DZ2459" s="29"/>
      <c r="EA2459" s="29"/>
      <c r="EB2459" s="29"/>
      <c r="EC2459" s="29"/>
      <c r="ED2459" s="29"/>
      <c r="EE2459" s="29"/>
      <c r="EF2459" s="29"/>
      <c r="EG2459" s="29"/>
      <c r="EH2459" s="29"/>
      <c r="EI2459" s="29"/>
      <c r="EJ2459" s="29"/>
      <c r="EK2459" s="29"/>
      <c r="EL2459" s="29"/>
      <c r="EM2459" s="29"/>
      <c r="EN2459" s="29"/>
      <c r="EO2459" s="29"/>
      <c r="EP2459" s="29"/>
      <c r="EQ2459" s="29"/>
      <c r="ER2459" s="29"/>
      <c r="ES2459" s="29"/>
      <c r="ET2459" s="29"/>
      <c r="EU2459" s="29"/>
      <c r="EV2459" s="29"/>
      <c r="EW2459" s="29"/>
      <c r="EX2459" s="29"/>
      <c r="EY2459" s="29"/>
      <c r="EZ2459" s="29"/>
      <c r="FA2459" s="29"/>
      <c r="FB2459" s="29"/>
      <c r="FC2459" s="29"/>
      <c r="FD2459" s="29"/>
      <c r="FE2459" s="29"/>
      <c r="FF2459" s="29"/>
      <c r="FG2459" s="29"/>
      <c r="FH2459" s="29"/>
      <c r="FI2459" s="29"/>
      <c r="FJ2459" s="29"/>
      <c r="FK2459" s="29"/>
      <c r="FL2459" s="29"/>
      <c r="FM2459" s="29"/>
      <c r="FN2459" s="29"/>
      <c r="FO2459" s="29"/>
      <c r="FP2459" s="29"/>
      <c r="FQ2459" s="29"/>
      <c r="FR2459" s="29"/>
      <c r="FS2459" s="29"/>
      <c r="FT2459" s="29"/>
      <c r="FU2459" s="29"/>
      <c r="FV2459" s="29"/>
      <c r="FW2459" s="29"/>
      <c r="FX2459" s="29"/>
      <c r="FY2459" s="29"/>
      <c r="FZ2459" s="29"/>
      <c r="GA2459" s="29"/>
      <c r="GB2459" s="29"/>
      <c r="GC2459" s="29"/>
      <c r="GD2459" s="29"/>
      <c r="GE2459" s="29"/>
      <c r="GF2459" s="29"/>
      <c r="GG2459" s="29"/>
      <c r="GH2459" s="29"/>
      <c r="GI2459" s="29"/>
      <c r="GJ2459" s="29"/>
      <c r="GK2459" s="29"/>
      <c r="GL2459" s="29"/>
      <c r="GM2459" s="29"/>
      <c r="GN2459" s="29"/>
      <c r="GO2459" s="29"/>
      <c r="GP2459" s="29"/>
      <c r="GQ2459" s="29"/>
      <c r="GR2459" s="29"/>
      <c r="GS2459" s="29"/>
      <c r="GT2459" s="29"/>
      <c r="GU2459" s="29"/>
      <c r="GV2459" s="29"/>
      <c r="GW2459" s="29"/>
      <c r="GX2459" s="29"/>
      <c r="GY2459" s="29"/>
      <c r="GZ2459" s="29"/>
      <c r="HA2459" s="29"/>
      <c r="HB2459" s="29"/>
      <c r="HC2459" s="29"/>
      <c r="HD2459" s="29"/>
      <c r="HE2459" s="29"/>
      <c r="HF2459" s="29"/>
      <c r="HG2459" s="29"/>
      <c r="HH2459" s="29"/>
      <c r="HI2459" s="29"/>
      <c r="HJ2459" s="29"/>
      <c r="HK2459" s="29"/>
      <c r="HL2459" s="29"/>
      <c r="HM2459" s="29"/>
      <c r="HN2459" s="29"/>
      <c r="HO2459" s="29"/>
      <c r="HP2459" s="29"/>
      <c r="HQ2459" s="29"/>
    </row>
    <row r="2460" spans="1:225" ht="15.75" customHeight="1" x14ac:dyDescent="0.35">
      <c r="A2460" s="256">
        <f>A2458+1</f>
        <v>9</v>
      </c>
      <c r="B2460" s="256">
        <v>5603</v>
      </c>
      <c r="C2460" s="259" t="s">
        <v>728</v>
      </c>
      <c r="D2460" s="262">
        <v>219.1</v>
      </c>
      <c r="E2460" s="262" t="s">
        <v>665</v>
      </c>
      <c r="F2460" s="265">
        <v>2</v>
      </c>
      <c r="G2460" s="256" t="s">
        <v>82</v>
      </c>
      <c r="H2460" s="159" t="s">
        <v>73</v>
      </c>
      <c r="I2460" s="158">
        <f>I2461+I2462</f>
        <v>859572.55</v>
      </c>
      <c r="J2460" s="158">
        <f>J2461+J2462</f>
        <v>3923.2</v>
      </c>
      <c r="K2460" s="158">
        <f>K2461+K2462</f>
        <v>5813</v>
      </c>
      <c r="L2460" s="1"/>
      <c r="M2460" s="1"/>
      <c r="N2460" s="1"/>
      <c r="O2460" s="1"/>
      <c r="P2460" s="1"/>
      <c r="Q2460" s="1"/>
      <c r="R2460" s="1"/>
      <c r="S2460" s="1"/>
      <c r="T2460" s="1"/>
      <c r="U2460" s="1"/>
      <c r="V2460" s="1"/>
      <c r="W2460" s="1"/>
      <c r="X2460" s="1"/>
      <c r="Y2460" s="1"/>
      <c r="Z2460" s="1"/>
      <c r="AA2460" s="1"/>
      <c r="AB2460" s="1"/>
      <c r="AC2460" s="1"/>
      <c r="AD2460" s="1"/>
      <c r="AE2460" s="1"/>
      <c r="AF2460" s="1"/>
      <c r="AG2460" s="1"/>
      <c r="AH2460" s="1"/>
      <c r="AI2460" s="1"/>
      <c r="AJ2460" s="1"/>
      <c r="AK2460" s="1"/>
      <c r="AL2460" s="1"/>
      <c r="AM2460" s="1"/>
      <c r="AN2460" s="1"/>
      <c r="AO2460" s="1"/>
      <c r="AP2460" s="1"/>
      <c r="AQ2460" s="1"/>
      <c r="AR2460" s="1"/>
      <c r="AS2460" s="1"/>
      <c r="AT2460" s="1"/>
      <c r="AU2460" s="1"/>
      <c r="AV2460" s="1"/>
      <c r="AW2460" s="1"/>
      <c r="AX2460" s="1"/>
      <c r="AY2460" s="1"/>
      <c r="AZ2460" s="1"/>
      <c r="BA2460" s="1"/>
      <c r="BB2460" s="1"/>
      <c r="BC2460" s="1"/>
      <c r="BD2460" s="1"/>
      <c r="BE2460" s="1"/>
      <c r="BF2460" s="1"/>
      <c r="BG2460" s="1"/>
      <c r="BH2460" s="1"/>
      <c r="BI2460" s="1"/>
      <c r="BJ2460" s="1"/>
      <c r="BK2460" s="1"/>
      <c r="BL2460" s="1"/>
      <c r="BM2460" s="1"/>
      <c r="BN2460" s="1"/>
      <c r="BO2460" s="1"/>
      <c r="BP2460" s="1"/>
      <c r="BQ2460" s="1"/>
      <c r="BR2460" s="1"/>
      <c r="BS2460" s="1"/>
      <c r="BT2460" s="1"/>
      <c r="BU2460" s="1"/>
      <c r="BV2460" s="1"/>
      <c r="BW2460" s="1"/>
      <c r="BX2460" s="1"/>
      <c r="BY2460" s="1"/>
      <c r="BZ2460" s="1"/>
      <c r="CA2460" s="1"/>
      <c r="CB2460" s="1"/>
      <c r="CC2460" s="1"/>
      <c r="CD2460" s="1"/>
      <c r="CE2460" s="1"/>
      <c r="CF2460" s="1"/>
      <c r="CG2460" s="1"/>
      <c r="CH2460" s="1"/>
      <c r="CI2460" s="1"/>
      <c r="CJ2460" s="1"/>
      <c r="CK2460" s="1"/>
      <c r="CL2460" s="1"/>
      <c r="CM2460" s="1"/>
      <c r="CN2460" s="1"/>
      <c r="CO2460" s="1"/>
      <c r="CP2460" s="1"/>
      <c r="CQ2460" s="1"/>
      <c r="CR2460" s="1"/>
      <c r="CS2460" s="1"/>
      <c r="CT2460" s="1"/>
      <c r="CU2460" s="1"/>
      <c r="CV2460" s="1"/>
      <c r="CW2460" s="1"/>
      <c r="CX2460" s="1"/>
      <c r="CY2460" s="1"/>
      <c r="CZ2460" s="1"/>
      <c r="DA2460" s="1"/>
      <c r="DB2460" s="1"/>
      <c r="DC2460" s="1"/>
      <c r="DD2460" s="1"/>
      <c r="DE2460" s="1"/>
      <c r="DF2460" s="1"/>
      <c r="DG2460" s="1"/>
      <c r="DH2460" s="1"/>
      <c r="DI2460" s="1"/>
      <c r="DJ2460" s="1"/>
      <c r="DK2460" s="1"/>
      <c r="DL2460" s="1"/>
      <c r="DM2460" s="1"/>
      <c r="DN2460" s="1"/>
      <c r="DO2460" s="1"/>
      <c r="DP2460" s="1"/>
      <c r="DQ2460" s="1"/>
      <c r="DR2460" s="1"/>
      <c r="DS2460" s="1"/>
      <c r="DT2460" s="1"/>
      <c r="DU2460" s="1"/>
      <c r="DV2460" s="1"/>
      <c r="DW2460" s="1"/>
      <c r="DX2460" s="1"/>
      <c r="DY2460" s="1"/>
      <c r="DZ2460" s="1"/>
      <c r="EA2460" s="1"/>
      <c r="EB2460" s="1"/>
      <c r="EC2460" s="1"/>
      <c r="ED2460" s="1"/>
      <c r="EE2460" s="1"/>
      <c r="EF2460" s="1"/>
      <c r="EG2460" s="1"/>
      <c r="EH2460" s="1"/>
      <c r="EI2460" s="1"/>
      <c r="EJ2460" s="1"/>
      <c r="EK2460" s="1"/>
      <c r="EL2460" s="1"/>
      <c r="EM2460" s="1"/>
      <c r="EN2460" s="1"/>
      <c r="EO2460" s="1"/>
      <c r="EP2460" s="1"/>
      <c r="EQ2460" s="1"/>
      <c r="ER2460" s="1"/>
      <c r="ES2460" s="1"/>
      <c r="ET2460" s="1"/>
      <c r="EU2460" s="1"/>
      <c r="EV2460" s="1"/>
      <c r="EW2460" s="1"/>
      <c r="EX2460" s="1"/>
      <c r="EY2460" s="1"/>
      <c r="EZ2460" s="1"/>
      <c r="FA2460" s="1"/>
      <c r="FB2460" s="1"/>
      <c r="FC2460" s="1"/>
      <c r="FD2460" s="1"/>
      <c r="FE2460" s="1"/>
      <c r="FF2460" s="1"/>
      <c r="FG2460" s="1"/>
      <c r="FH2460" s="1"/>
      <c r="FI2460" s="1"/>
      <c r="FJ2460" s="1"/>
      <c r="FK2460" s="1"/>
      <c r="FL2460" s="1"/>
      <c r="FM2460" s="1"/>
      <c r="FN2460" s="1"/>
      <c r="FO2460" s="1"/>
      <c r="FP2460" s="1"/>
      <c r="FQ2460" s="1"/>
      <c r="FR2460" s="1"/>
      <c r="FS2460" s="1"/>
      <c r="FT2460" s="1"/>
      <c r="FU2460" s="1"/>
      <c r="FV2460" s="1"/>
      <c r="FW2460" s="1"/>
      <c r="FX2460" s="1"/>
      <c r="FY2460" s="1"/>
      <c r="FZ2460" s="1"/>
      <c r="GA2460" s="1"/>
      <c r="GB2460" s="1"/>
      <c r="GC2460" s="1"/>
      <c r="GD2460" s="1"/>
      <c r="GE2460" s="1"/>
      <c r="GF2460" s="1"/>
      <c r="GG2460" s="1"/>
      <c r="GH2460" s="1"/>
      <c r="GI2460" s="1"/>
      <c r="GJ2460" s="1"/>
      <c r="GK2460" s="1"/>
      <c r="GL2460" s="1"/>
      <c r="GM2460" s="1"/>
      <c r="GN2460" s="1"/>
      <c r="GO2460" s="1"/>
      <c r="GP2460" s="1"/>
      <c r="GQ2460" s="1"/>
      <c r="GR2460" s="1"/>
      <c r="GS2460" s="1"/>
      <c r="GT2460" s="1"/>
      <c r="GU2460" s="1"/>
      <c r="GV2460" s="1"/>
      <c r="GW2460" s="1"/>
      <c r="GX2460" s="1"/>
      <c r="GY2460" s="1"/>
      <c r="GZ2460" s="1"/>
      <c r="HA2460" s="1"/>
      <c r="HB2460" s="1"/>
      <c r="HC2460" s="1"/>
      <c r="HD2460" s="1"/>
      <c r="HE2460" s="1"/>
      <c r="HF2460" s="1"/>
      <c r="HG2460" s="1"/>
      <c r="HH2460" s="1"/>
      <c r="HI2460" s="1"/>
      <c r="HJ2460" s="1"/>
      <c r="HK2460" s="1"/>
      <c r="HL2460" s="1"/>
      <c r="HM2460" s="1"/>
      <c r="HN2460" s="1"/>
      <c r="HO2460" s="1"/>
      <c r="HP2460" s="1"/>
      <c r="HQ2460" s="1"/>
    </row>
    <row r="2461" spans="1:225" x14ac:dyDescent="0.35">
      <c r="A2461" s="257"/>
      <c r="B2461" s="257"/>
      <c r="C2461" s="260"/>
      <c r="D2461" s="263"/>
      <c r="E2461" s="263"/>
      <c r="F2461" s="266"/>
      <c r="G2461" s="257"/>
      <c r="H2461" s="159" t="s">
        <v>74</v>
      </c>
      <c r="I2461" s="158">
        <v>841563.1</v>
      </c>
      <c r="J2461" s="158">
        <f>I2461/D2460</f>
        <v>3841</v>
      </c>
      <c r="K2461" s="158">
        <v>5691</v>
      </c>
      <c r="L2461" s="1"/>
      <c r="M2461" s="1"/>
      <c r="N2461" s="1"/>
      <c r="O2461" s="1"/>
      <c r="P2461" s="1"/>
      <c r="Q2461" s="1"/>
      <c r="R2461" s="1"/>
      <c r="S2461" s="1"/>
      <c r="T2461" s="1"/>
      <c r="U2461" s="1"/>
      <c r="V2461" s="1"/>
      <c r="W2461" s="1"/>
      <c r="X2461" s="1"/>
      <c r="Y2461" s="1"/>
      <c r="Z2461" s="1"/>
      <c r="AA2461" s="1"/>
      <c r="AB2461" s="1"/>
      <c r="AC2461" s="1"/>
      <c r="AD2461" s="1"/>
      <c r="AE2461" s="1"/>
      <c r="AF2461" s="1"/>
      <c r="AG2461" s="1"/>
      <c r="AH2461" s="1"/>
      <c r="AI2461" s="1"/>
      <c r="AJ2461" s="1"/>
      <c r="AK2461" s="1"/>
      <c r="AL2461" s="1"/>
      <c r="AM2461" s="1"/>
      <c r="AN2461" s="1"/>
      <c r="AO2461" s="1"/>
      <c r="AP2461" s="1"/>
      <c r="AQ2461" s="1"/>
      <c r="AR2461" s="1"/>
      <c r="AS2461" s="1"/>
      <c r="AT2461" s="1"/>
      <c r="AU2461" s="1"/>
      <c r="AV2461" s="1"/>
      <c r="AW2461" s="1"/>
      <c r="AX2461" s="1"/>
      <c r="AY2461" s="1"/>
      <c r="AZ2461" s="1"/>
      <c r="BA2461" s="1"/>
      <c r="BB2461" s="1"/>
      <c r="BC2461" s="1"/>
      <c r="BD2461" s="1"/>
      <c r="BE2461" s="1"/>
      <c r="BF2461" s="1"/>
      <c r="BG2461" s="1"/>
      <c r="BH2461" s="1"/>
      <c r="BI2461" s="1"/>
      <c r="BJ2461" s="1"/>
      <c r="BK2461" s="1"/>
      <c r="BL2461" s="1"/>
      <c r="BM2461" s="1"/>
      <c r="BN2461" s="1"/>
      <c r="BO2461" s="1"/>
      <c r="BP2461" s="1"/>
      <c r="BQ2461" s="1"/>
      <c r="BR2461" s="1"/>
      <c r="BS2461" s="1"/>
      <c r="BT2461" s="1"/>
      <c r="BU2461" s="1"/>
      <c r="BV2461" s="1"/>
      <c r="BW2461" s="1"/>
      <c r="BX2461" s="1"/>
      <c r="BY2461" s="1"/>
      <c r="BZ2461" s="1"/>
      <c r="CA2461" s="1"/>
      <c r="CB2461" s="1"/>
      <c r="CC2461" s="1"/>
      <c r="CD2461" s="1"/>
      <c r="CE2461" s="1"/>
      <c r="CF2461" s="1"/>
      <c r="CG2461" s="1"/>
      <c r="CH2461" s="1"/>
      <c r="CI2461" s="1"/>
      <c r="CJ2461" s="1"/>
      <c r="CK2461" s="1"/>
      <c r="CL2461" s="1"/>
      <c r="CM2461" s="1"/>
      <c r="CN2461" s="1"/>
      <c r="CO2461" s="1"/>
      <c r="CP2461" s="1"/>
      <c r="CQ2461" s="1"/>
      <c r="CR2461" s="1"/>
      <c r="CS2461" s="1"/>
      <c r="CT2461" s="1"/>
      <c r="CU2461" s="1"/>
      <c r="CV2461" s="1"/>
      <c r="CW2461" s="1"/>
      <c r="CX2461" s="1"/>
      <c r="CY2461" s="1"/>
      <c r="CZ2461" s="1"/>
      <c r="DA2461" s="1"/>
      <c r="DB2461" s="1"/>
      <c r="DC2461" s="1"/>
      <c r="DD2461" s="1"/>
      <c r="DE2461" s="1"/>
      <c r="DF2461" s="1"/>
      <c r="DG2461" s="1"/>
      <c r="DH2461" s="1"/>
      <c r="DI2461" s="1"/>
      <c r="DJ2461" s="1"/>
      <c r="DK2461" s="1"/>
      <c r="DL2461" s="1"/>
      <c r="DM2461" s="1"/>
      <c r="DN2461" s="1"/>
      <c r="DO2461" s="1"/>
      <c r="DP2461" s="1"/>
      <c r="DQ2461" s="1"/>
      <c r="DR2461" s="1"/>
      <c r="DS2461" s="1"/>
      <c r="DT2461" s="1"/>
      <c r="DU2461" s="1"/>
      <c r="DV2461" s="1"/>
      <c r="DW2461" s="1"/>
      <c r="DX2461" s="1"/>
      <c r="DY2461" s="1"/>
      <c r="DZ2461" s="1"/>
      <c r="EA2461" s="1"/>
      <c r="EB2461" s="1"/>
      <c r="EC2461" s="1"/>
      <c r="ED2461" s="1"/>
      <c r="EE2461" s="1"/>
      <c r="EF2461" s="1"/>
      <c r="EG2461" s="1"/>
      <c r="EH2461" s="1"/>
      <c r="EI2461" s="1"/>
      <c r="EJ2461" s="1"/>
      <c r="EK2461" s="1"/>
      <c r="EL2461" s="1"/>
      <c r="EM2461" s="1"/>
      <c r="EN2461" s="1"/>
      <c r="EO2461" s="1"/>
      <c r="EP2461" s="1"/>
      <c r="EQ2461" s="1"/>
      <c r="ER2461" s="1"/>
      <c r="ES2461" s="1"/>
      <c r="ET2461" s="1"/>
      <c r="EU2461" s="1"/>
      <c r="EV2461" s="1"/>
      <c r="EW2461" s="1"/>
      <c r="EX2461" s="1"/>
      <c r="EY2461" s="1"/>
      <c r="EZ2461" s="1"/>
      <c r="FA2461" s="1"/>
      <c r="FB2461" s="1"/>
      <c r="FC2461" s="1"/>
      <c r="FD2461" s="1"/>
      <c r="FE2461" s="1"/>
      <c r="FF2461" s="1"/>
      <c r="FG2461" s="1"/>
      <c r="FH2461" s="1"/>
      <c r="FI2461" s="1"/>
      <c r="FJ2461" s="1"/>
      <c r="FK2461" s="1"/>
      <c r="FL2461" s="1"/>
      <c r="FM2461" s="1"/>
      <c r="FN2461" s="1"/>
      <c r="FO2461" s="1"/>
      <c r="FP2461" s="1"/>
      <c r="FQ2461" s="1"/>
      <c r="FR2461" s="1"/>
      <c r="FS2461" s="1"/>
      <c r="FT2461" s="1"/>
      <c r="FU2461" s="1"/>
      <c r="FV2461" s="1"/>
      <c r="FW2461" s="1"/>
      <c r="FX2461" s="1"/>
      <c r="FY2461" s="1"/>
      <c r="FZ2461" s="1"/>
      <c r="GA2461" s="1"/>
      <c r="GB2461" s="1"/>
      <c r="GC2461" s="1"/>
      <c r="GD2461" s="1"/>
      <c r="GE2461" s="1"/>
      <c r="GF2461" s="1"/>
      <c r="GG2461" s="1"/>
      <c r="GH2461" s="1"/>
      <c r="GI2461" s="1"/>
      <c r="GJ2461" s="1"/>
      <c r="GK2461" s="1"/>
      <c r="GL2461" s="1"/>
      <c r="GM2461" s="1"/>
      <c r="GN2461" s="1"/>
      <c r="GO2461" s="1"/>
      <c r="GP2461" s="1"/>
      <c r="GQ2461" s="1"/>
      <c r="GR2461" s="1"/>
      <c r="GS2461" s="1"/>
      <c r="GT2461" s="1"/>
      <c r="GU2461" s="1"/>
      <c r="GV2461" s="1"/>
      <c r="GW2461" s="1"/>
      <c r="GX2461" s="1"/>
      <c r="GY2461" s="1"/>
      <c r="GZ2461" s="1"/>
      <c r="HA2461" s="1"/>
      <c r="HB2461" s="1"/>
      <c r="HC2461" s="1"/>
      <c r="HD2461" s="1"/>
      <c r="HE2461" s="1"/>
      <c r="HF2461" s="1"/>
      <c r="HG2461" s="1"/>
      <c r="HH2461" s="1"/>
      <c r="HI2461" s="1"/>
      <c r="HJ2461" s="1"/>
      <c r="HK2461" s="1"/>
      <c r="HL2461" s="1"/>
      <c r="HM2461" s="1"/>
      <c r="HN2461" s="1"/>
      <c r="HO2461" s="1"/>
      <c r="HP2461" s="1"/>
      <c r="HQ2461" s="1"/>
    </row>
    <row r="2462" spans="1:225" x14ac:dyDescent="0.35">
      <c r="A2462" s="257"/>
      <c r="B2462" s="258"/>
      <c r="C2462" s="261"/>
      <c r="D2462" s="264"/>
      <c r="E2462" s="264"/>
      <c r="F2462" s="267"/>
      <c r="G2462" s="258"/>
      <c r="H2462" s="159" t="s">
        <v>76</v>
      </c>
      <c r="I2462" s="158">
        <f>I2461*0.0214</f>
        <v>18009.45</v>
      </c>
      <c r="J2462" s="158">
        <f>I2462/D2460</f>
        <v>82.2</v>
      </c>
      <c r="K2462" s="158">
        <v>122</v>
      </c>
      <c r="L2462" s="1"/>
      <c r="M2462" s="1"/>
      <c r="N2462" s="1"/>
      <c r="O2462" s="1"/>
      <c r="P2462" s="1"/>
      <c r="Q2462" s="1"/>
      <c r="R2462" s="1"/>
      <c r="S2462" s="1"/>
      <c r="T2462" s="1"/>
      <c r="U2462" s="1"/>
      <c r="V2462" s="1"/>
      <c r="W2462" s="1"/>
      <c r="X2462" s="1"/>
      <c r="Y2462" s="1"/>
      <c r="Z2462" s="1"/>
      <c r="AA2462" s="1"/>
      <c r="AB2462" s="1"/>
      <c r="AC2462" s="1"/>
      <c r="AD2462" s="1"/>
      <c r="AE2462" s="1"/>
      <c r="AF2462" s="1"/>
      <c r="AG2462" s="1"/>
      <c r="AH2462" s="1"/>
      <c r="AI2462" s="1"/>
      <c r="AJ2462" s="1"/>
      <c r="AK2462" s="1"/>
      <c r="AL2462" s="1"/>
      <c r="AM2462" s="1"/>
      <c r="AN2462" s="1"/>
      <c r="AO2462" s="1"/>
      <c r="AP2462" s="1"/>
      <c r="AQ2462" s="1"/>
      <c r="AR2462" s="1"/>
      <c r="AS2462" s="1"/>
      <c r="AT2462" s="1"/>
      <c r="AU2462" s="1"/>
      <c r="AV2462" s="1"/>
      <c r="AW2462" s="1"/>
      <c r="AX2462" s="1"/>
      <c r="AY2462" s="1"/>
      <c r="AZ2462" s="1"/>
      <c r="BA2462" s="1"/>
      <c r="BB2462" s="1"/>
      <c r="BC2462" s="1"/>
      <c r="BD2462" s="1"/>
      <c r="BE2462" s="1"/>
      <c r="BF2462" s="1"/>
      <c r="BG2462" s="1"/>
      <c r="BH2462" s="1"/>
      <c r="BI2462" s="1"/>
      <c r="BJ2462" s="1"/>
      <c r="BK2462" s="1"/>
      <c r="BL2462" s="1"/>
      <c r="BM2462" s="1"/>
      <c r="BN2462" s="1"/>
      <c r="BO2462" s="1"/>
      <c r="BP2462" s="1"/>
      <c r="BQ2462" s="1"/>
      <c r="BR2462" s="1"/>
      <c r="BS2462" s="1"/>
      <c r="BT2462" s="1"/>
      <c r="BU2462" s="1"/>
      <c r="BV2462" s="1"/>
      <c r="BW2462" s="1"/>
      <c r="BX2462" s="1"/>
      <c r="BY2462" s="1"/>
      <c r="BZ2462" s="1"/>
      <c r="CA2462" s="1"/>
      <c r="CB2462" s="1"/>
      <c r="CC2462" s="1"/>
      <c r="CD2462" s="1"/>
      <c r="CE2462" s="1"/>
      <c r="CF2462" s="1"/>
      <c r="CG2462" s="1"/>
      <c r="CH2462" s="1"/>
      <c r="CI2462" s="1"/>
      <c r="CJ2462" s="1"/>
      <c r="CK2462" s="1"/>
      <c r="CL2462" s="1"/>
      <c r="CM2462" s="1"/>
      <c r="CN2462" s="1"/>
      <c r="CO2462" s="1"/>
      <c r="CP2462" s="1"/>
      <c r="CQ2462" s="1"/>
      <c r="CR2462" s="1"/>
      <c r="CS2462" s="1"/>
      <c r="CT2462" s="1"/>
      <c r="CU2462" s="1"/>
      <c r="CV2462" s="1"/>
      <c r="CW2462" s="1"/>
      <c r="CX2462" s="1"/>
      <c r="CY2462" s="1"/>
      <c r="CZ2462" s="1"/>
      <c r="DA2462" s="1"/>
      <c r="DB2462" s="1"/>
      <c r="DC2462" s="1"/>
      <c r="DD2462" s="1"/>
      <c r="DE2462" s="1"/>
      <c r="DF2462" s="1"/>
      <c r="DG2462" s="1"/>
      <c r="DH2462" s="1"/>
      <c r="DI2462" s="1"/>
      <c r="DJ2462" s="1"/>
      <c r="DK2462" s="1"/>
      <c r="DL2462" s="1"/>
      <c r="DM2462" s="1"/>
      <c r="DN2462" s="1"/>
      <c r="DO2462" s="1"/>
      <c r="DP2462" s="1"/>
      <c r="DQ2462" s="1"/>
      <c r="DR2462" s="1"/>
      <c r="DS2462" s="1"/>
      <c r="DT2462" s="1"/>
      <c r="DU2462" s="1"/>
      <c r="DV2462" s="1"/>
      <c r="DW2462" s="1"/>
      <c r="DX2462" s="1"/>
      <c r="DY2462" s="1"/>
      <c r="DZ2462" s="1"/>
      <c r="EA2462" s="1"/>
      <c r="EB2462" s="1"/>
      <c r="EC2462" s="1"/>
      <c r="ED2462" s="1"/>
      <c r="EE2462" s="1"/>
      <c r="EF2462" s="1"/>
      <c r="EG2462" s="1"/>
      <c r="EH2462" s="1"/>
      <c r="EI2462" s="1"/>
      <c r="EJ2462" s="1"/>
      <c r="EK2462" s="1"/>
      <c r="EL2462" s="1"/>
      <c r="EM2462" s="1"/>
      <c r="EN2462" s="1"/>
      <c r="EO2462" s="1"/>
      <c r="EP2462" s="1"/>
      <c r="EQ2462" s="1"/>
      <c r="ER2462" s="1"/>
      <c r="ES2462" s="1"/>
      <c r="ET2462" s="1"/>
      <c r="EU2462" s="1"/>
      <c r="EV2462" s="1"/>
      <c r="EW2462" s="1"/>
      <c r="EX2462" s="1"/>
      <c r="EY2462" s="1"/>
      <c r="EZ2462" s="1"/>
      <c r="FA2462" s="1"/>
      <c r="FB2462" s="1"/>
      <c r="FC2462" s="1"/>
      <c r="FD2462" s="1"/>
      <c r="FE2462" s="1"/>
      <c r="FF2462" s="1"/>
      <c r="FG2462" s="1"/>
      <c r="FH2462" s="1"/>
      <c r="FI2462" s="1"/>
      <c r="FJ2462" s="1"/>
      <c r="FK2462" s="1"/>
      <c r="FL2462" s="1"/>
      <c r="FM2462" s="1"/>
      <c r="FN2462" s="1"/>
      <c r="FO2462" s="1"/>
      <c r="FP2462" s="1"/>
      <c r="FQ2462" s="1"/>
      <c r="FR2462" s="1"/>
      <c r="FS2462" s="1"/>
      <c r="FT2462" s="1"/>
      <c r="FU2462" s="1"/>
      <c r="FV2462" s="1"/>
      <c r="FW2462" s="1"/>
      <c r="FX2462" s="1"/>
      <c r="FY2462" s="1"/>
      <c r="FZ2462" s="1"/>
      <c r="GA2462" s="1"/>
      <c r="GB2462" s="1"/>
      <c r="GC2462" s="1"/>
      <c r="GD2462" s="1"/>
      <c r="GE2462" s="1"/>
      <c r="GF2462" s="1"/>
      <c r="GG2462" s="1"/>
      <c r="GH2462" s="1"/>
      <c r="GI2462" s="1"/>
      <c r="GJ2462" s="1"/>
      <c r="GK2462" s="1"/>
      <c r="GL2462" s="1"/>
      <c r="GM2462" s="1"/>
      <c r="GN2462" s="1"/>
      <c r="GO2462" s="1"/>
      <c r="GP2462" s="1"/>
      <c r="GQ2462" s="1"/>
      <c r="GR2462" s="1"/>
      <c r="GS2462" s="1"/>
      <c r="GT2462" s="1"/>
      <c r="GU2462" s="1"/>
      <c r="GV2462" s="1"/>
      <c r="GW2462" s="1"/>
      <c r="GX2462" s="1"/>
      <c r="GY2462" s="1"/>
      <c r="GZ2462" s="1"/>
      <c r="HA2462" s="1"/>
      <c r="HB2462" s="1"/>
      <c r="HC2462" s="1"/>
      <c r="HD2462" s="1"/>
      <c r="HE2462" s="1"/>
      <c r="HF2462" s="1"/>
      <c r="HG2462" s="1"/>
      <c r="HH2462" s="1"/>
      <c r="HI2462" s="1"/>
      <c r="HJ2462" s="1"/>
      <c r="HK2462" s="1"/>
      <c r="HL2462" s="1"/>
      <c r="HM2462" s="1"/>
      <c r="HN2462" s="1"/>
      <c r="HO2462" s="1"/>
      <c r="HP2462" s="1"/>
      <c r="HQ2462" s="1"/>
    </row>
    <row r="2463" spans="1:225" ht="15.75" customHeight="1" x14ac:dyDescent="0.35">
      <c r="A2463" s="256">
        <f>A2460+1</f>
        <v>10</v>
      </c>
      <c r="B2463" s="256">
        <v>5611</v>
      </c>
      <c r="C2463" s="259" t="s">
        <v>729</v>
      </c>
      <c r="D2463" s="262">
        <v>458.4</v>
      </c>
      <c r="E2463" s="262" t="s">
        <v>665</v>
      </c>
      <c r="F2463" s="265">
        <v>2</v>
      </c>
      <c r="G2463" s="256" t="s">
        <v>82</v>
      </c>
      <c r="H2463" s="159" t="s">
        <v>73</v>
      </c>
      <c r="I2463" s="158">
        <f>I2464+I2465</f>
        <v>1712632.04</v>
      </c>
      <c r="J2463" s="158">
        <f>J2464+J2465</f>
        <v>3736.11</v>
      </c>
      <c r="K2463" s="158">
        <f>K2464+K2465</f>
        <v>5813</v>
      </c>
      <c r="L2463" s="1"/>
      <c r="M2463" s="1"/>
      <c r="N2463" s="1"/>
      <c r="O2463" s="1"/>
      <c r="P2463" s="1"/>
      <c r="Q2463" s="1"/>
      <c r="R2463" s="1"/>
      <c r="S2463" s="1"/>
      <c r="T2463" s="1"/>
      <c r="U2463" s="1"/>
      <c r="V2463" s="1"/>
      <c r="W2463" s="1"/>
      <c r="X2463" s="1"/>
      <c r="Y2463" s="1"/>
      <c r="Z2463" s="1"/>
      <c r="AA2463" s="1"/>
      <c r="AB2463" s="1"/>
      <c r="AC2463" s="1"/>
      <c r="AD2463" s="1"/>
      <c r="AE2463" s="1"/>
      <c r="AF2463" s="1"/>
      <c r="AG2463" s="1"/>
      <c r="AH2463" s="1"/>
      <c r="AI2463" s="1"/>
      <c r="AJ2463" s="1"/>
      <c r="AK2463" s="1"/>
      <c r="AL2463" s="1"/>
      <c r="AM2463" s="1"/>
      <c r="AN2463" s="1"/>
      <c r="AO2463" s="1"/>
      <c r="AP2463" s="1"/>
      <c r="AQ2463" s="1"/>
      <c r="AR2463" s="1"/>
      <c r="AS2463" s="1"/>
      <c r="AT2463" s="1"/>
      <c r="AU2463" s="1"/>
      <c r="AV2463" s="1"/>
      <c r="AW2463" s="1"/>
      <c r="AX2463" s="1"/>
      <c r="AY2463" s="1"/>
      <c r="AZ2463" s="1"/>
      <c r="BA2463" s="1"/>
      <c r="BB2463" s="1"/>
      <c r="BC2463" s="1"/>
      <c r="BD2463" s="1"/>
      <c r="BE2463" s="1"/>
      <c r="BF2463" s="1"/>
      <c r="BG2463" s="1"/>
      <c r="BH2463" s="1"/>
      <c r="BI2463" s="1"/>
      <c r="BJ2463" s="1"/>
      <c r="BK2463" s="1"/>
      <c r="BL2463" s="1"/>
      <c r="BM2463" s="1"/>
      <c r="BN2463" s="1"/>
      <c r="BO2463" s="1"/>
      <c r="BP2463" s="1"/>
      <c r="BQ2463" s="1"/>
      <c r="BR2463" s="1"/>
      <c r="BS2463" s="1"/>
      <c r="BT2463" s="1"/>
      <c r="BU2463" s="1"/>
      <c r="BV2463" s="1"/>
      <c r="BW2463" s="1"/>
      <c r="BX2463" s="1"/>
      <c r="BY2463" s="1"/>
      <c r="BZ2463" s="1"/>
      <c r="CA2463" s="1"/>
      <c r="CB2463" s="1"/>
      <c r="CC2463" s="1"/>
      <c r="CD2463" s="1"/>
      <c r="CE2463" s="1"/>
      <c r="CF2463" s="1"/>
      <c r="CG2463" s="1"/>
      <c r="CH2463" s="1"/>
      <c r="CI2463" s="1"/>
      <c r="CJ2463" s="1"/>
      <c r="CK2463" s="1"/>
      <c r="CL2463" s="1"/>
      <c r="CM2463" s="1"/>
      <c r="CN2463" s="1"/>
      <c r="CO2463" s="1"/>
      <c r="CP2463" s="1"/>
      <c r="CQ2463" s="1"/>
      <c r="CR2463" s="1"/>
      <c r="CS2463" s="1"/>
      <c r="CT2463" s="1"/>
      <c r="CU2463" s="1"/>
      <c r="CV2463" s="1"/>
      <c r="CW2463" s="1"/>
      <c r="CX2463" s="1"/>
      <c r="CY2463" s="1"/>
      <c r="CZ2463" s="1"/>
      <c r="DA2463" s="1"/>
      <c r="DB2463" s="1"/>
      <c r="DC2463" s="1"/>
      <c r="DD2463" s="1"/>
      <c r="DE2463" s="1"/>
      <c r="DF2463" s="1"/>
      <c r="DG2463" s="1"/>
      <c r="DH2463" s="1"/>
      <c r="DI2463" s="1"/>
      <c r="DJ2463" s="1"/>
      <c r="DK2463" s="1"/>
      <c r="DL2463" s="1"/>
      <c r="DM2463" s="1"/>
      <c r="DN2463" s="1"/>
      <c r="DO2463" s="1"/>
      <c r="DP2463" s="1"/>
      <c r="DQ2463" s="1"/>
      <c r="DR2463" s="1"/>
      <c r="DS2463" s="1"/>
      <c r="DT2463" s="1"/>
      <c r="DU2463" s="1"/>
      <c r="DV2463" s="1"/>
      <c r="DW2463" s="1"/>
      <c r="DX2463" s="1"/>
      <c r="DY2463" s="1"/>
      <c r="DZ2463" s="1"/>
      <c r="EA2463" s="1"/>
      <c r="EB2463" s="1"/>
      <c r="EC2463" s="1"/>
      <c r="ED2463" s="1"/>
      <c r="EE2463" s="1"/>
      <c r="EF2463" s="1"/>
      <c r="EG2463" s="1"/>
      <c r="EH2463" s="1"/>
      <c r="EI2463" s="1"/>
      <c r="EJ2463" s="1"/>
      <c r="EK2463" s="1"/>
      <c r="EL2463" s="1"/>
      <c r="EM2463" s="1"/>
      <c r="EN2463" s="1"/>
      <c r="EO2463" s="1"/>
      <c r="EP2463" s="1"/>
      <c r="EQ2463" s="1"/>
      <c r="ER2463" s="1"/>
      <c r="ES2463" s="1"/>
      <c r="ET2463" s="1"/>
      <c r="EU2463" s="1"/>
      <c r="EV2463" s="1"/>
      <c r="EW2463" s="1"/>
      <c r="EX2463" s="1"/>
      <c r="EY2463" s="1"/>
      <c r="EZ2463" s="1"/>
      <c r="FA2463" s="1"/>
      <c r="FB2463" s="1"/>
      <c r="FC2463" s="1"/>
      <c r="FD2463" s="1"/>
      <c r="FE2463" s="1"/>
      <c r="FF2463" s="1"/>
      <c r="FG2463" s="1"/>
      <c r="FH2463" s="1"/>
      <c r="FI2463" s="1"/>
      <c r="FJ2463" s="1"/>
      <c r="FK2463" s="1"/>
      <c r="FL2463" s="1"/>
      <c r="FM2463" s="1"/>
      <c r="FN2463" s="1"/>
      <c r="FO2463" s="1"/>
      <c r="FP2463" s="1"/>
      <c r="FQ2463" s="1"/>
      <c r="FR2463" s="1"/>
      <c r="FS2463" s="1"/>
      <c r="FT2463" s="1"/>
      <c r="FU2463" s="1"/>
      <c r="FV2463" s="1"/>
      <c r="FW2463" s="1"/>
      <c r="FX2463" s="1"/>
      <c r="FY2463" s="1"/>
      <c r="FZ2463" s="1"/>
      <c r="GA2463" s="1"/>
      <c r="GB2463" s="1"/>
      <c r="GC2463" s="1"/>
      <c r="GD2463" s="1"/>
      <c r="GE2463" s="1"/>
      <c r="GF2463" s="1"/>
      <c r="GG2463" s="1"/>
      <c r="GH2463" s="1"/>
      <c r="GI2463" s="1"/>
      <c r="GJ2463" s="1"/>
      <c r="GK2463" s="1"/>
      <c r="GL2463" s="1"/>
      <c r="GM2463" s="1"/>
      <c r="GN2463" s="1"/>
      <c r="GO2463" s="1"/>
      <c r="GP2463" s="1"/>
      <c r="GQ2463" s="1"/>
      <c r="GR2463" s="1"/>
      <c r="GS2463" s="1"/>
      <c r="GT2463" s="1"/>
      <c r="GU2463" s="1"/>
      <c r="GV2463" s="1"/>
      <c r="GW2463" s="1"/>
      <c r="GX2463" s="1"/>
      <c r="GY2463" s="1"/>
      <c r="GZ2463" s="1"/>
      <c r="HA2463" s="1"/>
      <c r="HB2463" s="1"/>
      <c r="HC2463" s="1"/>
      <c r="HD2463" s="1"/>
      <c r="HE2463" s="1"/>
      <c r="HF2463" s="1"/>
      <c r="HG2463" s="1"/>
      <c r="HH2463" s="1"/>
      <c r="HI2463" s="1"/>
      <c r="HJ2463" s="1"/>
      <c r="HK2463" s="1"/>
      <c r="HL2463" s="1"/>
      <c r="HM2463" s="1"/>
      <c r="HN2463" s="1"/>
      <c r="HO2463" s="1"/>
      <c r="HP2463" s="1"/>
      <c r="HQ2463" s="1"/>
    </row>
    <row r="2464" spans="1:225" x14ac:dyDescent="0.35">
      <c r="A2464" s="257"/>
      <c r="B2464" s="257"/>
      <c r="C2464" s="260"/>
      <c r="D2464" s="263"/>
      <c r="E2464" s="263"/>
      <c r="F2464" s="266"/>
      <c r="G2464" s="257"/>
      <c r="H2464" s="159" t="s">
        <v>74</v>
      </c>
      <c r="I2464" s="158">
        <v>1676749.6</v>
      </c>
      <c r="J2464" s="158">
        <v>3657.83</v>
      </c>
      <c r="K2464" s="158">
        <v>5691</v>
      </c>
      <c r="L2464" s="1"/>
      <c r="M2464" s="1"/>
      <c r="N2464" s="1"/>
      <c r="O2464" s="1"/>
      <c r="P2464" s="1"/>
      <c r="Q2464" s="1"/>
      <c r="R2464" s="1"/>
      <c r="S2464" s="1"/>
      <c r="T2464" s="1"/>
      <c r="U2464" s="1"/>
      <c r="V2464" s="1"/>
      <c r="W2464" s="1"/>
      <c r="X2464" s="1"/>
      <c r="Y2464" s="1"/>
      <c r="Z2464" s="1"/>
      <c r="AA2464" s="1"/>
      <c r="AB2464" s="1"/>
      <c r="AC2464" s="1"/>
      <c r="AD2464" s="1"/>
      <c r="AE2464" s="1"/>
      <c r="AF2464" s="1"/>
      <c r="AG2464" s="1"/>
      <c r="AH2464" s="1"/>
      <c r="AI2464" s="1"/>
      <c r="AJ2464" s="1"/>
      <c r="AK2464" s="1"/>
      <c r="AL2464" s="1"/>
      <c r="AM2464" s="1"/>
      <c r="AN2464" s="1"/>
      <c r="AO2464" s="1"/>
      <c r="AP2464" s="1"/>
      <c r="AQ2464" s="1"/>
      <c r="AR2464" s="1"/>
      <c r="AS2464" s="1"/>
      <c r="AT2464" s="1"/>
      <c r="AU2464" s="1"/>
      <c r="AV2464" s="1"/>
      <c r="AW2464" s="1"/>
      <c r="AX2464" s="1"/>
      <c r="AY2464" s="1"/>
      <c r="AZ2464" s="1"/>
      <c r="BA2464" s="1"/>
      <c r="BB2464" s="1"/>
      <c r="BC2464" s="1"/>
      <c r="BD2464" s="1"/>
      <c r="BE2464" s="1"/>
      <c r="BF2464" s="1"/>
      <c r="BG2464" s="1"/>
      <c r="BH2464" s="1"/>
      <c r="BI2464" s="1"/>
      <c r="BJ2464" s="1"/>
      <c r="BK2464" s="1"/>
      <c r="BL2464" s="1"/>
      <c r="BM2464" s="1"/>
      <c r="BN2464" s="1"/>
      <c r="BO2464" s="1"/>
      <c r="BP2464" s="1"/>
      <c r="BQ2464" s="1"/>
      <c r="BR2464" s="1"/>
      <c r="BS2464" s="1"/>
      <c r="BT2464" s="1"/>
      <c r="BU2464" s="1"/>
      <c r="BV2464" s="1"/>
      <c r="BW2464" s="1"/>
      <c r="BX2464" s="1"/>
      <c r="BY2464" s="1"/>
      <c r="BZ2464" s="1"/>
      <c r="CA2464" s="1"/>
      <c r="CB2464" s="1"/>
      <c r="CC2464" s="1"/>
      <c r="CD2464" s="1"/>
      <c r="CE2464" s="1"/>
      <c r="CF2464" s="1"/>
      <c r="CG2464" s="1"/>
      <c r="CH2464" s="1"/>
      <c r="CI2464" s="1"/>
      <c r="CJ2464" s="1"/>
      <c r="CK2464" s="1"/>
      <c r="CL2464" s="1"/>
      <c r="CM2464" s="1"/>
      <c r="CN2464" s="1"/>
      <c r="CO2464" s="1"/>
      <c r="CP2464" s="1"/>
      <c r="CQ2464" s="1"/>
      <c r="CR2464" s="1"/>
      <c r="CS2464" s="1"/>
      <c r="CT2464" s="1"/>
      <c r="CU2464" s="1"/>
      <c r="CV2464" s="1"/>
      <c r="CW2464" s="1"/>
      <c r="CX2464" s="1"/>
      <c r="CY2464" s="1"/>
      <c r="CZ2464" s="1"/>
      <c r="DA2464" s="1"/>
      <c r="DB2464" s="1"/>
      <c r="DC2464" s="1"/>
      <c r="DD2464" s="1"/>
      <c r="DE2464" s="1"/>
      <c r="DF2464" s="1"/>
      <c r="DG2464" s="1"/>
      <c r="DH2464" s="1"/>
      <c r="DI2464" s="1"/>
      <c r="DJ2464" s="1"/>
      <c r="DK2464" s="1"/>
      <c r="DL2464" s="1"/>
      <c r="DM2464" s="1"/>
      <c r="DN2464" s="1"/>
      <c r="DO2464" s="1"/>
      <c r="DP2464" s="1"/>
      <c r="DQ2464" s="1"/>
      <c r="DR2464" s="1"/>
      <c r="DS2464" s="1"/>
      <c r="DT2464" s="1"/>
      <c r="DU2464" s="1"/>
      <c r="DV2464" s="1"/>
      <c r="DW2464" s="1"/>
      <c r="DX2464" s="1"/>
      <c r="DY2464" s="1"/>
      <c r="DZ2464" s="1"/>
      <c r="EA2464" s="1"/>
      <c r="EB2464" s="1"/>
      <c r="EC2464" s="1"/>
      <c r="ED2464" s="1"/>
      <c r="EE2464" s="1"/>
      <c r="EF2464" s="1"/>
      <c r="EG2464" s="1"/>
      <c r="EH2464" s="1"/>
      <c r="EI2464" s="1"/>
      <c r="EJ2464" s="1"/>
      <c r="EK2464" s="1"/>
      <c r="EL2464" s="1"/>
      <c r="EM2464" s="1"/>
      <c r="EN2464" s="1"/>
      <c r="EO2464" s="1"/>
      <c r="EP2464" s="1"/>
      <c r="EQ2464" s="1"/>
      <c r="ER2464" s="1"/>
      <c r="ES2464" s="1"/>
      <c r="ET2464" s="1"/>
      <c r="EU2464" s="1"/>
      <c r="EV2464" s="1"/>
      <c r="EW2464" s="1"/>
      <c r="EX2464" s="1"/>
      <c r="EY2464" s="1"/>
      <c r="EZ2464" s="1"/>
      <c r="FA2464" s="1"/>
      <c r="FB2464" s="1"/>
      <c r="FC2464" s="1"/>
      <c r="FD2464" s="1"/>
      <c r="FE2464" s="1"/>
      <c r="FF2464" s="1"/>
      <c r="FG2464" s="1"/>
      <c r="FH2464" s="1"/>
      <c r="FI2464" s="1"/>
      <c r="FJ2464" s="1"/>
      <c r="FK2464" s="1"/>
      <c r="FL2464" s="1"/>
      <c r="FM2464" s="1"/>
      <c r="FN2464" s="1"/>
      <c r="FO2464" s="1"/>
      <c r="FP2464" s="1"/>
      <c r="FQ2464" s="1"/>
      <c r="FR2464" s="1"/>
      <c r="FS2464" s="1"/>
      <c r="FT2464" s="1"/>
      <c r="FU2464" s="1"/>
      <c r="FV2464" s="1"/>
      <c r="FW2464" s="1"/>
      <c r="FX2464" s="1"/>
      <c r="FY2464" s="1"/>
      <c r="FZ2464" s="1"/>
      <c r="GA2464" s="1"/>
      <c r="GB2464" s="1"/>
      <c r="GC2464" s="1"/>
      <c r="GD2464" s="1"/>
      <c r="GE2464" s="1"/>
      <c r="GF2464" s="1"/>
      <c r="GG2464" s="1"/>
      <c r="GH2464" s="1"/>
      <c r="GI2464" s="1"/>
      <c r="GJ2464" s="1"/>
      <c r="GK2464" s="1"/>
      <c r="GL2464" s="1"/>
      <c r="GM2464" s="1"/>
      <c r="GN2464" s="1"/>
      <c r="GO2464" s="1"/>
      <c r="GP2464" s="1"/>
      <c r="GQ2464" s="1"/>
      <c r="GR2464" s="1"/>
      <c r="GS2464" s="1"/>
      <c r="GT2464" s="1"/>
      <c r="GU2464" s="1"/>
      <c r="GV2464" s="1"/>
      <c r="GW2464" s="1"/>
      <c r="GX2464" s="1"/>
      <c r="GY2464" s="1"/>
      <c r="GZ2464" s="1"/>
      <c r="HA2464" s="1"/>
      <c r="HB2464" s="1"/>
      <c r="HC2464" s="1"/>
      <c r="HD2464" s="1"/>
      <c r="HE2464" s="1"/>
      <c r="HF2464" s="1"/>
      <c r="HG2464" s="1"/>
      <c r="HH2464" s="1"/>
      <c r="HI2464" s="1"/>
      <c r="HJ2464" s="1"/>
      <c r="HK2464" s="1"/>
      <c r="HL2464" s="1"/>
      <c r="HM2464" s="1"/>
      <c r="HN2464" s="1"/>
      <c r="HO2464" s="1"/>
      <c r="HP2464" s="1"/>
      <c r="HQ2464" s="1"/>
    </row>
    <row r="2465" spans="1:225" x14ac:dyDescent="0.35">
      <c r="A2465" s="258"/>
      <c r="B2465" s="258"/>
      <c r="C2465" s="261"/>
      <c r="D2465" s="264"/>
      <c r="E2465" s="264"/>
      <c r="F2465" s="267"/>
      <c r="G2465" s="258"/>
      <c r="H2465" s="159" t="s">
        <v>76</v>
      </c>
      <c r="I2465" s="158">
        <f>I2464*0.0214</f>
        <v>35882.44</v>
      </c>
      <c r="J2465" s="158">
        <v>78.28</v>
      </c>
      <c r="K2465" s="158">
        <v>122</v>
      </c>
      <c r="L2465" s="1"/>
      <c r="M2465" s="1"/>
      <c r="N2465" s="1"/>
      <c r="O2465" s="1"/>
      <c r="P2465" s="1"/>
      <c r="Q2465" s="1"/>
      <c r="R2465" s="1"/>
      <c r="S2465" s="1"/>
      <c r="T2465" s="1"/>
      <c r="U2465" s="1"/>
      <c r="V2465" s="1"/>
      <c r="W2465" s="1"/>
      <c r="X2465" s="1"/>
      <c r="Y2465" s="1"/>
      <c r="Z2465" s="1"/>
      <c r="AA2465" s="1"/>
      <c r="AB2465" s="1"/>
      <c r="AC2465" s="1"/>
      <c r="AD2465" s="1"/>
      <c r="AE2465" s="1"/>
      <c r="AF2465" s="1"/>
      <c r="AG2465" s="1"/>
      <c r="AH2465" s="1"/>
      <c r="AI2465" s="1"/>
      <c r="AJ2465" s="1"/>
      <c r="AK2465" s="1"/>
      <c r="AL2465" s="1"/>
      <c r="AM2465" s="1"/>
      <c r="AN2465" s="1"/>
      <c r="AO2465" s="1"/>
      <c r="AP2465" s="1"/>
      <c r="AQ2465" s="1"/>
      <c r="AR2465" s="1"/>
      <c r="AS2465" s="1"/>
      <c r="AT2465" s="1"/>
      <c r="AU2465" s="1"/>
      <c r="AV2465" s="1"/>
      <c r="AW2465" s="1"/>
      <c r="AX2465" s="1"/>
      <c r="AY2465" s="1"/>
      <c r="AZ2465" s="1"/>
      <c r="BA2465" s="1"/>
      <c r="BB2465" s="1"/>
      <c r="BC2465" s="1"/>
      <c r="BD2465" s="1"/>
      <c r="BE2465" s="1"/>
      <c r="BF2465" s="1"/>
      <c r="BG2465" s="1"/>
      <c r="BH2465" s="1"/>
      <c r="BI2465" s="1"/>
      <c r="BJ2465" s="1"/>
      <c r="BK2465" s="1"/>
      <c r="BL2465" s="1"/>
      <c r="BM2465" s="1"/>
      <c r="BN2465" s="1"/>
      <c r="BO2465" s="1"/>
      <c r="BP2465" s="1"/>
      <c r="BQ2465" s="1"/>
      <c r="BR2465" s="1"/>
      <c r="BS2465" s="1"/>
      <c r="BT2465" s="1"/>
      <c r="BU2465" s="1"/>
      <c r="BV2465" s="1"/>
      <c r="BW2465" s="1"/>
      <c r="BX2465" s="1"/>
      <c r="BY2465" s="1"/>
      <c r="BZ2465" s="1"/>
      <c r="CA2465" s="1"/>
      <c r="CB2465" s="1"/>
      <c r="CC2465" s="1"/>
      <c r="CD2465" s="1"/>
      <c r="CE2465" s="1"/>
      <c r="CF2465" s="1"/>
      <c r="CG2465" s="1"/>
      <c r="CH2465" s="1"/>
      <c r="CI2465" s="1"/>
      <c r="CJ2465" s="1"/>
      <c r="CK2465" s="1"/>
      <c r="CL2465" s="1"/>
      <c r="CM2465" s="1"/>
      <c r="CN2465" s="1"/>
      <c r="CO2465" s="1"/>
      <c r="CP2465" s="1"/>
      <c r="CQ2465" s="1"/>
      <c r="CR2465" s="1"/>
      <c r="CS2465" s="1"/>
      <c r="CT2465" s="1"/>
      <c r="CU2465" s="1"/>
      <c r="CV2465" s="1"/>
      <c r="CW2465" s="1"/>
      <c r="CX2465" s="1"/>
      <c r="CY2465" s="1"/>
      <c r="CZ2465" s="1"/>
      <c r="DA2465" s="1"/>
      <c r="DB2465" s="1"/>
      <c r="DC2465" s="1"/>
      <c r="DD2465" s="1"/>
      <c r="DE2465" s="1"/>
      <c r="DF2465" s="1"/>
      <c r="DG2465" s="1"/>
      <c r="DH2465" s="1"/>
      <c r="DI2465" s="1"/>
      <c r="DJ2465" s="1"/>
      <c r="DK2465" s="1"/>
      <c r="DL2465" s="1"/>
      <c r="DM2465" s="1"/>
      <c r="DN2465" s="1"/>
      <c r="DO2465" s="1"/>
      <c r="DP2465" s="1"/>
      <c r="DQ2465" s="1"/>
      <c r="DR2465" s="1"/>
      <c r="DS2465" s="1"/>
      <c r="DT2465" s="1"/>
      <c r="DU2465" s="1"/>
      <c r="DV2465" s="1"/>
      <c r="DW2465" s="1"/>
      <c r="DX2465" s="1"/>
      <c r="DY2465" s="1"/>
      <c r="DZ2465" s="1"/>
      <c r="EA2465" s="1"/>
      <c r="EB2465" s="1"/>
      <c r="EC2465" s="1"/>
      <c r="ED2465" s="1"/>
      <c r="EE2465" s="1"/>
      <c r="EF2465" s="1"/>
      <c r="EG2465" s="1"/>
      <c r="EH2465" s="1"/>
      <c r="EI2465" s="1"/>
      <c r="EJ2465" s="1"/>
      <c r="EK2465" s="1"/>
      <c r="EL2465" s="1"/>
      <c r="EM2465" s="1"/>
      <c r="EN2465" s="1"/>
      <c r="EO2465" s="1"/>
      <c r="EP2465" s="1"/>
      <c r="EQ2465" s="1"/>
      <c r="ER2465" s="1"/>
      <c r="ES2465" s="1"/>
      <c r="ET2465" s="1"/>
      <c r="EU2465" s="1"/>
      <c r="EV2465" s="1"/>
      <c r="EW2465" s="1"/>
      <c r="EX2465" s="1"/>
      <c r="EY2465" s="1"/>
      <c r="EZ2465" s="1"/>
      <c r="FA2465" s="1"/>
      <c r="FB2465" s="1"/>
      <c r="FC2465" s="1"/>
      <c r="FD2465" s="1"/>
      <c r="FE2465" s="1"/>
      <c r="FF2465" s="1"/>
      <c r="FG2465" s="1"/>
      <c r="FH2465" s="1"/>
      <c r="FI2465" s="1"/>
      <c r="FJ2465" s="1"/>
      <c r="FK2465" s="1"/>
      <c r="FL2465" s="1"/>
      <c r="FM2465" s="1"/>
      <c r="FN2465" s="1"/>
      <c r="FO2465" s="1"/>
      <c r="FP2465" s="1"/>
      <c r="FQ2465" s="1"/>
      <c r="FR2465" s="1"/>
      <c r="FS2465" s="1"/>
      <c r="FT2465" s="1"/>
      <c r="FU2465" s="1"/>
      <c r="FV2465" s="1"/>
      <c r="FW2465" s="1"/>
      <c r="FX2465" s="1"/>
      <c r="FY2465" s="1"/>
      <c r="FZ2465" s="1"/>
      <c r="GA2465" s="1"/>
      <c r="GB2465" s="1"/>
      <c r="GC2465" s="1"/>
      <c r="GD2465" s="1"/>
      <c r="GE2465" s="1"/>
      <c r="GF2465" s="1"/>
      <c r="GG2465" s="1"/>
      <c r="GH2465" s="1"/>
      <c r="GI2465" s="1"/>
      <c r="GJ2465" s="1"/>
      <c r="GK2465" s="1"/>
      <c r="GL2465" s="1"/>
      <c r="GM2465" s="1"/>
      <c r="GN2465" s="1"/>
      <c r="GO2465" s="1"/>
      <c r="GP2465" s="1"/>
      <c r="GQ2465" s="1"/>
      <c r="GR2465" s="1"/>
      <c r="GS2465" s="1"/>
      <c r="GT2465" s="1"/>
      <c r="GU2465" s="1"/>
      <c r="GV2465" s="1"/>
      <c r="GW2465" s="1"/>
      <c r="GX2465" s="1"/>
      <c r="GY2465" s="1"/>
      <c r="GZ2465" s="1"/>
      <c r="HA2465" s="1"/>
      <c r="HB2465" s="1"/>
      <c r="HC2465" s="1"/>
      <c r="HD2465" s="1"/>
      <c r="HE2465" s="1"/>
      <c r="HF2465" s="1"/>
      <c r="HG2465" s="1"/>
      <c r="HH2465" s="1"/>
      <c r="HI2465" s="1"/>
      <c r="HJ2465" s="1"/>
      <c r="HK2465" s="1"/>
      <c r="HL2465" s="1"/>
      <c r="HM2465" s="1"/>
      <c r="HN2465" s="1"/>
      <c r="HO2465" s="1"/>
      <c r="HP2465" s="1"/>
      <c r="HQ2465" s="1"/>
    </row>
    <row r="2466" spans="1:225" ht="15.75" customHeight="1" x14ac:dyDescent="0.35">
      <c r="A2466" s="256">
        <f>A2463+1</f>
        <v>11</v>
      </c>
      <c r="B2466" s="256">
        <v>5440</v>
      </c>
      <c r="C2466" s="259" t="s">
        <v>449</v>
      </c>
      <c r="D2466" s="262">
        <v>331.9</v>
      </c>
      <c r="E2466" s="262" t="s">
        <v>665</v>
      </c>
      <c r="F2466" s="265">
        <v>2</v>
      </c>
      <c r="G2466" s="256" t="s">
        <v>72</v>
      </c>
      <c r="H2466" s="159" t="s">
        <v>73</v>
      </c>
      <c r="I2466" s="158">
        <f>I2467+I2468</f>
        <v>1767267.93</v>
      </c>
      <c r="J2466" s="158">
        <f>J2467+J2468</f>
        <v>5324.7</v>
      </c>
      <c r="K2466" s="158">
        <f>K2467+K2468</f>
        <v>7539</v>
      </c>
      <c r="L2466" s="1"/>
      <c r="M2466" s="1"/>
      <c r="N2466" s="1"/>
      <c r="O2466" s="1"/>
      <c r="P2466" s="1"/>
      <c r="Q2466" s="1"/>
      <c r="R2466" s="1"/>
      <c r="S2466" s="1"/>
      <c r="T2466" s="1"/>
      <c r="U2466" s="1"/>
      <c r="V2466" s="1"/>
      <c r="W2466" s="1"/>
      <c r="X2466" s="1"/>
      <c r="Y2466" s="1"/>
      <c r="Z2466" s="1"/>
      <c r="AA2466" s="1"/>
      <c r="AB2466" s="1"/>
      <c r="AC2466" s="1"/>
      <c r="AD2466" s="1"/>
      <c r="AE2466" s="1"/>
      <c r="AF2466" s="1"/>
      <c r="AG2466" s="1"/>
      <c r="AH2466" s="1"/>
      <c r="AI2466" s="1"/>
      <c r="AJ2466" s="1"/>
      <c r="AK2466" s="1"/>
      <c r="AL2466" s="1"/>
      <c r="AM2466" s="1"/>
      <c r="AN2466" s="1"/>
      <c r="AO2466" s="1"/>
      <c r="AP2466" s="1"/>
      <c r="AQ2466" s="1"/>
      <c r="AR2466" s="1"/>
      <c r="AS2466" s="1"/>
      <c r="AT2466" s="1"/>
      <c r="AU2466" s="1"/>
      <c r="AV2466" s="1"/>
      <c r="AW2466" s="1"/>
      <c r="AX2466" s="1"/>
      <c r="AY2466" s="1"/>
      <c r="AZ2466" s="1"/>
      <c r="BA2466" s="1"/>
      <c r="BB2466" s="1"/>
      <c r="BC2466" s="1"/>
      <c r="BD2466" s="1"/>
      <c r="BE2466" s="1"/>
      <c r="BF2466" s="1"/>
      <c r="BG2466" s="1"/>
      <c r="BH2466" s="1"/>
      <c r="BI2466" s="1"/>
      <c r="BJ2466" s="1"/>
      <c r="BK2466" s="1"/>
      <c r="BL2466" s="1"/>
      <c r="BM2466" s="1"/>
      <c r="BN2466" s="1"/>
      <c r="BO2466" s="1"/>
      <c r="BP2466" s="1"/>
      <c r="BQ2466" s="1"/>
      <c r="BR2466" s="1"/>
      <c r="BS2466" s="1"/>
      <c r="BT2466" s="1"/>
      <c r="BU2466" s="1"/>
      <c r="BV2466" s="1"/>
      <c r="BW2466" s="1"/>
      <c r="BX2466" s="1"/>
      <c r="BY2466" s="1"/>
      <c r="BZ2466" s="1"/>
      <c r="CA2466" s="1"/>
      <c r="CB2466" s="1"/>
      <c r="CC2466" s="1"/>
      <c r="CD2466" s="1"/>
      <c r="CE2466" s="1"/>
      <c r="CF2466" s="1"/>
      <c r="CG2466" s="1"/>
      <c r="CH2466" s="1"/>
      <c r="CI2466" s="1"/>
      <c r="CJ2466" s="1"/>
      <c r="CK2466" s="1"/>
      <c r="CL2466" s="1"/>
      <c r="CM2466" s="1"/>
      <c r="CN2466" s="1"/>
      <c r="CO2466" s="1"/>
      <c r="CP2466" s="1"/>
      <c r="CQ2466" s="1"/>
      <c r="CR2466" s="1"/>
      <c r="CS2466" s="1"/>
      <c r="CT2466" s="1"/>
      <c r="CU2466" s="1"/>
      <c r="CV2466" s="1"/>
      <c r="CW2466" s="1"/>
      <c r="CX2466" s="1"/>
      <c r="CY2466" s="1"/>
      <c r="CZ2466" s="1"/>
      <c r="DA2466" s="1"/>
      <c r="DB2466" s="1"/>
      <c r="DC2466" s="1"/>
      <c r="DD2466" s="1"/>
      <c r="DE2466" s="1"/>
      <c r="DF2466" s="1"/>
      <c r="DG2466" s="1"/>
      <c r="DH2466" s="1"/>
      <c r="DI2466" s="1"/>
      <c r="DJ2466" s="1"/>
      <c r="DK2466" s="1"/>
      <c r="DL2466" s="1"/>
      <c r="DM2466" s="1"/>
      <c r="DN2466" s="1"/>
      <c r="DO2466" s="1"/>
      <c r="DP2466" s="1"/>
      <c r="DQ2466" s="1"/>
      <c r="DR2466" s="1"/>
      <c r="DS2466" s="1"/>
      <c r="DT2466" s="1"/>
      <c r="DU2466" s="1"/>
      <c r="DV2466" s="1"/>
      <c r="DW2466" s="1"/>
      <c r="DX2466" s="1"/>
      <c r="DY2466" s="1"/>
      <c r="DZ2466" s="1"/>
      <c r="EA2466" s="1"/>
      <c r="EB2466" s="1"/>
      <c r="EC2466" s="1"/>
      <c r="ED2466" s="1"/>
      <c r="EE2466" s="1"/>
      <c r="EF2466" s="1"/>
      <c r="EG2466" s="1"/>
      <c r="EH2466" s="1"/>
      <c r="EI2466" s="1"/>
      <c r="EJ2466" s="1"/>
      <c r="EK2466" s="1"/>
      <c r="EL2466" s="1"/>
      <c r="EM2466" s="1"/>
      <c r="EN2466" s="1"/>
      <c r="EO2466" s="1"/>
      <c r="EP2466" s="1"/>
      <c r="EQ2466" s="1"/>
      <c r="ER2466" s="1"/>
      <c r="ES2466" s="1"/>
      <c r="ET2466" s="1"/>
      <c r="EU2466" s="1"/>
      <c r="EV2466" s="1"/>
      <c r="EW2466" s="1"/>
      <c r="EX2466" s="1"/>
      <c r="EY2466" s="1"/>
      <c r="EZ2466" s="1"/>
      <c r="FA2466" s="1"/>
      <c r="FB2466" s="1"/>
      <c r="FC2466" s="1"/>
      <c r="FD2466" s="1"/>
      <c r="FE2466" s="1"/>
      <c r="FF2466" s="1"/>
      <c r="FG2466" s="1"/>
      <c r="FH2466" s="1"/>
      <c r="FI2466" s="1"/>
      <c r="FJ2466" s="1"/>
      <c r="FK2466" s="1"/>
      <c r="FL2466" s="1"/>
      <c r="FM2466" s="1"/>
      <c r="FN2466" s="1"/>
      <c r="FO2466" s="1"/>
      <c r="FP2466" s="1"/>
      <c r="FQ2466" s="1"/>
      <c r="FR2466" s="1"/>
      <c r="FS2466" s="1"/>
      <c r="FT2466" s="1"/>
      <c r="FU2466" s="1"/>
      <c r="FV2466" s="1"/>
      <c r="FW2466" s="1"/>
      <c r="FX2466" s="1"/>
      <c r="FY2466" s="1"/>
      <c r="FZ2466" s="1"/>
      <c r="GA2466" s="1"/>
      <c r="GB2466" s="1"/>
      <c r="GC2466" s="1"/>
      <c r="GD2466" s="1"/>
      <c r="GE2466" s="1"/>
      <c r="GF2466" s="1"/>
      <c r="GG2466" s="1"/>
      <c r="GH2466" s="1"/>
      <c r="GI2466" s="1"/>
      <c r="GJ2466" s="1"/>
      <c r="GK2466" s="1"/>
      <c r="GL2466" s="1"/>
      <c r="GM2466" s="1"/>
      <c r="GN2466" s="1"/>
      <c r="GO2466" s="1"/>
      <c r="GP2466" s="1"/>
      <c r="GQ2466" s="1"/>
      <c r="GR2466" s="1"/>
      <c r="GS2466" s="1"/>
      <c r="GT2466" s="1"/>
      <c r="GU2466" s="1"/>
      <c r="GV2466" s="1"/>
      <c r="GW2466" s="1"/>
      <c r="GX2466" s="1"/>
      <c r="GY2466" s="1"/>
      <c r="GZ2466" s="1"/>
      <c r="HA2466" s="1"/>
      <c r="HB2466" s="1"/>
      <c r="HC2466" s="1"/>
      <c r="HD2466" s="1"/>
      <c r="HE2466" s="1"/>
      <c r="HF2466" s="1"/>
      <c r="HG2466" s="1"/>
      <c r="HH2466" s="1"/>
      <c r="HI2466" s="1"/>
      <c r="HJ2466" s="1"/>
      <c r="HK2466" s="1"/>
      <c r="HL2466" s="1"/>
      <c r="HM2466" s="1"/>
      <c r="HN2466" s="1"/>
      <c r="HO2466" s="1"/>
      <c r="HP2466" s="1"/>
      <c r="HQ2466" s="1"/>
    </row>
    <row r="2467" spans="1:225" x14ac:dyDescent="0.35">
      <c r="A2467" s="257">
        <v>1132</v>
      </c>
      <c r="B2467" s="257"/>
      <c r="C2467" s="260"/>
      <c r="D2467" s="263"/>
      <c r="E2467" s="263"/>
      <c r="F2467" s="266"/>
      <c r="G2467" s="257"/>
      <c r="H2467" s="159" t="s">
        <v>74</v>
      </c>
      <c r="I2467" s="158">
        <f>K2467*D2466*70/100</f>
        <v>1714827.73</v>
      </c>
      <c r="J2467" s="158">
        <f>I2467/D2466</f>
        <v>5166.7</v>
      </c>
      <c r="K2467" s="158">
        <v>7381</v>
      </c>
      <c r="L2467" s="1"/>
      <c r="M2467" s="1"/>
      <c r="N2467" s="1"/>
      <c r="O2467" s="1"/>
      <c r="P2467" s="1"/>
      <c r="Q2467" s="1"/>
      <c r="R2467" s="1"/>
      <c r="S2467" s="1"/>
      <c r="T2467" s="1"/>
      <c r="U2467" s="1"/>
      <c r="V2467" s="1"/>
      <c r="W2467" s="1"/>
      <c r="X2467" s="1"/>
      <c r="Y2467" s="1"/>
      <c r="Z2467" s="1"/>
      <c r="AA2467" s="1"/>
      <c r="AB2467" s="1"/>
      <c r="AC2467" s="1"/>
      <c r="AD2467" s="1"/>
      <c r="AE2467" s="1"/>
      <c r="AF2467" s="1"/>
      <c r="AG2467" s="1"/>
      <c r="AH2467" s="1"/>
      <c r="AI2467" s="1"/>
      <c r="AJ2467" s="1"/>
      <c r="AK2467" s="1"/>
      <c r="AL2467" s="1"/>
      <c r="AM2467" s="1"/>
      <c r="AN2467" s="1"/>
      <c r="AO2467" s="1"/>
      <c r="AP2467" s="1"/>
      <c r="AQ2467" s="1"/>
      <c r="AR2467" s="1"/>
      <c r="AS2467" s="1"/>
      <c r="AT2467" s="1"/>
      <c r="AU2467" s="1"/>
      <c r="AV2467" s="1"/>
      <c r="AW2467" s="1"/>
      <c r="AX2467" s="1"/>
      <c r="AY2467" s="1"/>
      <c r="AZ2467" s="1"/>
      <c r="BA2467" s="1"/>
      <c r="BB2467" s="1"/>
      <c r="BC2467" s="1"/>
      <c r="BD2467" s="1"/>
      <c r="BE2467" s="1"/>
      <c r="BF2467" s="1"/>
      <c r="BG2467" s="1"/>
      <c r="BH2467" s="1"/>
      <c r="BI2467" s="1"/>
      <c r="BJ2467" s="1"/>
      <c r="BK2467" s="1"/>
      <c r="BL2467" s="1"/>
      <c r="BM2467" s="1"/>
      <c r="BN2467" s="1"/>
      <c r="BO2467" s="1"/>
      <c r="BP2467" s="1"/>
      <c r="BQ2467" s="1"/>
      <c r="BR2467" s="1"/>
      <c r="BS2467" s="1"/>
      <c r="BT2467" s="1"/>
      <c r="BU2467" s="1"/>
      <c r="BV2467" s="1"/>
      <c r="BW2467" s="1"/>
      <c r="BX2467" s="1"/>
      <c r="BY2467" s="1"/>
      <c r="BZ2467" s="1"/>
      <c r="CA2467" s="1"/>
      <c r="CB2467" s="1"/>
      <c r="CC2467" s="1"/>
      <c r="CD2467" s="1"/>
      <c r="CE2467" s="1"/>
      <c r="CF2467" s="1"/>
      <c r="CG2467" s="1"/>
      <c r="CH2467" s="1"/>
      <c r="CI2467" s="1"/>
      <c r="CJ2467" s="1"/>
      <c r="CK2467" s="1"/>
      <c r="CL2467" s="1"/>
      <c r="CM2467" s="1"/>
      <c r="CN2467" s="1"/>
      <c r="CO2467" s="1"/>
      <c r="CP2467" s="1"/>
      <c r="CQ2467" s="1"/>
      <c r="CR2467" s="1"/>
      <c r="CS2467" s="1"/>
      <c r="CT2467" s="1"/>
      <c r="CU2467" s="1"/>
      <c r="CV2467" s="1"/>
      <c r="CW2467" s="1"/>
      <c r="CX2467" s="1"/>
      <c r="CY2467" s="1"/>
      <c r="CZ2467" s="1"/>
      <c r="DA2467" s="1"/>
      <c r="DB2467" s="1"/>
      <c r="DC2467" s="1"/>
      <c r="DD2467" s="1"/>
      <c r="DE2467" s="1"/>
      <c r="DF2467" s="1"/>
      <c r="DG2467" s="1"/>
      <c r="DH2467" s="1"/>
      <c r="DI2467" s="1"/>
      <c r="DJ2467" s="1"/>
      <c r="DK2467" s="1"/>
      <c r="DL2467" s="1"/>
      <c r="DM2467" s="1"/>
      <c r="DN2467" s="1"/>
      <c r="DO2467" s="1"/>
      <c r="DP2467" s="1"/>
      <c r="DQ2467" s="1"/>
      <c r="DR2467" s="1"/>
      <c r="DS2467" s="1"/>
      <c r="DT2467" s="1"/>
      <c r="DU2467" s="1"/>
      <c r="DV2467" s="1"/>
      <c r="DW2467" s="1"/>
      <c r="DX2467" s="1"/>
      <c r="DY2467" s="1"/>
      <c r="DZ2467" s="1"/>
      <c r="EA2467" s="1"/>
      <c r="EB2467" s="1"/>
      <c r="EC2467" s="1"/>
      <c r="ED2467" s="1"/>
      <c r="EE2467" s="1"/>
      <c r="EF2467" s="1"/>
      <c r="EG2467" s="1"/>
      <c r="EH2467" s="1"/>
      <c r="EI2467" s="1"/>
      <c r="EJ2467" s="1"/>
      <c r="EK2467" s="1"/>
      <c r="EL2467" s="1"/>
      <c r="EM2467" s="1"/>
      <c r="EN2467" s="1"/>
      <c r="EO2467" s="1"/>
      <c r="EP2467" s="1"/>
      <c r="EQ2467" s="1"/>
      <c r="ER2467" s="1"/>
      <c r="ES2467" s="1"/>
      <c r="ET2467" s="1"/>
      <c r="EU2467" s="1"/>
      <c r="EV2467" s="1"/>
      <c r="EW2467" s="1"/>
      <c r="EX2467" s="1"/>
      <c r="EY2467" s="1"/>
      <c r="EZ2467" s="1"/>
      <c r="FA2467" s="1"/>
      <c r="FB2467" s="1"/>
      <c r="FC2467" s="1"/>
      <c r="FD2467" s="1"/>
      <c r="FE2467" s="1"/>
      <c r="FF2467" s="1"/>
      <c r="FG2467" s="1"/>
      <c r="FH2467" s="1"/>
      <c r="FI2467" s="1"/>
      <c r="FJ2467" s="1"/>
      <c r="FK2467" s="1"/>
      <c r="FL2467" s="1"/>
      <c r="FM2467" s="1"/>
      <c r="FN2467" s="1"/>
      <c r="FO2467" s="1"/>
      <c r="FP2467" s="1"/>
      <c r="FQ2467" s="1"/>
      <c r="FR2467" s="1"/>
      <c r="FS2467" s="1"/>
      <c r="FT2467" s="1"/>
      <c r="FU2467" s="1"/>
      <c r="FV2467" s="1"/>
      <c r="FW2467" s="1"/>
      <c r="FX2467" s="1"/>
      <c r="FY2467" s="1"/>
      <c r="FZ2467" s="1"/>
      <c r="GA2467" s="1"/>
      <c r="GB2467" s="1"/>
      <c r="GC2467" s="1"/>
      <c r="GD2467" s="1"/>
      <c r="GE2467" s="1"/>
      <c r="GF2467" s="1"/>
      <c r="GG2467" s="1"/>
      <c r="GH2467" s="1"/>
      <c r="GI2467" s="1"/>
      <c r="GJ2467" s="1"/>
      <c r="GK2467" s="1"/>
      <c r="GL2467" s="1"/>
      <c r="GM2467" s="1"/>
      <c r="GN2467" s="1"/>
      <c r="GO2467" s="1"/>
      <c r="GP2467" s="1"/>
      <c r="GQ2467" s="1"/>
      <c r="GR2467" s="1"/>
      <c r="GS2467" s="1"/>
      <c r="GT2467" s="1"/>
      <c r="GU2467" s="1"/>
      <c r="GV2467" s="1"/>
      <c r="GW2467" s="1"/>
      <c r="GX2467" s="1"/>
      <c r="GY2467" s="1"/>
      <c r="GZ2467" s="1"/>
      <c r="HA2467" s="1"/>
      <c r="HB2467" s="1"/>
      <c r="HC2467" s="1"/>
      <c r="HD2467" s="1"/>
      <c r="HE2467" s="1"/>
      <c r="HF2467" s="1"/>
      <c r="HG2467" s="1"/>
      <c r="HH2467" s="1"/>
      <c r="HI2467" s="1"/>
      <c r="HJ2467" s="1"/>
      <c r="HK2467" s="1"/>
      <c r="HL2467" s="1"/>
      <c r="HM2467" s="1"/>
      <c r="HN2467" s="1"/>
      <c r="HO2467" s="1"/>
      <c r="HP2467" s="1"/>
      <c r="HQ2467" s="1"/>
    </row>
    <row r="2468" spans="1:225" ht="15.75" customHeight="1" x14ac:dyDescent="0.35">
      <c r="A2468" s="258">
        <v>1133</v>
      </c>
      <c r="B2468" s="258"/>
      <c r="C2468" s="261"/>
      <c r="D2468" s="264"/>
      <c r="E2468" s="264"/>
      <c r="F2468" s="267"/>
      <c r="G2468" s="258"/>
      <c r="H2468" s="159" t="s">
        <v>76</v>
      </c>
      <c r="I2468" s="158">
        <f>K2468*D2466</f>
        <v>52440.2</v>
      </c>
      <c r="J2468" s="158">
        <f>I2468/D2466</f>
        <v>158</v>
      </c>
      <c r="K2468" s="158">
        <v>158</v>
      </c>
      <c r="L2468" s="1"/>
      <c r="M2468" s="1"/>
      <c r="N2468" s="1"/>
      <c r="O2468" s="1"/>
      <c r="P2468" s="1"/>
      <c r="Q2468" s="1"/>
      <c r="R2468" s="1"/>
      <c r="S2468" s="1"/>
      <c r="T2468" s="1"/>
      <c r="U2468" s="1"/>
      <c r="V2468" s="1"/>
      <c r="W2468" s="1"/>
      <c r="X2468" s="1"/>
      <c r="Y2468" s="1"/>
      <c r="Z2468" s="1"/>
      <c r="AA2468" s="1"/>
      <c r="AB2468" s="1"/>
      <c r="AC2468" s="1"/>
      <c r="AD2468" s="1"/>
      <c r="AE2468" s="1"/>
      <c r="AF2468" s="1"/>
      <c r="AG2468" s="1"/>
      <c r="AH2468" s="1"/>
      <c r="AI2468" s="1"/>
      <c r="AJ2468" s="1"/>
      <c r="AK2468" s="1"/>
      <c r="AL2468" s="1"/>
      <c r="AM2468" s="1"/>
      <c r="AN2468" s="1"/>
      <c r="AO2468" s="1"/>
      <c r="AP2468" s="1"/>
      <c r="AQ2468" s="1"/>
      <c r="AR2468" s="1"/>
      <c r="AS2468" s="1"/>
      <c r="AT2468" s="1"/>
      <c r="AU2468" s="1"/>
      <c r="AV2468" s="1"/>
      <c r="AW2468" s="1"/>
      <c r="AX2468" s="1"/>
      <c r="AY2468" s="1"/>
      <c r="AZ2468" s="1"/>
      <c r="BA2468" s="1"/>
      <c r="BB2468" s="1"/>
      <c r="BC2468" s="1"/>
      <c r="BD2468" s="1"/>
      <c r="BE2468" s="1"/>
      <c r="BF2468" s="1"/>
      <c r="BG2468" s="1"/>
      <c r="BH2468" s="1"/>
      <c r="BI2468" s="1"/>
      <c r="BJ2468" s="1"/>
      <c r="BK2468" s="1"/>
      <c r="BL2468" s="1"/>
      <c r="BM2468" s="1"/>
      <c r="BN2468" s="1"/>
      <c r="BO2468" s="1"/>
      <c r="BP2468" s="1"/>
      <c r="BQ2468" s="1"/>
      <c r="BR2468" s="1"/>
      <c r="BS2468" s="1"/>
      <c r="BT2468" s="1"/>
      <c r="BU2468" s="1"/>
      <c r="BV2468" s="1"/>
      <c r="BW2468" s="1"/>
      <c r="BX2468" s="1"/>
      <c r="BY2468" s="1"/>
      <c r="BZ2468" s="1"/>
      <c r="CA2468" s="1"/>
      <c r="CB2468" s="1"/>
      <c r="CC2468" s="1"/>
      <c r="CD2468" s="1"/>
      <c r="CE2468" s="1"/>
      <c r="CF2468" s="1"/>
      <c r="CG2468" s="1"/>
      <c r="CH2468" s="1"/>
      <c r="CI2468" s="1"/>
      <c r="CJ2468" s="1"/>
      <c r="CK2468" s="1"/>
      <c r="CL2468" s="1"/>
      <c r="CM2468" s="1"/>
      <c r="CN2468" s="1"/>
      <c r="CO2468" s="1"/>
      <c r="CP2468" s="1"/>
      <c r="CQ2468" s="1"/>
      <c r="CR2468" s="1"/>
      <c r="CS2468" s="1"/>
      <c r="CT2468" s="1"/>
      <c r="CU2468" s="1"/>
      <c r="CV2468" s="1"/>
      <c r="CW2468" s="1"/>
      <c r="CX2468" s="1"/>
      <c r="CY2468" s="1"/>
      <c r="CZ2468" s="1"/>
      <c r="DA2468" s="1"/>
      <c r="DB2468" s="1"/>
      <c r="DC2468" s="1"/>
      <c r="DD2468" s="1"/>
      <c r="DE2468" s="1"/>
      <c r="DF2468" s="1"/>
      <c r="DG2468" s="1"/>
      <c r="DH2468" s="1"/>
      <c r="DI2468" s="1"/>
      <c r="DJ2468" s="1"/>
      <c r="DK2468" s="1"/>
      <c r="DL2468" s="1"/>
      <c r="DM2468" s="1"/>
      <c r="DN2468" s="1"/>
      <c r="DO2468" s="1"/>
      <c r="DP2468" s="1"/>
      <c r="DQ2468" s="1"/>
      <c r="DR2468" s="1"/>
      <c r="DS2468" s="1"/>
      <c r="DT2468" s="1"/>
      <c r="DU2468" s="1"/>
      <c r="DV2468" s="1"/>
      <c r="DW2468" s="1"/>
      <c r="DX2468" s="1"/>
      <c r="DY2468" s="1"/>
      <c r="DZ2468" s="1"/>
      <c r="EA2468" s="1"/>
      <c r="EB2468" s="1"/>
      <c r="EC2468" s="1"/>
      <c r="ED2468" s="1"/>
      <c r="EE2468" s="1"/>
      <c r="EF2468" s="1"/>
      <c r="EG2468" s="1"/>
      <c r="EH2468" s="1"/>
      <c r="EI2468" s="1"/>
      <c r="EJ2468" s="1"/>
      <c r="EK2468" s="1"/>
      <c r="EL2468" s="1"/>
      <c r="EM2468" s="1"/>
      <c r="EN2468" s="1"/>
      <c r="EO2468" s="1"/>
      <c r="EP2468" s="1"/>
      <c r="EQ2468" s="1"/>
      <c r="ER2468" s="1"/>
      <c r="ES2468" s="1"/>
      <c r="ET2468" s="1"/>
      <c r="EU2468" s="1"/>
      <c r="EV2468" s="1"/>
      <c r="EW2468" s="1"/>
      <c r="EX2468" s="1"/>
      <c r="EY2468" s="1"/>
      <c r="EZ2468" s="1"/>
      <c r="FA2468" s="1"/>
      <c r="FB2468" s="1"/>
      <c r="FC2468" s="1"/>
      <c r="FD2468" s="1"/>
      <c r="FE2468" s="1"/>
      <c r="FF2468" s="1"/>
      <c r="FG2468" s="1"/>
      <c r="FH2468" s="1"/>
      <c r="FI2468" s="1"/>
      <c r="FJ2468" s="1"/>
      <c r="FK2468" s="1"/>
      <c r="FL2468" s="1"/>
      <c r="FM2468" s="1"/>
      <c r="FN2468" s="1"/>
      <c r="FO2468" s="1"/>
      <c r="FP2468" s="1"/>
      <c r="FQ2468" s="1"/>
      <c r="FR2468" s="1"/>
      <c r="FS2468" s="1"/>
      <c r="FT2468" s="1"/>
      <c r="FU2468" s="1"/>
      <c r="FV2468" s="1"/>
      <c r="FW2468" s="1"/>
      <c r="FX2468" s="1"/>
      <c r="FY2468" s="1"/>
      <c r="FZ2468" s="1"/>
      <c r="GA2468" s="1"/>
      <c r="GB2468" s="1"/>
      <c r="GC2468" s="1"/>
      <c r="GD2468" s="1"/>
      <c r="GE2468" s="1"/>
      <c r="GF2468" s="1"/>
      <c r="GG2468" s="1"/>
      <c r="GH2468" s="1"/>
      <c r="GI2468" s="1"/>
      <c r="GJ2468" s="1"/>
      <c r="GK2468" s="1"/>
      <c r="GL2468" s="1"/>
      <c r="GM2468" s="1"/>
      <c r="GN2468" s="1"/>
      <c r="GO2468" s="1"/>
      <c r="GP2468" s="1"/>
      <c r="GQ2468" s="1"/>
      <c r="GR2468" s="1"/>
      <c r="GS2468" s="1"/>
      <c r="GT2468" s="1"/>
      <c r="GU2468" s="1"/>
      <c r="GV2468" s="1"/>
      <c r="GW2468" s="1"/>
      <c r="GX2468" s="1"/>
      <c r="GY2468" s="1"/>
      <c r="GZ2468" s="1"/>
      <c r="HA2468" s="1"/>
      <c r="HB2468" s="1"/>
      <c r="HC2468" s="1"/>
      <c r="HD2468" s="1"/>
      <c r="HE2468" s="1"/>
      <c r="HF2468" s="1"/>
      <c r="HG2468" s="1"/>
      <c r="HH2468" s="1"/>
      <c r="HI2468" s="1"/>
      <c r="HJ2468" s="1"/>
      <c r="HK2468" s="1"/>
      <c r="HL2468" s="1"/>
      <c r="HM2468" s="1"/>
      <c r="HN2468" s="1"/>
      <c r="HO2468" s="1"/>
      <c r="HP2468" s="1"/>
      <c r="HQ2468" s="1"/>
    </row>
    <row r="2469" spans="1:225" ht="15.75" customHeight="1" x14ac:dyDescent="0.35">
      <c r="A2469" s="256">
        <f>A2466+1</f>
        <v>12</v>
      </c>
      <c r="B2469" s="256">
        <v>5436</v>
      </c>
      <c r="C2469" s="259" t="s">
        <v>450</v>
      </c>
      <c r="D2469" s="262">
        <v>320.5</v>
      </c>
      <c r="E2469" s="262" t="s">
        <v>665</v>
      </c>
      <c r="F2469" s="265">
        <v>2</v>
      </c>
      <c r="G2469" s="256" t="s">
        <v>85</v>
      </c>
      <c r="H2469" s="159" t="s">
        <v>73</v>
      </c>
      <c r="I2469" s="158">
        <f>I2470+I2471+I2472+I2473</f>
        <v>2148664.0499999998</v>
      </c>
      <c r="J2469" s="158">
        <f>J2470+J2471+J2472+J2473</f>
        <v>6704.1</v>
      </c>
      <c r="K2469" s="158">
        <f>K2470+K2471+K2472+K2473</f>
        <v>9492</v>
      </c>
      <c r="L2469" s="1"/>
      <c r="M2469" s="1"/>
      <c r="N2469" s="1"/>
      <c r="O2469" s="1"/>
      <c r="P2469" s="1"/>
      <c r="Q2469" s="1"/>
      <c r="R2469" s="1"/>
      <c r="S2469" s="1"/>
      <c r="T2469" s="1"/>
      <c r="U2469" s="1"/>
      <c r="V2469" s="1"/>
      <c r="W2469" s="1"/>
      <c r="X2469" s="1"/>
      <c r="Y2469" s="1"/>
      <c r="Z2469" s="1"/>
      <c r="AA2469" s="1"/>
      <c r="AB2469" s="1"/>
      <c r="AC2469" s="1"/>
      <c r="AD2469" s="1"/>
      <c r="AE2469" s="1"/>
      <c r="AF2469" s="1"/>
      <c r="AG2469" s="1"/>
      <c r="AH2469" s="1"/>
      <c r="AI2469" s="1"/>
      <c r="AJ2469" s="1"/>
      <c r="AK2469" s="1"/>
      <c r="AL2469" s="1"/>
      <c r="AM2469" s="1"/>
      <c r="AN2469" s="1"/>
      <c r="AO2469" s="1"/>
      <c r="AP2469" s="1"/>
      <c r="AQ2469" s="1"/>
      <c r="AR2469" s="1"/>
      <c r="AS2469" s="1"/>
      <c r="AT2469" s="1"/>
      <c r="AU2469" s="1"/>
      <c r="AV2469" s="1"/>
      <c r="AW2469" s="1"/>
      <c r="AX2469" s="1"/>
      <c r="AY2469" s="1"/>
      <c r="AZ2469" s="1"/>
      <c r="BA2469" s="1"/>
      <c r="BB2469" s="1"/>
      <c r="BC2469" s="1"/>
      <c r="BD2469" s="1"/>
      <c r="BE2469" s="1"/>
      <c r="BF2469" s="1"/>
      <c r="BG2469" s="1"/>
      <c r="BH2469" s="1"/>
      <c r="BI2469" s="1"/>
      <c r="BJ2469" s="1"/>
      <c r="BK2469" s="1"/>
      <c r="BL2469" s="1"/>
      <c r="BM2469" s="1"/>
      <c r="BN2469" s="1"/>
      <c r="BO2469" s="1"/>
      <c r="BP2469" s="1"/>
      <c r="BQ2469" s="1"/>
      <c r="BR2469" s="1"/>
      <c r="BS2469" s="1"/>
      <c r="BT2469" s="1"/>
      <c r="BU2469" s="1"/>
      <c r="BV2469" s="1"/>
      <c r="BW2469" s="1"/>
      <c r="BX2469" s="1"/>
      <c r="BY2469" s="1"/>
      <c r="BZ2469" s="1"/>
      <c r="CA2469" s="1"/>
      <c r="CB2469" s="1"/>
      <c r="CC2469" s="1"/>
      <c r="CD2469" s="1"/>
      <c r="CE2469" s="1"/>
      <c r="CF2469" s="1"/>
      <c r="CG2469" s="1"/>
      <c r="CH2469" s="1"/>
      <c r="CI2469" s="1"/>
      <c r="CJ2469" s="1"/>
      <c r="CK2469" s="1"/>
      <c r="CL2469" s="1"/>
      <c r="CM2469" s="1"/>
      <c r="CN2469" s="1"/>
      <c r="CO2469" s="1"/>
      <c r="CP2469" s="1"/>
      <c r="CQ2469" s="1"/>
      <c r="CR2469" s="1"/>
      <c r="CS2469" s="1"/>
      <c r="CT2469" s="1"/>
      <c r="CU2469" s="1"/>
      <c r="CV2469" s="1"/>
      <c r="CW2469" s="1"/>
      <c r="CX2469" s="1"/>
      <c r="CY2469" s="1"/>
      <c r="CZ2469" s="1"/>
      <c r="DA2469" s="1"/>
      <c r="DB2469" s="1"/>
      <c r="DC2469" s="1"/>
      <c r="DD2469" s="1"/>
      <c r="DE2469" s="1"/>
      <c r="DF2469" s="1"/>
      <c r="DG2469" s="1"/>
      <c r="DH2469" s="1"/>
      <c r="DI2469" s="1"/>
      <c r="DJ2469" s="1"/>
      <c r="DK2469" s="1"/>
      <c r="DL2469" s="1"/>
      <c r="DM2469" s="1"/>
      <c r="DN2469" s="1"/>
      <c r="DO2469" s="1"/>
      <c r="DP2469" s="1"/>
      <c r="DQ2469" s="1"/>
      <c r="DR2469" s="1"/>
      <c r="DS2469" s="1"/>
      <c r="DT2469" s="1"/>
      <c r="DU2469" s="1"/>
      <c r="DV2469" s="1"/>
      <c r="DW2469" s="1"/>
      <c r="DX2469" s="1"/>
      <c r="DY2469" s="1"/>
      <c r="DZ2469" s="1"/>
      <c r="EA2469" s="1"/>
      <c r="EB2469" s="1"/>
      <c r="EC2469" s="1"/>
      <c r="ED2469" s="1"/>
      <c r="EE2469" s="1"/>
      <c r="EF2469" s="1"/>
      <c r="EG2469" s="1"/>
      <c r="EH2469" s="1"/>
      <c r="EI2469" s="1"/>
      <c r="EJ2469" s="1"/>
      <c r="EK2469" s="1"/>
      <c r="EL2469" s="1"/>
      <c r="EM2469" s="1"/>
      <c r="EN2469" s="1"/>
      <c r="EO2469" s="1"/>
      <c r="EP2469" s="1"/>
      <c r="EQ2469" s="1"/>
      <c r="ER2469" s="1"/>
      <c r="ES2469" s="1"/>
      <c r="ET2469" s="1"/>
      <c r="EU2469" s="1"/>
      <c r="EV2469" s="1"/>
      <c r="EW2469" s="1"/>
      <c r="EX2469" s="1"/>
      <c r="EY2469" s="1"/>
      <c r="EZ2469" s="1"/>
      <c r="FA2469" s="1"/>
      <c r="FB2469" s="1"/>
      <c r="FC2469" s="1"/>
      <c r="FD2469" s="1"/>
      <c r="FE2469" s="1"/>
      <c r="FF2469" s="1"/>
      <c r="FG2469" s="1"/>
      <c r="FH2469" s="1"/>
      <c r="FI2469" s="1"/>
      <c r="FJ2469" s="1"/>
      <c r="FK2469" s="1"/>
      <c r="FL2469" s="1"/>
      <c r="FM2469" s="1"/>
      <c r="FN2469" s="1"/>
      <c r="FO2469" s="1"/>
      <c r="FP2469" s="1"/>
      <c r="FQ2469" s="1"/>
      <c r="FR2469" s="1"/>
      <c r="FS2469" s="1"/>
      <c r="FT2469" s="1"/>
      <c r="FU2469" s="1"/>
      <c r="FV2469" s="1"/>
      <c r="FW2469" s="1"/>
      <c r="FX2469" s="1"/>
      <c r="FY2469" s="1"/>
      <c r="FZ2469" s="1"/>
      <c r="GA2469" s="1"/>
      <c r="GB2469" s="1"/>
      <c r="GC2469" s="1"/>
      <c r="GD2469" s="1"/>
      <c r="GE2469" s="1"/>
      <c r="GF2469" s="1"/>
      <c r="GG2469" s="1"/>
      <c r="GH2469" s="1"/>
      <c r="GI2469" s="1"/>
      <c r="GJ2469" s="1"/>
      <c r="GK2469" s="1"/>
      <c r="GL2469" s="1"/>
      <c r="GM2469" s="1"/>
      <c r="GN2469" s="1"/>
      <c r="GO2469" s="1"/>
      <c r="GP2469" s="1"/>
      <c r="GQ2469" s="1"/>
      <c r="GR2469" s="1"/>
      <c r="GS2469" s="1"/>
      <c r="GT2469" s="1"/>
      <c r="GU2469" s="1"/>
      <c r="GV2469" s="1"/>
      <c r="GW2469" s="1"/>
      <c r="GX2469" s="1"/>
      <c r="GY2469" s="1"/>
      <c r="GZ2469" s="1"/>
      <c r="HA2469" s="1"/>
      <c r="HB2469" s="1"/>
      <c r="HC2469" s="1"/>
      <c r="HD2469" s="1"/>
      <c r="HE2469" s="1"/>
      <c r="HF2469" s="1"/>
      <c r="HG2469" s="1"/>
      <c r="HH2469" s="1"/>
      <c r="HI2469" s="1"/>
      <c r="HJ2469" s="1"/>
      <c r="HK2469" s="1"/>
      <c r="HL2469" s="1"/>
      <c r="HM2469" s="1"/>
      <c r="HN2469" s="1"/>
      <c r="HO2469" s="1"/>
      <c r="HP2469" s="1"/>
      <c r="HQ2469" s="1"/>
    </row>
    <row r="2470" spans="1:225" x14ac:dyDescent="0.35">
      <c r="A2470" s="257"/>
      <c r="B2470" s="257"/>
      <c r="C2470" s="260"/>
      <c r="D2470" s="263"/>
      <c r="E2470" s="263"/>
      <c r="F2470" s="266"/>
      <c r="G2470" s="257"/>
      <c r="H2470" s="159" t="s">
        <v>74</v>
      </c>
      <c r="I2470" s="158">
        <f>K2470*D2469*70/100</f>
        <v>1177388.8</v>
      </c>
      <c r="J2470" s="158">
        <f>I2470/D2469</f>
        <v>3673.6</v>
      </c>
      <c r="K2470" s="158">
        <v>5248</v>
      </c>
      <c r="L2470" s="1"/>
      <c r="M2470" s="1"/>
      <c r="N2470" s="1"/>
      <c r="O2470" s="1"/>
      <c r="P2470" s="1"/>
      <c r="Q2470" s="1"/>
      <c r="R2470" s="1"/>
      <c r="S2470" s="1"/>
      <c r="T2470" s="1"/>
      <c r="U2470" s="1"/>
      <c r="V2470" s="1"/>
      <c r="W2470" s="1"/>
      <c r="X2470" s="1"/>
      <c r="Y2470" s="1"/>
      <c r="Z2470" s="1"/>
      <c r="AA2470" s="1"/>
      <c r="AB2470" s="1"/>
      <c r="AC2470" s="1"/>
      <c r="AD2470" s="1"/>
      <c r="AE2470" s="1"/>
      <c r="AF2470" s="1"/>
      <c r="AG2470" s="1"/>
      <c r="AH2470" s="1"/>
      <c r="AI2470" s="1"/>
      <c r="AJ2470" s="1"/>
      <c r="AK2470" s="1"/>
      <c r="AL2470" s="1"/>
      <c r="AM2470" s="1"/>
      <c r="AN2470" s="1"/>
      <c r="AO2470" s="1"/>
      <c r="AP2470" s="1"/>
      <c r="AQ2470" s="1"/>
      <c r="AR2470" s="1"/>
      <c r="AS2470" s="1"/>
      <c r="AT2470" s="1"/>
      <c r="AU2470" s="1"/>
      <c r="AV2470" s="1"/>
      <c r="AW2470" s="1"/>
      <c r="AX2470" s="1"/>
      <c r="AY2470" s="1"/>
      <c r="AZ2470" s="1"/>
      <c r="BA2470" s="1"/>
      <c r="BB2470" s="1"/>
      <c r="BC2470" s="1"/>
      <c r="BD2470" s="1"/>
      <c r="BE2470" s="1"/>
      <c r="BF2470" s="1"/>
      <c r="BG2470" s="1"/>
      <c r="BH2470" s="1"/>
      <c r="BI2470" s="1"/>
      <c r="BJ2470" s="1"/>
      <c r="BK2470" s="1"/>
      <c r="BL2470" s="1"/>
      <c r="BM2470" s="1"/>
      <c r="BN2470" s="1"/>
      <c r="BO2470" s="1"/>
      <c r="BP2470" s="1"/>
      <c r="BQ2470" s="1"/>
      <c r="BR2470" s="1"/>
      <c r="BS2470" s="1"/>
      <c r="BT2470" s="1"/>
      <c r="BU2470" s="1"/>
      <c r="BV2470" s="1"/>
      <c r="BW2470" s="1"/>
      <c r="BX2470" s="1"/>
      <c r="BY2470" s="1"/>
      <c r="BZ2470" s="1"/>
      <c r="CA2470" s="1"/>
      <c r="CB2470" s="1"/>
      <c r="CC2470" s="1"/>
      <c r="CD2470" s="1"/>
      <c r="CE2470" s="1"/>
      <c r="CF2470" s="1"/>
      <c r="CG2470" s="1"/>
      <c r="CH2470" s="1"/>
      <c r="CI2470" s="1"/>
      <c r="CJ2470" s="1"/>
      <c r="CK2470" s="1"/>
      <c r="CL2470" s="1"/>
      <c r="CM2470" s="1"/>
      <c r="CN2470" s="1"/>
      <c r="CO2470" s="1"/>
      <c r="CP2470" s="1"/>
      <c r="CQ2470" s="1"/>
      <c r="CR2470" s="1"/>
      <c r="CS2470" s="1"/>
      <c r="CT2470" s="1"/>
      <c r="CU2470" s="1"/>
      <c r="CV2470" s="1"/>
      <c r="CW2470" s="1"/>
      <c r="CX2470" s="1"/>
      <c r="CY2470" s="1"/>
      <c r="CZ2470" s="1"/>
      <c r="DA2470" s="1"/>
      <c r="DB2470" s="1"/>
      <c r="DC2470" s="1"/>
      <c r="DD2470" s="1"/>
      <c r="DE2470" s="1"/>
      <c r="DF2470" s="1"/>
      <c r="DG2470" s="1"/>
      <c r="DH2470" s="1"/>
      <c r="DI2470" s="1"/>
      <c r="DJ2470" s="1"/>
      <c r="DK2470" s="1"/>
      <c r="DL2470" s="1"/>
      <c r="DM2470" s="1"/>
      <c r="DN2470" s="1"/>
      <c r="DO2470" s="1"/>
      <c r="DP2470" s="1"/>
      <c r="DQ2470" s="1"/>
      <c r="DR2470" s="1"/>
      <c r="DS2470" s="1"/>
      <c r="DT2470" s="1"/>
      <c r="DU2470" s="1"/>
      <c r="DV2470" s="1"/>
      <c r="DW2470" s="1"/>
      <c r="DX2470" s="1"/>
      <c r="DY2470" s="1"/>
      <c r="DZ2470" s="1"/>
      <c r="EA2470" s="1"/>
      <c r="EB2470" s="1"/>
      <c r="EC2470" s="1"/>
      <c r="ED2470" s="1"/>
      <c r="EE2470" s="1"/>
      <c r="EF2470" s="1"/>
      <c r="EG2470" s="1"/>
      <c r="EH2470" s="1"/>
      <c r="EI2470" s="1"/>
      <c r="EJ2470" s="1"/>
      <c r="EK2470" s="1"/>
      <c r="EL2470" s="1"/>
      <c r="EM2470" s="1"/>
      <c r="EN2470" s="1"/>
      <c r="EO2470" s="1"/>
      <c r="EP2470" s="1"/>
      <c r="EQ2470" s="1"/>
      <c r="ER2470" s="1"/>
      <c r="ES2470" s="1"/>
      <c r="ET2470" s="1"/>
      <c r="EU2470" s="1"/>
      <c r="EV2470" s="1"/>
      <c r="EW2470" s="1"/>
      <c r="EX2470" s="1"/>
      <c r="EY2470" s="1"/>
      <c r="EZ2470" s="1"/>
      <c r="FA2470" s="1"/>
      <c r="FB2470" s="1"/>
      <c r="FC2470" s="1"/>
      <c r="FD2470" s="1"/>
      <c r="FE2470" s="1"/>
      <c r="FF2470" s="1"/>
      <c r="FG2470" s="1"/>
      <c r="FH2470" s="1"/>
      <c r="FI2470" s="1"/>
      <c r="FJ2470" s="1"/>
      <c r="FK2470" s="1"/>
      <c r="FL2470" s="1"/>
      <c r="FM2470" s="1"/>
      <c r="FN2470" s="1"/>
      <c r="FO2470" s="1"/>
      <c r="FP2470" s="1"/>
      <c r="FQ2470" s="1"/>
      <c r="FR2470" s="1"/>
      <c r="FS2470" s="1"/>
      <c r="FT2470" s="1"/>
      <c r="FU2470" s="1"/>
      <c r="FV2470" s="1"/>
      <c r="FW2470" s="1"/>
      <c r="FX2470" s="1"/>
      <c r="FY2470" s="1"/>
      <c r="FZ2470" s="1"/>
      <c r="GA2470" s="1"/>
      <c r="GB2470" s="1"/>
      <c r="GC2470" s="1"/>
      <c r="GD2470" s="1"/>
      <c r="GE2470" s="1"/>
      <c r="GF2470" s="1"/>
      <c r="GG2470" s="1"/>
      <c r="GH2470" s="1"/>
      <c r="GI2470" s="1"/>
      <c r="GJ2470" s="1"/>
      <c r="GK2470" s="1"/>
      <c r="GL2470" s="1"/>
      <c r="GM2470" s="1"/>
      <c r="GN2470" s="1"/>
      <c r="GO2470" s="1"/>
      <c r="GP2470" s="1"/>
      <c r="GQ2470" s="1"/>
      <c r="GR2470" s="1"/>
      <c r="GS2470" s="1"/>
      <c r="GT2470" s="1"/>
      <c r="GU2470" s="1"/>
      <c r="GV2470" s="1"/>
      <c r="GW2470" s="1"/>
      <c r="GX2470" s="1"/>
      <c r="GY2470" s="1"/>
      <c r="GZ2470" s="1"/>
      <c r="HA2470" s="1"/>
      <c r="HB2470" s="1"/>
      <c r="HC2470" s="1"/>
      <c r="HD2470" s="1"/>
      <c r="HE2470" s="1"/>
      <c r="HF2470" s="1"/>
      <c r="HG2470" s="1"/>
      <c r="HH2470" s="1"/>
      <c r="HI2470" s="1"/>
      <c r="HJ2470" s="1"/>
      <c r="HK2470" s="1"/>
      <c r="HL2470" s="1"/>
      <c r="HM2470" s="1"/>
      <c r="HN2470" s="1"/>
      <c r="HO2470" s="1"/>
      <c r="HP2470" s="1"/>
      <c r="HQ2470" s="1"/>
    </row>
    <row r="2471" spans="1:225" ht="15.75" customHeight="1" x14ac:dyDescent="0.35">
      <c r="A2471" s="257"/>
      <c r="B2471" s="257"/>
      <c r="C2471" s="260"/>
      <c r="D2471" s="263"/>
      <c r="E2471" s="263"/>
      <c r="F2471" s="266"/>
      <c r="G2471" s="257"/>
      <c r="H2471" s="159" t="s">
        <v>76</v>
      </c>
      <c r="I2471" s="158">
        <f>K2471*D2469</f>
        <v>35896</v>
      </c>
      <c r="J2471" s="158">
        <f>I2471/D2469</f>
        <v>112</v>
      </c>
      <c r="K2471" s="158">
        <v>112</v>
      </c>
      <c r="L2471" s="1"/>
      <c r="M2471" s="1"/>
      <c r="N2471" s="1"/>
      <c r="O2471" s="1"/>
      <c r="P2471" s="1"/>
      <c r="Q2471" s="1"/>
      <c r="R2471" s="1"/>
      <c r="S2471" s="1"/>
      <c r="T2471" s="1"/>
      <c r="U2471" s="1"/>
      <c r="V2471" s="1"/>
      <c r="W2471" s="1"/>
      <c r="X2471" s="1"/>
      <c r="Y2471" s="1"/>
      <c r="Z2471" s="1"/>
      <c r="AA2471" s="1"/>
      <c r="AB2471" s="1"/>
      <c r="AC2471" s="1"/>
      <c r="AD2471" s="1"/>
      <c r="AE2471" s="1"/>
      <c r="AF2471" s="1"/>
      <c r="AG2471" s="1"/>
      <c r="AH2471" s="1"/>
      <c r="AI2471" s="1"/>
      <c r="AJ2471" s="1"/>
      <c r="AK2471" s="1"/>
      <c r="AL2471" s="1"/>
      <c r="AM2471" s="1"/>
      <c r="AN2471" s="1"/>
      <c r="AO2471" s="1"/>
      <c r="AP2471" s="1"/>
      <c r="AQ2471" s="1"/>
      <c r="AR2471" s="1"/>
      <c r="AS2471" s="1"/>
      <c r="AT2471" s="1"/>
      <c r="AU2471" s="1"/>
      <c r="AV2471" s="1"/>
      <c r="AW2471" s="1"/>
      <c r="AX2471" s="1"/>
      <c r="AY2471" s="1"/>
      <c r="AZ2471" s="1"/>
      <c r="BA2471" s="1"/>
      <c r="BB2471" s="1"/>
      <c r="BC2471" s="1"/>
      <c r="BD2471" s="1"/>
      <c r="BE2471" s="1"/>
      <c r="BF2471" s="1"/>
      <c r="BG2471" s="1"/>
      <c r="BH2471" s="1"/>
      <c r="BI2471" s="1"/>
      <c r="BJ2471" s="1"/>
      <c r="BK2471" s="1"/>
      <c r="BL2471" s="1"/>
      <c r="BM2471" s="1"/>
      <c r="BN2471" s="1"/>
      <c r="BO2471" s="1"/>
      <c r="BP2471" s="1"/>
      <c r="BQ2471" s="1"/>
      <c r="BR2471" s="1"/>
      <c r="BS2471" s="1"/>
      <c r="BT2471" s="1"/>
      <c r="BU2471" s="1"/>
      <c r="BV2471" s="1"/>
      <c r="BW2471" s="1"/>
      <c r="BX2471" s="1"/>
      <c r="BY2471" s="1"/>
      <c r="BZ2471" s="1"/>
      <c r="CA2471" s="1"/>
      <c r="CB2471" s="1"/>
      <c r="CC2471" s="1"/>
      <c r="CD2471" s="1"/>
      <c r="CE2471" s="1"/>
      <c r="CF2471" s="1"/>
      <c r="CG2471" s="1"/>
      <c r="CH2471" s="1"/>
      <c r="CI2471" s="1"/>
      <c r="CJ2471" s="1"/>
      <c r="CK2471" s="1"/>
      <c r="CL2471" s="1"/>
      <c r="CM2471" s="1"/>
      <c r="CN2471" s="1"/>
      <c r="CO2471" s="1"/>
      <c r="CP2471" s="1"/>
      <c r="CQ2471" s="1"/>
      <c r="CR2471" s="1"/>
      <c r="CS2471" s="1"/>
      <c r="CT2471" s="1"/>
      <c r="CU2471" s="1"/>
      <c r="CV2471" s="1"/>
      <c r="CW2471" s="1"/>
      <c r="CX2471" s="1"/>
      <c r="CY2471" s="1"/>
      <c r="CZ2471" s="1"/>
      <c r="DA2471" s="1"/>
      <c r="DB2471" s="1"/>
      <c r="DC2471" s="1"/>
      <c r="DD2471" s="1"/>
      <c r="DE2471" s="1"/>
      <c r="DF2471" s="1"/>
      <c r="DG2471" s="1"/>
      <c r="DH2471" s="1"/>
      <c r="DI2471" s="1"/>
      <c r="DJ2471" s="1"/>
      <c r="DK2471" s="1"/>
      <c r="DL2471" s="1"/>
      <c r="DM2471" s="1"/>
      <c r="DN2471" s="1"/>
      <c r="DO2471" s="1"/>
      <c r="DP2471" s="1"/>
      <c r="DQ2471" s="1"/>
      <c r="DR2471" s="1"/>
      <c r="DS2471" s="1"/>
      <c r="DT2471" s="1"/>
      <c r="DU2471" s="1"/>
      <c r="DV2471" s="1"/>
      <c r="DW2471" s="1"/>
      <c r="DX2471" s="1"/>
      <c r="DY2471" s="1"/>
      <c r="DZ2471" s="1"/>
      <c r="EA2471" s="1"/>
      <c r="EB2471" s="1"/>
      <c r="EC2471" s="1"/>
      <c r="ED2471" s="1"/>
      <c r="EE2471" s="1"/>
      <c r="EF2471" s="1"/>
      <c r="EG2471" s="1"/>
      <c r="EH2471" s="1"/>
      <c r="EI2471" s="1"/>
      <c r="EJ2471" s="1"/>
      <c r="EK2471" s="1"/>
      <c r="EL2471" s="1"/>
      <c r="EM2471" s="1"/>
      <c r="EN2471" s="1"/>
      <c r="EO2471" s="1"/>
      <c r="EP2471" s="1"/>
      <c r="EQ2471" s="1"/>
      <c r="ER2471" s="1"/>
      <c r="ES2471" s="1"/>
      <c r="ET2471" s="1"/>
      <c r="EU2471" s="1"/>
      <c r="EV2471" s="1"/>
      <c r="EW2471" s="1"/>
      <c r="EX2471" s="1"/>
      <c r="EY2471" s="1"/>
      <c r="EZ2471" s="1"/>
      <c r="FA2471" s="1"/>
      <c r="FB2471" s="1"/>
      <c r="FC2471" s="1"/>
      <c r="FD2471" s="1"/>
      <c r="FE2471" s="1"/>
      <c r="FF2471" s="1"/>
      <c r="FG2471" s="1"/>
      <c r="FH2471" s="1"/>
      <c r="FI2471" s="1"/>
      <c r="FJ2471" s="1"/>
      <c r="FK2471" s="1"/>
      <c r="FL2471" s="1"/>
      <c r="FM2471" s="1"/>
      <c r="FN2471" s="1"/>
      <c r="FO2471" s="1"/>
      <c r="FP2471" s="1"/>
      <c r="FQ2471" s="1"/>
      <c r="FR2471" s="1"/>
      <c r="FS2471" s="1"/>
      <c r="FT2471" s="1"/>
      <c r="FU2471" s="1"/>
      <c r="FV2471" s="1"/>
      <c r="FW2471" s="1"/>
      <c r="FX2471" s="1"/>
      <c r="FY2471" s="1"/>
      <c r="FZ2471" s="1"/>
      <c r="GA2471" s="1"/>
      <c r="GB2471" s="1"/>
      <c r="GC2471" s="1"/>
      <c r="GD2471" s="1"/>
      <c r="GE2471" s="1"/>
      <c r="GF2471" s="1"/>
      <c r="GG2471" s="1"/>
      <c r="GH2471" s="1"/>
      <c r="GI2471" s="1"/>
      <c r="GJ2471" s="1"/>
      <c r="GK2471" s="1"/>
      <c r="GL2471" s="1"/>
      <c r="GM2471" s="1"/>
      <c r="GN2471" s="1"/>
      <c r="GO2471" s="1"/>
      <c r="GP2471" s="1"/>
      <c r="GQ2471" s="1"/>
      <c r="GR2471" s="1"/>
      <c r="GS2471" s="1"/>
      <c r="GT2471" s="1"/>
      <c r="GU2471" s="1"/>
      <c r="GV2471" s="1"/>
      <c r="GW2471" s="1"/>
      <c r="GX2471" s="1"/>
      <c r="GY2471" s="1"/>
      <c r="GZ2471" s="1"/>
      <c r="HA2471" s="1"/>
      <c r="HB2471" s="1"/>
      <c r="HC2471" s="1"/>
      <c r="HD2471" s="1"/>
      <c r="HE2471" s="1"/>
      <c r="HF2471" s="1"/>
      <c r="HG2471" s="1"/>
      <c r="HH2471" s="1"/>
      <c r="HI2471" s="1"/>
      <c r="HJ2471" s="1"/>
      <c r="HK2471" s="1"/>
      <c r="HL2471" s="1"/>
      <c r="HM2471" s="1"/>
      <c r="HN2471" s="1"/>
      <c r="HO2471" s="1"/>
      <c r="HP2471" s="1"/>
      <c r="HQ2471" s="1"/>
    </row>
    <row r="2472" spans="1:225" x14ac:dyDescent="0.35">
      <c r="A2472" s="257">
        <v>1124</v>
      </c>
      <c r="B2472" s="257"/>
      <c r="C2472" s="260"/>
      <c r="D2472" s="263"/>
      <c r="E2472" s="263"/>
      <c r="F2472" s="266"/>
      <c r="G2472" s="257"/>
      <c r="H2472" s="159" t="s">
        <v>708</v>
      </c>
      <c r="I2472" s="158">
        <f>K2472*D2469*70/100</f>
        <v>907495.75</v>
      </c>
      <c r="J2472" s="158">
        <f>I2472/D2469</f>
        <v>2831.5</v>
      </c>
      <c r="K2472" s="158">
        <v>4045</v>
      </c>
      <c r="L2472" s="1"/>
      <c r="M2472" s="1"/>
      <c r="N2472" s="1"/>
      <c r="O2472" s="1"/>
      <c r="P2472" s="1"/>
      <c r="Q2472" s="1"/>
      <c r="R2472" s="1"/>
      <c r="S2472" s="1"/>
      <c r="T2472" s="1"/>
      <c r="U2472" s="1"/>
      <c r="V2472" s="1"/>
      <c r="W2472" s="1"/>
      <c r="X2472" s="1"/>
      <c r="Y2472" s="1"/>
      <c r="Z2472" s="1"/>
      <c r="AA2472" s="1"/>
      <c r="AB2472" s="1"/>
      <c r="AC2472" s="1"/>
      <c r="AD2472" s="1"/>
      <c r="AE2472" s="1"/>
      <c r="AF2472" s="1"/>
      <c r="AG2472" s="1"/>
      <c r="AH2472" s="1"/>
      <c r="AI2472" s="1"/>
      <c r="AJ2472" s="1"/>
      <c r="AK2472" s="1"/>
      <c r="AL2472" s="1"/>
      <c r="AM2472" s="1"/>
      <c r="AN2472" s="1"/>
      <c r="AO2472" s="1"/>
      <c r="AP2472" s="1"/>
      <c r="AQ2472" s="1"/>
      <c r="AR2472" s="1"/>
      <c r="AS2472" s="1"/>
      <c r="AT2472" s="1"/>
      <c r="AU2472" s="1"/>
      <c r="AV2472" s="1"/>
      <c r="AW2472" s="1"/>
      <c r="AX2472" s="1"/>
      <c r="AY2472" s="1"/>
      <c r="AZ2472" s="1"/>
      <c r="BA2472" s="1"/>
      <c r="BB2472" s="1"/>
      <c r="BC2472" s="1"/>
      <c r="BD2472" s="1"/>
      <c r="BE2472" s="1"/>
      <c r="BF2472" s="1"/>
      <c r="BG2472" s="1"/>
      <c r="BH2472" s="1"/>
      <c r="BI2472" s="1"/>
      <c r="BJ2472" s="1"/>
      <c r="BK2472" s="1"/>
      <c r="BL2472" s="1"/>
      <c r="BM2472" s="1"/>
      <c r="BN2472" s="1"/>
      <c r="BO2472" s="1"/>
      <c r="BP2472" s="1"/>
      <c r="BQ2472" s="1"/>
      <c r="BR2472" s="1"/>
      <c r="BS2472" s="1"/>
      <c r="BT2472" s="1"/>
      <c r="BU2472" s="1"/>
      <c r="BV2472" s="1"/>
      <c r="BW2472" s="1"/>
      <c r="BX2472" s="1"/>
      <c r="BY2472" s="1"/>
      <c r="BZ2472" s="1"/>
      <c r="CA2472" s="1"/>
      <c r="CB2472" s="1"/>
      <c r="CC2472" s="1"/>
      <c r="CD2472" s="1"/>
      <c r="CE2472" s="1"/>
      <c r="CF2472" s="1"/>
      <c r="CG2472" s="1"/>
      <c r="CH2472" s="1"/>
      <c r="CI2472" s="1"/>
      <c r="CJ2472" s="1"/>
      <c r="CK2472" s="1"/>
      <c r="CL2472" s="1"/>
      <c r="CM2472" s="1"/>
      <c r="CN2472" s="1"/>
      <c r="CO2472" s="1"/>
      <c r="CP2472" s="1"/>
      <c r="CQ2472" s="1"/>
      <c r="CR2472" s="1"/>
      <c r="CS2472" s="1"/>
      <c r="CT2472" s="1"/>
      <c r="CU2472" s="1"/>
      <c r="CV2472" s="1"/>
      <c r="CW2472" s="1"/>
      <c r="CX2472" s="1"/>
      <c r="CY2472" s="1"/>
      <c r="CZ2472" s="1"/>
      <c r="DA2472" s="1"/>
      <c r="DB2472" s="1"/>
      <c r="DC2472" s="1"/>
      <c r="DD2472" s="1"/>
      <c r="DE2472" s="1"/>
      <c r="DF2472" s="1"/>
      <c r="DG2472" s="1"/>
      <c r="DH2472" s="1"/>
      <c r="DI2472" s="1"/>
      <c r="DJ2472" s="1"/>
      <c r="DK2472" s="1"/>
      <c r="DL2472" s="1"/>
      <c r="DM2472" s="1"/>
      <c r="DN2472" s="1"/>
      <c r="DO2472" s="1"/>
      <c r="DP2472" s="1"/>
      <c r="DQ2472" s="1"/>
      <c r="DR2472" s="1"/>
      <c r="DS2472" s="1"/>
      <c r="DT2472" s="1"/>
      <c r="DU2472" s="1"/>
      <c r="DV2472" s="1"/>
      <c r="DW2472" s="1"/>
      <c r="DX2472" s="1"/>
      <c r="DY2472" s="1"/>
      <c r="DZ2472" s="1"/>
      <c r="EA2472" s="1"/>
      <c r="EB2472" s="1"/>
      <c r="EC2472" s="1"/>
      <c r="ED2472" s="1"/>
      <c r="EE2472" s="1"/>
      <c r="EF2472" s="1"/>
      <c r="EG2472" s="1"/>
      <c r="EH2472" s="1"/>
      <c r="EI2472" s="1"/>
      <c r="EJ2472" s="1"/>
      <c r="EK2472" s="1"/>
      <c r="EL2472" s="1"/>
      <c r="EM2472" s="1"/>
      <c r="EN2472" s="1"/>
      <c r="EO2472" s="1"/>
      <c r="EP2472" s="1"/>
      <c r="EQ2472" s="1"/>
      <c r="ER2472" s="1"/>
      <c r="ES2472" s="1"/>
      <c r="ET2472" s="1"/>
      <c r="EU2472" s="1"/>
      <c r="EV2472" s="1"/>
      <c r="EW2472" s="1"/>
      <c r="EX2472" s="1"/>
      <c r="EY2472" s="1"/>
      <c r="EZ2472" s="1"/>
      <c r="FA2472" s="1"/>
      <c r="FB2472" s="1"/>
      <c r="FC2472" s="1"/>
      <c r="FD2472" s="1"/>
      <c r="FE2472" s="1"/>
      <c r="FF2472" s="1"/>
      <c r="FG2472" s="1"/>
      <c r="FH2472" s="1"/>
      <c r="FI2472" s="1"/>
      <c r="FJ2472" s="1"/>
      <c r="FK2472" s="1"/>
      <c r="FL2472" s="1"/>
      <c r="FM2472" s="1"/>
      <c r="FN2472" s="1"/>
      <c r="FO2472" s="1"/>
      <c r="FP2472" s="1"/>
      <c r="FQ2472" s="1"/>
      <c r="FR2472" s="1"/>
      <c r="FS2472" s="1"/>
      <c r="FT2472" s="1"/>
      <c r="FU2472" s="1"/>
      <c r="FV2472" s="1"/>
      <c r="FW2472" s="1"/>
      <c r="FX2472" s="1"/>
      <c r="FY2472" s="1"/>
      <c r="FZ2472" s="1"/>
      <c r="GA2472" s="1"/>
      <c r="GB2472" s="1"/>
      <c r="GC2472" s="1"/>
      <c r="GD2472" s="1"/>
      <c r="GE2472" s="1"/>
      <c r="GF2472" s="1"/>
      <c r="GG2472" s="1"/>
      <c r="GH2472" s="1"/>
      <c r="GI2472" s="1"/>
      <c r="GJ2472" s="1"/>
      <c r="GK2472" s="1"/>
      <c r="GL2472" s="1"/>
      <c r="GM2472" s="1"/>
      <c r="GN2472" s="1"/>
      <c r="GO2472" s="1"/>
      <c r="GP2472" s="1"/>
      <c r="GQ2472" s="1"/>
      <c r="GR2472" s="1"/>
      <c r="GS2472" s="1"/>
      <c r="GT2472" s="1"/>
      <c r="GU2472" s="1"/>
      <c r="GV2472" s="1"/>
      <c r="GW2472" s="1"/>
      <c r="GX2472" s="1"/>
      <c r="GY2472" s="1"/>
      <c r="GZ2472" s="1"/>
      <c r="HA2472" s="1"/>
      <c r="HB2472" s="1"/>
      <c r="HC2472" s="1"/>
      <c r="HD2472" s="1"/>
      <c r="HE2472" s="1"/>
      <c r="HF2472" s="1"/>
      <c r="HG2472" s="1"/>
      <c r="HH2472" s="1"/>
      <c r="HI2472" s="1"/>
      <c r="HJ2472" s="1"/>
      <c r="HK2472" s="1"/>
      <c r="HL2472" s="1"/>
      <c r="HM2472" s="1"/>
      <c r="HN2472" s="1"/>
      <c r="HO2472" s="1"/>
      <c r="HP2472" s="1"/>
      <c r="HQ2472" s="1"/>
    </row>
    <row r="2473" spans="1:225" x14ac:dyDescent="0.35">
      <c r="A2473" s="258">
        <v>1125</v>
      </c>
      <c r="B2473" s="258"/>
      <c r="C2473" s="261"/>
      <c r="D2473" s="264"/>
      <c r="E2473" s="264"/>
      <c r="F2473" s="267"/>
      <c r="G2473" s="258"/>
      <c r="H2473" s="159" t="s">
        <v>76</v>
      </c>
      <c r="I2473" s="158">
        <f>K2473*D2469</f>
        <v>27883.5</v>
      </c>
      <c r="J2473" s="158">
        <f>I2473/D2469</f>
        <v>87</v>
      </c>
      <c r="K2473" s="158">
        <v>87</v>
      </c>
      <c r="L2473" s="1"/>
      <c r="M2473" s="1"/>
      <c r="N2473" s="1"/>
      <c r="O2473" s="1"/>
      <c r="P2473" s="1"/>
      <c r="Q2473" s="1"/>
      <c r="R2473" s="1"/>
      <c r="S2473" s="1"/>
      <c r="T2473" s="1"/>
      <c r="U2473" s="1"/>
      <c r="V2473" s="1"/>
      <c r="W2473" s="1"/>
      <c r="X2473" s="1"/>
      <c r="Y2473" s="1"/>
      <c r="Z2473" s="1"/>
      <c r="AA2473" s="1"/>
      <c r="AB2473" s="1"/>
      <c r="AC2473" s="1"/>
      <c r="AD2473" s="1"/>
      <c r="AE2473" s="1"/>
      <c r="AF2473" s="1"/>
      <c r="AG2473" s="1"/>
      <c r="AH2473" s="1"/>
      <c r="AI2473" s="1"/>
      <c r="AJ2473" s="1"/>
      <c r="AK2473" s="1"/>
      <c r="AL2473" s="1"/>
      <c r="AM2473" s="1"/>
      <c r="AN2473" s="1"/>
      <c r="AO2473" s="1"/>
      <c r="AP2473" s="1"/>
      <c r="AQ2473" s="1"/>
      <c r="AR2473" s="1"/>
      <c r="AS2473" s="1"/>
      <c r="AT2473" s="1"/>
      <c r="AU2473" s="1"/>
      <c r="AV2473" s="1"/>
      <c r="AW2473" s="1"/>
      <c r="AX2473" s="1"/>
      <c r="AY2473" s="1"/>
      <c r="AZ2473" s="1"/>
      <c r="BA2473" s="1"/>
      <c r="BB2473" s="1"/>
      <c r="BC2473" s="1"/>
      <c r="BD2473" s="1"/>
      <c r="BE2473" s="1"/>
      <c r="BF2473" s="1"/>
      <c r="BG2473" s="1"/>
      <c r="BH2473" s="1"/>
      <c r="BI2473" s="1"/>
      <c r="BJ2473" s="1"/>
      <c r="BK2473" s="1"/>
      <c r="BL2473" s="1"/>
      <c r="BM2473" s="1"/>
      <c r="BN2473" s="1"/>
      <c r="BO2473" s="1"/>
      <c r="BP2473" s="1"/>
      <c r="BQ2473" s="1"/>
      <c r="BR2473" s="1"/>
      <c r="BS2473" s="1"/>
      <c r="BT2473" s="1"/>
      <c r="BU2473" s="1"/>
      <c r="BV2473" s="1"/>
      <c r="BW2473" s="1"/>
      <c r="BX2473" s="1"/>
      <c r="BY2473" s="1"/>
      <c r="BZ2473" s="1"/>
      <c r="CA2473" s="1"/>
      <c r="CB2473" s="1"/>
      <c r="CC2473" s="1"/>
      <c r="CD2473" s="1"/>
      <c r="CE2473" s="1"/>
      <c r="CF2473" s="1"/>
      <c r="CG2473" s="1"/>
      <c r="CH2473" s="1"/>
      <c r="CI2473" s="1"/>
      <c r="CJ2473" s="1"/>
      <c r="CK2473" s="1"/>
      <c r="CL2473" s="1"/>
      <c r="CM2473" s="1"/>
      <c r="CN2473" s="1"/>
      <c r="CO2473" s="1"/>
      <c r="CP2473" s="1"/>
      <c r="CQ2473" s="1"/>
      <c r="CR2473" s="1"/>
      <c r="CS2473" s="1"/>
      <c r="CT2473" s="1"/>
      <c r="CU2473" s="1"/>
      <c r="CV2473" s="1"/>
      <c r="CW2473" s="1"/>
      <c r="CX2473" s="1"/>
      <c r="CY2473" s="1"/>
      <c r="CZ2473" s="1"/>
      <c r="DA2473" s="1"/>
      <c r="DB2473" s="1"/>
      <c r="DC2473" s="1"/>
      <c r="DD2473" s="1"/>
      <c r="DE2473" s="1"/>
      <c r="DF2473" s="1"/>
      <c r="DG2473" s="1"/>
      <c r="DH2473" s="1"/>
      <c r="DI2473" s="1"/>
      <c r="DJ2473" s="1"/>
      <c r="DK2473" s="1"/>
      <c r="DL2473" s="1"/>
      <c r="DM2473" s="1"/>
      <c r="DN2473" s="1"/>
      <c r="DO2473" s="1"/>
      <c r="DP2473" s="1"/>
      <c r="DQ2473" s="1"/>
      <c r="DR2473" s="1"/>
      <c r="DS2473" s="1"/>
      <c r="DT2473" s="1"/>
      <c r="DU2473" s="1"/>
      <c r="DV2473" s="1"/>
      <c r="DW2473" s="1"/>
      <c r="DX2473" s="1"/>
      <c r="DY2473" s="1"/>
      <c r="DZ2473" s="1"/>
      <c r="EA2473" s="1"/>
      <c r="EB2473" s="1"/>
      <c r="EC2473" s="1"/>
      <c r="ED2473" s="1"/>
      <c r="EE2473" s="1"/>
      <c r="EF2473" s="1"/>
      <c r="EG2473" s="1"/>
      <c r="EH2473" s="1"/>
      <c r="EI2473" s="1"/>
      <c r="EJ2473" s="1"/>
      <c r="EK2473" s="1"/>
      <c r="EL2473" s="1"/>
      <c r="EM2473" s="1"/>
      <c r="EN2473" s="1"/>
      <c r="EO2473" s="1"/>
      <c r="EP2473" s="1"/>
      <c r="EQ2473" s="1"/>
      <c r="ER2473" s="1"/>
      <c r="ES2473" s="1"/>
      <c r="ET2473" s="1"/>
      <c r="EU2473" s="1"/>
      <c r="EV2473" s="1"/>
      <c r="EW2473" s="1"/>
      <c r="EX2473" s="1"/>
      <c r="EY2473" s="1"/>
      <c r="EZ2473" s="1"/>
      <c r="FA2473" s="1"/>
      <c r="FB2473" s="1"/>
      <c r="FC2473" s="1"/>
      <c r="FD2473" s="1"/>
      <c r="FE2473" s="1"/>
      <c r="FF2473" s="1"/>
      <c r="FG2473" s="1"/>
      <c r="FH2473" s="1"/>
      <c r="FI2473" s="1"/>
      <c r="FJ2473" s="1"/>
      <c r="FK2473" s="1"/>
      <c r="FL2473" s="1"/>
      <c r="FM2473" s="1"/>
      <c r="FN2473" s="1"/>
      <c r="FO2473" s="1"/>
      <c r="FP2473" s="1"/>
      <c r="FQ2473" s="1"/>
      <c r="FR2473" s="1"/>
      <c r="FS2473" s="1"/>
      <c r="FT2473" s="1"/>
      <c r="FU2473" s="1"/>
      <c r="FV2473" s="1"/>
      <c r="FW2473" s="1"/>
      <c r="FX2473" s="1"/>
      <c r="FY2473" s="1"/>
      <c r="FZ2473" s="1"/>
      <c r="GA2473" s="1"/>
      <c r="GB2473" s="1"/>
      <c r="GC2473" s="1"/>
      <c r="GD2473" s="1"/>
      <c r="GE2473" s="1"/>
      <c r="GF2473" s="1"/>
      <c r="GG2473" s="1"/>
      <c r="GH2473" s="1"/>
      <c r="GI2473" s="1"/>
      <c r="GJ2473" s="1"/>
      <c r="GK2473" s="1"/>
      <c r="GL2473" s="1"/>
      <c r="GM2473" s="1"/>
      <c r="GN2473" s="1"/>
      <c r="GO2473" s="1"/>
      <c r="GP2473" s="1"/>
      <c r="GQ2473" s="1"/>
      <c r="GR2473" s="1"/>
      <c r="GS2473" s="1"/>
      <c r="GT2473" s="1"/>
      <c r="GU2473" s="1"/>
      <c r="GV2473" s="1"/>
      <c r="GW2473" s="1"/>
      <c r="GX2473" s="1"/>
      <c r="GY2473" s="1"/>
      <c r="GZ2473" s="1"/>
      <c r="HA2473" s="1"/>
      <c r="HB2473" s="1"/>
      <c r="HC2473" s="1"/>
      <c r="HD2473" s="1"/>
      <c r="HE2473" s="1"/>
      <c r="HF2473" s="1"/>
      <c r="HG2473" s="1"/>
      <c r="HH2473" s="1"/>
      <c r="HI2473" s="1"/>
      <c r="HJ2473" s="1"/>
      <c r="HK2473" s="1"/>
      <c r="HL2473" s="1"/>
      <c r="HM2473" s="1"/>
      <c r="HN2473" s="1"/>
      <c r="HO2473" s="1"/>
      <c r="HP2473" s="1"/>
      <c r="HQ2473" s="1"/>
    </row>
    <row r="2474" spans="1:225" ht="15.75" customHeight="1" x14ac:dyDescent="0.35">
      <c r="A2474" s="256">
        <f>A2469+1</f>
        <v>13</v>
      </c>
      <c r="B2474" s="256">
        <v>5452</v>
      </c>
      <c r="C2474" s="259" t="s">
        <v>451</v>
      </c>
      <c r="D2474" s="262">
        <v>362</v>
      </c>
      <c r="E2474" s="262" t="s">
        <v>665</v>
      </c>
      <c r="F2474" s="265">
        <v>2</v>
      </c>
      <c r="G2474" s="256" t="s">
        <v>85</v>
      </c>
      <c r="H2474" s="159" t="s">
        <v>73</v>
      </c>
      <c r="I2474" s="158">
        <f>I2475+I2476+I2477+I2478</f>
        <v>2426884.2000000002</v>
      </c>
      <c r="J2474" s="158">
        <f>J2475+J2476+J2477+J2478</f>
        <v>6704.1</v>
      </c>
      <c r="K2474" s="158">
        <f>K2475+K2476+K2477+K2478</f>
        <v>9492</v>
      </c>
      <c r="L2474" s="1"/>
      <c r="M2474" s="1"/>
      <c r="N2474" s="1"/>
      <c r="O2474" s="1"/>
      <c r="P2474" s="1"/>
      <c r="Q2474" s="1"/>
      <c r="R2474" s="1"/>
      <c r="S2474" s="1"/>
      <c r="T2474" s="1"/>
      <c r="U2474" s="1"/>
      <c r="V2474" s="1"/>
      <c r="W2474" s="1"/>
      <c r="X2474" s="1"/>
      <c r="Y2474" s="1"/>
      <c r="Z2474" s="1"/>
      <c r="AA2474" s="1"/>
      <c r="AB2474" s="1"/>
      <c r="AC2474" s="1"/>
      <c r="AD2474" s="1"/>
      <c r="AE2474" s="1"/>
      <c r="AF2474" s="1"/>
      <c r="AG2474" s="1"/>
      <c r="AH2474" s="1"/>
      <c r="AI2474" s="1"/>
      <c r="AJ2474" s="1"/>
      <c r="AK2474" s="1"/>
      <c r="AL2474" s="1"/>
      <c r="AM2474" s="1"/>
      <c r="AN2474" s="1"/>
      <c r="AO2474" s="1"/>
      <c r="AP2474" s="1"/>
      <c r="AQ2474" s="1"/>
      <c r="AR2474" s="1"/>
      <c r="AS2474" s="1"/>
      <c r="AT2474" s="1"/>
      <c r="AU2474" s="1"/>
      <c r="AV2474" s="1"/>
      <c r="AW2474" s="1"/>
      <c r="AX2474" s="1"/>
      <c r="AY2474" s="1"/>
      <c r="AZ2474" s="1"/>
      <c r="BA2474" s="1"/>
      <c r="BB2474" s="1"/>
      <c r="BC2474" s="1"/>
      <c r="BD2474" s="1"/>
      <c r="BE2474" s="1"/>
      <c r="BF2474" s="1"/>
      <c r="BG2474" s="1"/>
      <c r="BH2474" s="1"/>
      <c r="BI2474" s="1"/>
      <c r="BJ2474" s="1"/>
      <c r="BK2474" s="1"/>
      <c r="BL2474" s="1"/>
      <c r="BM2474" s="1"/>
      <c r="BN2474" s="1"/>
      <c r="BO2474" s="1"/>
      <c r="BP2474" s="1"/>
      <c r="BQ2474" s="1"/>
      <c r="BR2474" s="1"/>
      <c r="BS2474" s="1"/>
      <c r="BT2474" s="1"/>
      <c r="BU2474" s="1"/>
      <c r="BV2474" s="1"/>
      <c r="BW2474" s="1"/>
      <c r="BX2474" s="1"/>
      <c r="BY2474" s="1"/>
      <c r="BZ2474" s="1"/>
      <c r="CA2474" s="1"/>
      <c r="CB2474" s="1"/>
      <c r="CC2474" s="1"/>
      <c r="CD2474" s="1"/>
      <c r="CE2474" s="1"/>
      <c r="CF2474" s="1"/>
      <c r="CG2474" s="1"/>
      <c r="CH2474" s="1"/>
      <c r="CI2474" s="1"/>
      <c r="CJ2474" s="1"/>
      <c r="CK2474" s="1"/>
      <c r="CL2474" s="1"/>
      <c r="CM2474" s="1"/>
      <c r="CN2474" s="1"/>
      <c r="CO2474" s="1"/>
      <c r="CP2474" s="1"/>
      <c r="CQ2474" s="1"/>
      <c r="CR2474" s="1"/>
      <c r="CS2474" s="1"/>
      <c r="CT2474" s="1"/>
      <c r="CU2474" s="1"/>
      <c r="CV2474" s="1"/>
      <c r="CW2474" s="1"/>
      <c r="CX2474" s="1"/>
      <c r="CY2474" s="1"/>
      <c r="CZ2474" s="1"/>
      <c r="DA2474" s="1"/>
      <c r="DB2474" s="1"/>
      <c r="DC2474" s="1"/>
      <c r="DD2474" s="1"/>
      <c r="DE2474" s="1"/>
      <c r="DF2474" s="1"/>
      <c r="DG2474" s="1"/>
      <c r="DH2474" s="1"/>
      <c r="DI2474" s="1"/>
      <c r="DJ2474" s="1"/>
      <c r="DK2474" s="1"/>
      <c r="DL2474" s="1"/>
      <c r="DM2474" s="1"/>
      <c r="DN2474" s="1"/>
      <c r="DO2474" s="1"/>
      <c r="DP2474" s="1"/>
      <c r="DQ2474" s="1"/>
      <c r="DR2474" s="1"/>
      <c r="DS2474" s="1"/>
      <c r="DT2474" s="1"/>
      <c r="DU2474" s="1"/>
      <c r="DV2474" s="1"/>
      <c r="DW2474" s="1"/>
      <c r="DX2474" s="1"/>
      <c r="DY2474" s="1"/>
      <c r="DZ2474" s="1"/>
      <c r="EA2474" s="1"/>
      <c r="EB2474" s="1"/>
      <c r="EC2474" s="1"/>
      <c r="ED2474" s="1"/>
      <c r="EE2474" s="1"/>
      <c r="EF2474" s="1"/>
      <c r="EG2474" s="1"/>
      <c r="EH2474" s="1"/>
      <c r="EI2474" s="1"/>
      <c r="EJ2474" s="1"/>
      <c r="EK2474" s="1"/>
      <c r="EL2474" s="1"/>
      <c r="EM2474" s="1"/>
      <c r="EN2474" s="1"/>
      <c r="EO2474" s="1"/>
      <c r="EP2474" s="1"/>
      <c r="EQ2474" s="1"/>
      <c r="ER2474" s="1"/>
      <c r="ES2474" s="1"/>
      <c r="ET2474" s="1"/>
      <c r="EU2474" s="1"/>
      <c r="EV2474" s="1"/>
      <c r="EW2474" s="1"/>
      <c r="EX2474" s="1"/>
      <c r="EY2474" s="1"/>
      <c r="EZ2474" s="1"/>
      <c r="FA2474" s="1"/>
      <c r="FB2474" s="1"/>
      <c r="FC2474" s="1"/>
      <c r="FD2474" s="1"/>
      <c r="FE2474" s="1"/>
      <c r="FF2474" s="1"/>
      <c r="FG2474" s="1"/>
      <c r="FH2474" s="1"/>
      <c r="FI2474" s="1"/>
      <c r="FJ2474" s="1"/>
      <c r="FK2474" s="1"/>
      <c r="FL2474" s="1"/>
      <c r="FM2474" s="1"/>
      <c r="FN2474" s="1"/>
      <c r="FO2474" s="1"/>
      <c r="FP2474" s="1"/>
      <c r="FQ2474" s="1"/>
      <c r="FR2474" s="1"/>
      <c r="FS2474" s="1"/>
      <c r="FT2474" s="1"/>
      <c r="FU2474" s="1"/>
      <c r="FV2474" s="1"/>
      <c r="FW2474" s="1"/>
      <c r="FX2474" s="1"/>
      <c r="FY2474" s="1"/>
      <c r="FZ2474" s="1"/>
      <c r="GA2474" s="1"/>
      <c r="GB2474" s="1"/>
      <c r="GC2474" s="1"/>
      <c r="GD2474" s="1"/>
      <c r="GE2474" s="1"/>
      <c r="GF2474" s="1"/>
      <c r="GG2474" s="1"/>
      <c r="GH2474" s="1"/>
      <c r="GI2474" s="1"/>
      <c r="GJ2474" s="1"/>
      <c r="GK2474" s="1"/>
      <c r="GL2474" s="1"/>
      <c r="GM2474" s="1"/>
      <c r="GN2474" s="1"/>
      <c r="GO2474" s="1"/>
      <c r="GP2474" s="1"/>
      <c r="GQ2474" s="1"/>
      <c r="GR2474" s="1"/>
      <c r="GS2474" s="1"/>
      <c r="GT2474" s="1"/>
      <c r="GU2474" s="1"/>
      <c r="GV2474" s="1"/>
      <c r="GW2474" s="1"/>
      <c r="GX2474" s="1"/>
      <c r="GY2474" s="1"/>
      <c r="GZ2474" s="1"/>
      <c r="HA2474" s="1"/>
      <c r="HB2474" s="1"/>
      <c r="HC2474" s="1"/>
      <c r="HD2474" s="1"/>
      <c r="HE2474" s="1"/>
      <c r="HF2474" s="1"/>
      <c r="HG2474" s="1"/>
      <c r="HH2474" s="1"/>
      <c r="HI2474" s="1"/>
      <c r="HJ2474" s="1"/>
      <c r="HK2474" s="1"/>
      <c r="HL2474" s="1"/>
      <c r="HM2474" s="1"/>
      <c r="HN2474" s="1"/>
      <c r="HO2474" s="1"/>
      <c r="HP2474" s="1"/>
      <c r="HQ2474" s="1"/>
    </row>
    <row r="2475" spans="1:225" x14ac:dyDescent="0.35">
      <c r="A2475" s="257"/>
      <c r="B2475" s="257"/>
      <c r="C2475" s="260"/>
      <c r="D2475" s="263"/>
      <c r="E2475" s="263"/>
      <c r="F2475" s="266"/>
      <c r="G2475" s="257"/>
      <c r="H2475" s="159" t="s">
        <v>74</v>
      </c>
      <c r="I2475" s="158">
        <f>K2475*D2474*0.7</f>
        <v>1329843.2</v>
      </c>
      <c r="J2475" s="158">
        <f>I2475/D2474</f>
        <v>3673.6</v>
      </c>
      <c r="K2475" s="158">
        <v>5248</v>
      </c>
      <c r="L2475" s="1"/>
      <c r="M2475" s="1"/>
      <c r="N2475" s="1"/>
      <c r="O2475" s="1"/>
      <c r="P2475" s="1"/>
      <c r="Q2475" s="1"/>
      <c r="R2475" s="1"/>
      <c r="S2475" s="1"/>
      <c r="T2475" s="1"/>
      <c r="U2475" s="1"/>
      <c r="V2475" s="1"/>
      <c r="W2475" s="1"/>
      <c r="X2475" s="1"/>
      <c r="Y2475" s="1"/>
      <c r="Z2475" s="1"/>
      <c r="AA2475" s="1"/>
      <c r="AB2475" s="1"/>
      <c r="AC2475" s="1"/>
      <c r="AD2475" s="1"/>
      <c r="AE2475" s="1"/>
      <c r="AF2475" s="1"/>
      <c r="AG2475" s="1"/>
      <c r="AH2475" s="1"/>
      <c r="AI2475" s="1"/>
      <c r="AJ2475" s="1"/>
      <c r="AK2475" s="1"/>
      <c r="AL2475" s="1"/>
      <c r="AM2475" s="1"/>
      <c r="AN2475" s="1"/>
      <c r="AO2475" s="1"/>
      <c r="AP2475" s="1"/>
      <c r="AQ2475" s="1"/>
      <c r="AR2475" s="1"/>
      <c r="AS2475" s="1"/>
      <c r="AT2475" s="1"/>
      <c r="AU2475" s="1"/>
      <c r="AV2475" s="1"/>
      <c r="AW2475" s="1"/>
      <c r="AX2475" s="1"/>
      <c r="AY2475" s="1"/>
      <c r="AZ2475" s="1"/>
      <c r="BA2475" s="1"/>
      <c r="BB2475" s="1"/>
      <c r="BC2475" s="1"/>
      <c r="BD2475" s="1"/>
      <c r="BE2475" s="1"/>
      <c r="BF2475" s="1"/>
      <c r="BG2475" s="1"/>
      <c r="BH2475" s="1"/>
      <c r="BI2475" s="1"/>
      <c r="BJ2475" s="1"/>
      <c r="BK2475" s="1"/>
      <c r="BL2475" s="1"/>
      <c r="BM2475" s="1"/>
      <c r="BN2475" s="1"/>
      <c r="BO2475" s="1"/>
      <c r="BP2475" s="1"/>
      <c r="BQ2475" s="1"/>
      <c r="BR2475" s="1"/>
      <c r="BS2475" s="1"/>
      <c r="BT2475" s="1"/>
      <c r="BU2475" s="1"/>
      <c r="BV2475" s="1"/>
      <c r="BW2475" s="1"/>
      <c r="BX2475" s="1"/>
      <c r="BY2475" s="1"/>
      <c r="BZ2475" s="1"/>
      <c r="CA2475" s="1"/>
      <c r="CB2475" s="1"/>
      <c r="CC2475" s="1"/>
      <c r="CD2475" s="1"/>
      <c r="CE2475" s="1"/>
      <c r="CF2475" s="1"/>
      <c r="CG2475" s="1"/>
      <c r="CH2475" s="1"/>
      <c r="CI2475" s="1"/>
      <c r="CJ2475" s="1"/>
      <c r="CK2475" s="1"/>
      <c r="CL2475" s="1"/>
      <c r="CM2475" s="1"/>
      <c r="CN2475" s="1"/>
      <c r="CO2475" s="1"/>
      <c r="CP2475" s="1"/>
      <c r="CQ2475" s="1"/>
      <c r="CR2475" s="1"/>
      <c r="CS2475" s="1"/>
      <c r="CT2475" s="1"/>
      <c r="CU2475" s="1"/>
      <c r="CV2475" s="1"/>
      <c r="CW2475" s="1"/>
      <c r="CX2475" s="1"/>
      <c r="CY2475" s="1"/>
      <c r="CZ2475" s="1"/>
      <c r="DA2475" s="1"/>
      <c r="DB2475" s="1"/>
      <c r="DC2475" s="1"/>
      <c r="DD2475" s="1"/>
      <c r="DE2475" s="1"/>
      <c r="DF2475" s="1"/>
      <c r="DG2475" s="1"/>
      <c r="DH2475" s="1"/>
      <c r="DI2475" s="1"/>
      <c r="DJ2475" s="1"/>
      <c r="DK2475" s="1"/>
      <c r="DL2475" s="1"/>
      <c r="DM2475" s="1"/>
      <c r="DN2475" s="1"/>
      <c r="DO2475" s="1"/>
      <c r="DP2475" s="1"/>
      <c r="DQ2475" s="1"/>
      <c r="DR2475" s="1"/>
      <c r="DS2475" s="1"/>
      <c r="DT2475" s="1"/>
      <c r="DU2475" s="1"/>
      <c r="DV2475" s="1"/>
      <c r="DW2475" s="1"/>
      <c r="DX2475" s="1"/>
      <c r="DY2475" s="1"/>
      <c r="DZ2475" s="1"/>
      <c r="EA2475" s="1"/>
      <c r="EB2475" s="1"/>
      <c r="EC2475" s="1"/>
      <c r="ED2475" s="1"/>
      <c r="EE2475" s="1"/>
      <c r="EF2475" s="1"/>
      <c r="EG2475" s="1"/>
      <c r="EH2475" s="1"/>
      <c r="EI2475" s="1"/>
      <c r="EJ2475" s="1"/>
      <c r="EK2475" s="1"/>
      <c r="EL2475" s="1"/>
      <c r="EM2475" s="1"/>
      <c r="EN2475" s="1"/>
      <c r="EO2475" s="1"/>
      <c r="EP2475" s="1"/>
      <c r="EQ2475" s="1"/>
      <c r="ER2475" s="1"/>
      <c r="ES2475" s="1"/>
      <c r="ET2475" s="1"/>
      <c r="EU2475" s="1"/>
      <c r="EV2475" s="1"/>
      <c r="EW2475" s="1"/>
      <c r="EX2475" s="1"/>
      <c r="EY2475" s="1"/>
      <c r="EZ2475" s="1"/>
      <c r="FA2475" s="1"/>
      <c r="FB2475" s="1"/>
      <c r="FC2475" s="1"/>
      <c r="FD2475" s="1"/>
      <c r="FE2475" s="1"/>
      <c r="FF2475" s="1"/>
      <c r="FG2475" s="1"/>
      <c r="FH2475" s="1"/>
      <c r="FI2475" s="1"/>
      <c r="FJ2475" s="1"/>
      <c r="FK2475" s="1"/>
      <c r="FL2475" s="1"/>
      <c r="FM2475" s="1"/>
      <c r="FN2475" s="1"/>
      <c r="FO2475" s="1"/>
      <c r="FP2475" s="1"/>
      <c r="FQ2475" s="1"/>
      <c r="FR2475" s="1"/>
      <c r="FS2475" s="1"/>
      <c r="FT2475" s="1"/>
      <c r="FU2475" s="1"/>
      <c r="FV2475" s="1"/>
      <c r="FW2475" s="1"/>
      <c r="FX2475" s="1"/>
      <c r="FY2475" s="1"/>
      <c r="FZ2475" s="1"/>
      <c r="GA2475" s="1"/>
      <c r="GB2475" s="1"/>
      <c r="GC2475" s="1"/>
      <c r="GD2475" s="1"/>
      <c r="GE2475" s="1"/>
      <c r="GF2475" s="1"/>
      <c r="GG2475" s="1"/>
      <c r="GH2475" s="1"/>
      <c r="GI2475" s="1"/>
      <c r="GJ2475" s="1"/>
      <c r="GK2475" s="1"/>
      <c r="GL2475" s="1"/>
      <c r="GM2475" s="1"/>
      <c r="GN2475" s="1"/>
      <c r="GO2475" s="1"/>
      <c r="GP2475" s="1"/>
      <c r="GQ2475" s="1"/>
      <c r="GR2475" s="1"/>
      <c r="GS2475" s="1"/>
      <c r="GT2475" s="1"/>
      <c r="GU2475" s="1"/>
      <c r="GV2475" s="1"/>
      <c r="GW2475" s="1"/>
      <c r="GX2475" s="1"/>
      <c r="GY2475" s="1"/>
      <c r="GZ2475" s="1"/>
      <c r="HA2475" s="1"/>
      <c r="HB2475" s="1"/>
      <c r="HC2475" s="1"/>
      <c r="HD2475" s="1"/>
      <c r="HE2475" s="1"/>
      <c r="HF2475" s="1"/>
      <c r="HG2475" s="1"/>
      <c r="HH2475" s="1"/>
      <c r="HI2475" s="1"/>
      <c r="HJ2475" s="1"/>
      <c r="HK2475" s="1"/>
      <c r="HL2475" s="1"/>
      <c r="HM2475" s="1"/>
      <c r="HN2475" s="1"/>
      <c r="HO2475" s="1"/>
      <c r="HP2475" s="1"/>
      <c r="HQ2475" s="1"/>
    </row>
    <row r="2476" spans="1:225" x14ac:dyDescent="0.35">
      <c r="A2476" s="257"/>
      <c r="B2476" s="257"/>
      <c r="C2476" s="260"/>
      <c r="D2476" s="263"/>
      <c r="E2476" s="263"/>
      <c r="F2476" s="266"/>
      <c r="G2476" s="257"/>
      <c r="H2476" s="159" t="s">
        <v>76</v>
      </c>
      <c r="I2476" s="158">
        <f>K2476*D2474</f>
        <v>40544</v>
      </c>
      <c r="J2476" s="158">
        <f>I2476/D2474</f>
        <v>112</v>
      </c>
      <c r="K2476" s="158">
        <v>112</v>
      </c>
      <c r="L2476" s="1"/>
      <c r="M2476" s="1"/>
      <c r="N2476" s="1"/>
      <c r="O2476" s="1"/>
      <c r="P2476" s="1"/>
      <c r="Q2476" s="1"/>
      <c r="R2476" s="1"/>
      <c r="S2476" s="1"/>
      <c r="T2476" s="1"/>
      <c r="U2476" s="1"/>
      <c r="V2476" s="1"/>
      <c r="W2476" s="1"/>
      <c r="X2476" s="1"/>
      <c r="Y2476" s="1"/>
      <c r="Z2476" s="1"/>
      <c r="AA2476" s="1"/>
      <c r="AB2476" s="1"/>
      <c r="AC2476" s="1"/>
      <c r="AD2476" s="1"/>
      <c r="AE2476" s="1"/>
      <c r="AF2476" s="1"/>
      <c r="AG2476" s="1"/>
      <c r="AH2476" s="1"/>
      <c r="AI2476" s="1"/>
      <c r="AJ2476" s="1"/>
      <c r="AK2476" s="1"/>
      <c r="AL2476" s="1"/>
      <c r="AM2476" s="1"/>
      <c r="AN2476" s="1"/>
      <c r="AO2476" s="1"/>
      <c r="AP2476" s="1"/>
      <c r="AQ2476" s="1"/>
      <c r="AR2476" s="1"/>
      <c r="AS2476" s="1"/>
      <c r="AT2476" s="1"/>
      <c r="AU2476" s="1"/>
      <c r="AV2476" s="1"/>
      <c r="AW2476" s="1"/>
      <c r="AX2476" s="1"/>
      <c r="AY2476" s="1"/>
      <c r="AZ2476" s="1"/>
      <c r="BA2476" s="1"/>
      <c r="BB2476" s="1"/>
      <c r="BC2476" s="1"/>
      <c r="BD2476" s="1"/>
      <c r="BE2476" s="1"/>
      <c r="BF2476" s="1"/>
      <c r="BG2476" s="1"/>
      <c r="BH2476" s="1"/>
      <c r="BI2476" s="1"/>
      <c r="BJ2476" s="1"/>
      <c r="BK2476" s="1"/>
      <c r="BL2476" s="1"/>
      <c r="BM2476" s="1"/>
      <c r="BN2476" s="1"/>
      <c r="BO2476" s="1"/>
      <c r="BP2476" s="1"/>
      <c r="BQ2476" s="1"/>
      <c r="BR2476" s="1"/>
      <c r="BS2476" s="1"/>
      <c r="BT2476" s="1"/>
      <c r="BU2476" s="1"/>
      <c r="BV2476" s="1"/>
      <c r="BW2476" s="1"/>
      <c r="BX2476" s="1"/>
      <c r="BY2476" s="1"/>
      <c r="BZ2476" s="1"/>
      <c r="CA2476" s="1"/>
      <c r="CB2476" s="1"/>
      <c r="CC2476" s="1"/>
      <c r="CD2476" s="1"/>
      <c r="CE2476" s="1"/>
      <c r="CF2476" s="1"/>
      <c r="CG2476" s="1"/>
      <c r="CH2476" s="1"/>
      <c r="CI2476" s="1"/>
      <c r="CJ2476" s="1"/>
      <c r="CK2476" s="1"/>
      <c r="CL2476" s="1"/>
      <c r="CM2476" s="1"/>
      <c r="CN2476" s="1"/>
      <c r="CO2476" s="1"/>
      <c r="CP2476" s="1"/>
      <c r="CQ2476" s="1"/>
      <c r="CR2476" s="1"/>
      <c r="CS2476" s="1"/>
      <c r="CT2476" s="1"/>
      <c r="CU2476" s="1"/>
      <c r="CV2476" s="1"/>
      <c r="CW2476" s="1"/>
      <c r="CX2476" s="1"/>
      <c r="CY2476" s="1"/>
      <c r="CZ2476" s="1"/>
      <c r="DA2476" s="1"/>
      <c r="DB2476" s="1"/>
      <c r="DC2476" s="1"/>
      <c r="DD2476" s="1"/>
      <c r="DE2476" s="1"/>
      <c r="DF2476" s="1"/>
      <c r="DG2476" s="1"/>
      <c r="DH2476" s="1"/>
      <c r="DI2476" s="1"/>
      <c r="DJ2476" s="1"/>
      <c r="DK2476" s="1"/>
      <c r="DL2476" s="1"/>
      <c r="DM2476" s="1"/>
      <c r="DN2476" s="1"/>
      <c r="DO2476" s="1"/>
      <c r="DP2476" s="1"/>
      <c r="DQ2476" s="1"/>
      <c r="DR2476" s="1"/>
      <c r="DS2476" s="1"/>
      <c r="DT2476" s="1"/>
      <c r="DU2476" s="1"/>
      <c r="DV2476" s="1"/>
      <c r="DW2476" s="1"/>
      <c r="DX2476" s="1"/>
      <c r="DY2476" s="1"/>
      <c r="DZ2476" s="1"/>
      <c r="EA2476" s="1"/>
      <c r="EB2476" s="1"/>
      <c r="EC2476" s="1"/>
      <c r="ED2476" s="1"/>
      <c r="EE2476" s="1"/>
      <c r="EF2476" s="1"/>
      <c r="EG2476" s="1"/>
      <c r="EH2476" s="1"/>
      <c r="EI2476" s="1"/>
      <c r="EJ2476" s="1"/>
      <c r="EK2476" s="1"/>
      <c r="EL2476" s="1"/>
      <c r="EM2476" s="1"/>
      <c r="EN2476" s="1"/>
      <c r="EO2476" s="1"/>
      <c r="EP2476" s="1"/>
      <c r="EQ2476" s="1"/>
      <c r="ER2476" s="1"/>
      <c r="ES2476" s="1"/>
      <c r="ET2476" s="1"/>
      <c r="EU2476" s="1"/>
      <c r="EV2476" s="1"/>
      <c r="EW2476" s="1"/>
      <c r="EX2476" s="1"/>
      <c r="EY2476" s="1"/>
      <c r="EZ2476" s="1"/>
      <c r="FA2476" s="1"/>
      <c r="FB2476" s="1"/>
      <c r="FC2476" s="1"/>
      <c r="FD2476" s="1"/>
      <c r="FE2476" s="1"/>
      <c r="FF2476" s="1"/>
      <c r="FG2476" s="1"/>
      <c r="FH2476" s="1"/>
      <c r="FI2476" s="1"/>
      <c r="FJ2476" s="1"/>
      <c r="FK2476" s="1"/>
      <c r="FL2476" s="1"/>
      <c r="FM2476" s="1"/>
      <c r="FN2476" s="1"/>
      <c r="FO2476" s="1"/>
      <c r="FP2476" s="1"/>
      <c r="FQ2476" s="1"/>
      <c r="FR2476" s="1"/>
      <c r="FS2476" s="1"/>
      <c r="FT2476" s="1"/>
      <c r="FU2476" s="1"/>
      <c r="FV2476" s="1"/>
      <c r="FW2476" s="1"/>
      <c r="FX2476" s="1"/>
      <c r="FY2476" s="1"/>
      <c r="FZ2476" s="1"/>
      <c r="GA2476" s="1"/>
      <c r="GB2476" s="1"/>
      <c r="GC2476" s="1"/>
      <c r="GD2476" s="1"/>
      <c r="GE2476" s="1"/>
      <c r="GF2476" s="1"/>
      <c r="GG2476" s="1"/>
      <c r="GH2476" s="1"/>
      <c r="GI2476" s="1"/>
      <c r="GJ2476" s="1"/>
      <c r="GK2476" s="1"/>
      <c r="GL2476" s="1"/>
      <c r="GM2476" s="1"/>
      <c r="GN2476" s="1"/>
      <c r="GO2476" s="1"/>
      <c r="GP2476" s="1"/>
      <c r="GQ2476" s="1"/>
      <c r="GR2476" s="1"/>
      <c r="GS2476" s="1"/>
      <c r="GT2476" s="1"/>
      <c r="GU2476" s="1"/>
      <c r="GV2476" s="1"/>
      <c r="GW2476" s="1"/>
      <c r="GX2476" s="1"/>
      <c r="GY2476" s="1"/>
      <c r="GZ2476" s="1"/>
      <c r="HA2476" s="1"/>
      <c r="HB2476" s="1"/>
      <c r="HC2476" s="1"/>
      <c r="HD2476" s="1"/>
      <c r="HE2476" s="1"/>
      <c r="HF2476" s="1"/>
      <c r="HG2476" s="1"/>
      <c r="HH2476" s="1"/>
      <c r="HI2476" s="1"/>
      <c r="HJ2476" s="1"/>
      <c r="HK2476" s="1"/>
      <c r="HL2476" s="1"/>
      <c r="HM2476" s="1"/>
      <c r="HN2476" s="1"/>
      <c r="HO2476" s="1"/>
      <c r="HP2476" s="1"/>
      <c r="HQ2476" s="1"/>
    </row>
    <row r="2477" spans="1:225" ht="15.75" customHeight="1" x14ac:dyDescent="0.35">
      <c r="A2477" s="257">
        <v>1126</v>
      </c>
      <c r="B2477" s="257"/>
      <c r="C2477" s="260"/>
      <c r="D2477" s="263"/>
      <c r="E2477" s="263"/>
      <c r="F2477" s="266"/>
      <c r="G2477" s="257"/>
      <c r="H2477" s="159" t="s">
        <v>708</v>
      </c>
      <c r="I2477" s="158">
        <f>D2474*K2477*0.7</f>
        <v>1025003</v>
      </c>
      <c r="J2477" s="158">
        <f>I2477/D2474</f>
        <v>2831.5</v>
      </c>
      <c r="K2477" s="158">
        <v>4045</v>
      </c>
      <c r="L2477" s="1"/>
      <c r="M2477" s="1"/>
      <c r="N2477" s="1"/>
      <c r="O2477" s="1"/>
      <c r="P2477" s="1"/>
      <c r="Q2477" s="1"/>
      <c r="R2477" s="1"/>
      <c r="S2477" s="1"/>
      <c r="T2477" s="1"/>
      <c r="U2477" s="1"/>
      <c r="V2477" s="1"/>
      <c r="W2477" s="1"/>
      <c r="X2477" s="1"/>
      <c r="Y2477" s="1"/>
      <c r="Z2477" s="1"/>
      <c r="AA2477" s="1"/>
      <c r="AB2477" s="1"/>
      <c r="AC2477" s="1"/>
      <c r="AD2477" s="1"/>
      <c r="AE2477" s="1"/>
      <c r="AF2477" s="1"/>
      <c r="AG2477" s="1"/>
      <c r="AH2477" s="1"/>
      <c r="AI2477" s="1"/>
      <c r="AJ2477" s="1"/>
      <c r="AK2477" s="1"/>
      <c r="AL2477" s="1"/>
      <c r="AM2477" s="1"/>
      <c r="AN2477" s="1"/>
      <c r="AO2477" s="1"/>
      <c r="AP2477" s="1"/>
      <c r="AQ2477" s="1"/>
      <c r="AR2477" s="1"/>
      <c r="AS2477" s="1"/>
      <c r="AT2477" s="1"/>
      <c r="AU2477" s="1"/>
      <c r="AV2477" s="1"/>
      <c r="AW2477" s="1"/>
      <c r="AX2477" s="1"/>
      <c r="AY2477" s="1"/>
      <c r="AZ2477" s="1"/>
      <c r="BA2477" s="1"/>
      <c r="BB2477" s="1"/>
      <c r="BC2477" s="1"/>
      <c r="BD2477" s="1"/>
      <c r="BE2477" s="1"/>
      <c r="BF2477" s="1"/>
      <c r="BG2477" s="1"/>
      <c r="BH2477" s="1"/>
      <c r="BI2477" s="1"/>
      <c r="BJ2477" s="1"/>
      <c r="BK2477" s="1"/>
      <c r="BL2477" s="1"/>
      <c r="BM2477" s="1"/>
      <c r="BN2477" s="1"/>
      <c r="BO2477" s="1"/>
      <c r="BP2477" s="1"/>
      <c r="BQ2477" s="1"/>
      <c r="BR2477" s="1"/>
      <c r="BS2477" s="1"/>
      <c r="BT2477" s="1"/>
      <c r="BU2477" s="1"/>
      <c r="BV2477" s="1"/>
      <c r="BW2477" s="1"/>
      <c r="BX2477" s="1"/>
      <c r="BY2477" s="1"/>
      <c r="BZ2477" s="1"/>
      <c r="CA2477" s="1"/>
      <c r="CB2477" s="1"/>
      <c r="CC2477" s="1"/>
      <c r="CD2477" s="1"/>
      <c r="CE2477" s="1"/>
      <c r="CF2477" s="1"/>
      <c r="CG2477" s="1"/>
      <c r="CH2477" s="1"/>
      <c r="CI2477" s="1"/>
      <c r="CJ2477" s="1"/>
      <c r="CK2477" s="1"/>
      <c r="CL2477" s="1"/>
      <c r="CM2477" s="1"/>
      <c r="CN2477" s="1"/>
      <c r="CO2477" s="1"/>
      <c r="CP2477" s="1"/>
      <c r="CQ2477" s="1"/>
      <c r="CR2477" s="1"/>
      <c r="CS2477" s="1"/>
      <c r="CT2477" s="1"/>
      <c r="CU2477" s="1"/>
      <c r="CV2477" s="1"/>
      <c r="CW2477" s="1"/>
      <c r="CX2477" s="1"/>
      <c r="CY2477" s="1"/>
      <c r="CZ2477" s="1"/>
      <c r="DA2477" s="1"/>
      <c r="DB2477" s="1"/>
      <c r="DC2477" s="1"/>
      <c r="DD2477" s="1"/>
      <c r="DE2477" s="1"/>
      <c r="DF2477" s="1"/>
      <c r="DG2477" s="1"/>
      <c r="DH2477" s="1"/>
      <c r="DI2477" s="1"/>
      <c r="DJ2477" s="1"/>
      <c r="DK2477" s="1"/>
      <c r="DL2477" s="1"/>
      <c r="DM2477" s="1"/>
      <c r="DN2477" s="1"/>
      <c r="DO2477" s="1"/>
      <c r="DP2477" s="1"/>
      <c r="DQ2477" s="1"/>
      <c r="DR2477" s="1"/>
      <c r="DS2477" s="1"/>
      <c r="DT2477" s="1"/>
      <c r="DU2477" s="1"/>
      <c r="DV2477" s="1"/>
      <c r="DW2477" s="1"/>
      <c r="DX2477" s="1"/>
      <c r="DY2477" s="1"/>
      <c r="DZ2477" s="1"/>
      <c r="EA2477" s="1"/>
      <c r="EB2477" s="1"/>
      <c r="EC2477" s="1"/>
      <c r="ED2477" s="1"/>
      <c r="EE2477" s="1"/>
      <c r="EF2477" s="1"/>
      <c r="EG2477" s="1"/>
      <c r="EH2477" s="1"/>
      <c r="EI2477" s="1"/>
      <c r="EJ2477" s="1"/>
      <c r="EK2477" s="1"/>
      <c r="EL2477" s="1"/>
      <c r="EM2477" s="1"/>
      <c r="EN2477" s="1"/>
      <c r="EO2477" s="1"/>
      <c r="EP2477" s="1"/>
      <c r="EQ2477" s="1"/>
      <c r="ER2477" s="1"/>
      <c r="ES2477" s="1"/>
      <c r="ET2477" s="1"/>
      <c r="EU2477" s="1"/>
      <c r="EV2477" s="1"/>
      <c r="EW2477" s="1"/>
      <c r="EX2477" s="1"/>
      <c r="EY2477" s="1"/>
      <c r="EZ2477" s="1"/>
      <c r="FA2477" s="1"/>
      <c r="FB2477" s="1"/>
      <c r="FC2477" s="1"/>
      <c r="FD2477" s="1"/>
      <c r="FE2477" s="1"/>
      <c r="FF2477" s="1"/>
      <c r="FG2477" s="1"/>
      <c r="FH2477" s="1"/>
      <c r="FI2477" s="1"/>
      <c r="FJ2477" s="1"/>
      <c r="FK2477" s="1"/>
      <c r="FL2477" s="1"/>
      <c r="FM2477" s="1"/>
      <c r="FN2477" s="1"/>
      <c r="FO2477" s="1"/>
      <c r="FP2477" s="1"/>
      <c r="FQ2477" s="1"/>
      <c r="FR2477" s="1"/>
      <c r="FS2477" s="1"/>
      <c r="FT2477" s="1"/>
      <c r="FU2477" s="1"/>
      <c r="FV2477" s="1"/>
      <c r="FW2477" s="1"/>
      <c r="FX2477" s="1"/>
      <c r="FY2477" s="1"/>
      <c r="FZ2477" s="1"/>
      <c r="GA2477" s="1"/>
      <c r="GB2477" s="1"/>
      <c r="GC2477" s="1"/>
      <c r="GD2477" s="1"/>
      <c r="GE2477" s="1"/>
      <c r="GF2477" s="1"/>
      <c r="GG2477" s="1"/>
      <c r="GH2477" s="1"/>
      <c r="GI2477" s="1"/>
      <c r="GJ2477" s="1"/>
      <c r="GK2477" s="1"/>
      <c r="GL2477" s="1"/>
      <c r="GM2477" s="1"/>
      <c r="GN2477" s="1"/>
      <c r="GO2477" s="1"/>
      <c r="GP2477" s="1"/>
      <c r="GQ2477" s="1"/>
      <c r="GR2477" s="1"/>
      <c r="GS2477" s="1"/>
      <c r="GT2477" s="1"/>
      <c r="GU2477" s="1"/>
      <c r="GV2477" s="1"/>
      <c r="GW2477" s="1"/>
      <c r="GX2477" s="1"/>
      <c r="GY2477" s="1"/>
      <c r="GZ2477" s="1"/>
      <c r="HA2477" s="1"/>
      <c r="HB2477" s="1"/>
      <c r="HC2477" s="1"/>
      <c r="HD2477" s="1"/>
      <c r="HE2477" s="1"/>
      <c r="HF2477" s="1"/>
      <c r="HG2477" s="1"/>
      <c r="HH2477" s="1"/>
      <c r="HI2477" s="1"/>
      <c r="HJ2477" s="1"/>
      <c r="HK2477" s="1"/>
      <c r="HL2477" s="1"/>
      <c r="HM2477" s="1"/>
      <c r="HN2477" s="1"/>
      <c r="HO2477" s="1"/>
      <c r="HP2477" s="1"/>
      <c r="HQ2477" s="1"/>
    </row>
    <row r="2478" spans="1:225" ht="15.75" customHeight="1" x14ac:dyDescent="0.35">
      <c r="A2478" s="258">
        <v>1127</v>
      </c>
      <c r="B2478" s="258"/>
      <c r="C2478" s="261"/>
      <c r="D2478" s="264"/>
      <c r="E2478" s="264"/>
      <c r="F2478" s="267"/>
      <c r="G2478" s="258"/>
      <c r="H2478" s="159" t="s">
        <v>76</v>
      </c>
      <c r="I2478" s="158">
        <f>D2474*K2478</f>
        <v>31494</v>
      </c>
      <c r="J2478" s="158">
        <f>I2478/D2474</f>
        <v>87</v>
      </c>
      <c r="K2478" s="158">
        <v>87</v>
      </c>
      <c r="L2478" s="1"/>
      <c r="M2478" s="1"/>
      <c r="N2478" s="1"/>
      <c r="O2478" s="1"/>
      <c r="P2478" s="1"/>
      <c r="Q2478" s="1"/>
      <c r="R2478" s="1"/>
      <c r="S2478" s="1"/>
      <c r="T2478" s="1"/>
      <c r="U2478" s="1"/>
      <c r="V2478" s="1"/>
      <c r="W2478" s="1"/>
      <c r="X2478" s="1"/>
      <c r="Y2478" s="1"/>
      <c r="Z2478" s="1"/>
      <c r="AA2478" s="1"/>
      <c r="AB2478" s="1"/>
      <c r="AC2478" s="1"/>
      <c r="AD2478" s="1"/>
      <c r="AE2478" s="1"/>
      <c r="AF2478" s="1"/>
      <c r="AG2478" s="1"/>
      <c r="AH2478" s="1"/>
      <c r="AI2478" s="1"/>
      <c r="AJ2478" s="1"/>
      <c r="AK2478" s="1"/>
      <c r="AL2478" s="1"/>
      <c r="AM2478" s="1"/>
      <c r="AN2478" s="1"/>
      <c r="AO2478" s="1"/>
      <c r="AP2478" s="1"/>
      <c r="AQ2478" s="1"/>
      <c r="AR2478" s="1"/>
      <c r="AS2478" s="1"/>
      <c r="AT2478" s="1"/>
      <c r="AU2478" s="1"/>
      <c r="AV2478" s="1"/>
      <c r="AW2478" s="1"/>
      <c r="AX2478" s="1"/>
      <c r="AY2478" s="1"/>
      <c r="AZ2478" s="1"/>
      <c r="BA2478" s="1"/>
      <c r="BB2478" s="1"/>
      <c r="BC2478" s="1"/>
      <c r="BD2478" s="1"/>
      <c r="BE2478" s="1"/>
      <c r="BF2478" s="1"/>
      <c r="BG2478" s="1"/>
      <c r="BH2478" s="1"/>
      <c r="BI2478" s="1"/>
      <c r="BJ2478" s="1"/>
      <c r="BK2478" s="1"/>
      <c r="BL2478" s="1"/>
      <c r="BM2478" s="1"/>
      <c r="BN2478" s="1"/>
      <c r="BO2478" s="1"/>
      <c r="BP2478" s="1"/>
      <c r="BQ2478" s="1"/>
      <c r="BR2478" s="1"/>
      <c r="BS2478" s="1"/>
      <c r="BT2478" s="1"/>
      <c r="BU2478" s="1"/>
      <c r="BV2478" s="1"/>
      <c r="BW2478" s="1"/>
      <c r="BX2478" s="1"/>
      <c r="BY2478" s="1"/>
      <c r="BZ2478" s="1"/>
      <c r="CA2478" s="1"/>
      <c r="CB2478" s="1"/>
      <c r="CC2478" s="1"/>
      <c r="CD2478" s="1"/>
      <c r="CE2478" s="1"/>
      <c r="CF2478" s="1"/>
      <c r="CG2478" s="1"/>
      <c r="CH2478" s="1"/>
      <c r="CI2478" s="1"/>
      <c r="CJ2478" s="1"/>
      <c r="CK2478" s="1"/>
      <c r="CL2478" s="1"/>
      <c r="CM2478" s="1"/>
      <c r="CN2478" s="1"/>
      <c r="CO2478" s="1"/>
      <c r="CP2478" s="1"/>
      <c r="CQ2478" s="1"/>
      <c r="CR2478" s="1"/>
      <c r="CS2478" s="1"/>
      <c r="CT2478" s="1"/>
      <c r="CU2478" s="1"/>
      <c r="CV2478" s="1"/>
      <c r="CW2478" s="1"/>
      <c r="CX2478" s="1"/>
      <c r="CY2478" s="1"/>
      <c r="CZ2478" s="1"/>
      <c r="DA2478" s="1"/>
      <c r="DB2478" s="1"/>
      <c r="DC2478" s="1"/>
      <c r="DD2478" s="1"/>
      <c r="DE2478" s="1"/>
      <c r="DF2478" s="1"/>
      <c r="DG2478" s="1"/>
      <c r="DH2478" s="1"/>
      <c r="DI2478" s="1"/>
      <c r="DJ2478" s="1"/>
      <c r="DK2478" s="1"/>
      <c r="DL2478" s="1"/>
      <c r="DM2478" s="1"/>
      <c r="DN2478" s="1"/>
      <c r="DO2478" s="1"/>
      <c r="DP2478" s="1"/>
      <c r="DQ2478" s="1"/>
      <c r="DR2478" s="1"/>
      <c r="DS2478" s="1"/>
      <c r="DT2478" s="1"/>
      <c r="DU2478" s="1"/>
      <c r="DV2478" s="1"/>
      <c r="DW2478" s="1"/>
      <c r="DX2478" s="1"/>
      <c r="DY2478" s="1"/>
      <c r="DZ2478" s="1"/>
      <c r="EA2478" s="1"/>
      <c r="EB2478" s="1"/>
      <c r="EC2478" s="1"/>
      <c r="ED2478" s="1"/>
      <c r="EE2478" s="1"/>
      <c r="EF2478" s="1"/>
      <c r="EG2478" s="1"/>
      <c r="EH2478" s="1"/>
      <c r="EI2478" s="1"/>
      <c r="EJ2478" s="1"/>
      <c r="EK2478" s="1"/>
      <c r="EL2478" s="1"/>
      <c r="EM2478" s="1"/>
      <c r="EN2478" s="1"/>
      <c r="EO2478" s="1"/>
      <c r="EP2478" s="1"/>
      <c r="EQ2478" s="1"/>
      <c r="ER2478" s="1"/>
      <c r="ES2478" s="1"/>
      <c r="ET2478" s="1"/>
      <c r="EU2478" s="1"/>
      <c r="EV2478" s="1"/>
      <c r="EW2478" s="1"/>
      <c r="EX2478" s="1"/>
      <c r="EY2478" s="1"/>
      <c r="EZ2478" s="1"/>
      <c r="FA2478" s="1"/>
      <c r="FB2478" s="1"/>
      <c r="FC2478" s="1"/>
      <c r="FD2478" s="1"/>
      <c r="FE2478" s="1"/>
      <c r="FF2478" s="1"/>
      <c r="FG2478" s="1"/>
      <c r="FH2478" s="1"/>
      <c r="FI2478" s="1"/>
      <c r="FJ2478" s="1"/>
      <c r="FK2478" s="1"/>
      <c r="FL2478" s="1"/>
      <c r="FM2478" s="1"/>
      <c r="FN2478" s="1"/>
      <c r="FO2478" s="1"/>
      <c r="FP2478" s="1"/>
      <c r="FQ2478" s="1"/>
      <c r="FR2478" s="1"/>
      <c r="FS2478" s="1"/>
      <c r="FT2478" s="1"/>
      <c r="FU2478" s="1"/>
      <c r="FV2478" s="1"/>
      <c r="FW2478" s="1"/>
      <c r="FX2478" s="1"/>
      <c r="FY2478" s="1"/>
      <c r="FZ2478" s="1"/>
      <c r="GA2478" s="1"/>
      <c r="GB2478" s="1"/>
      <c r="GC2478" s="1"/>
      <c r="GD2478" s="1"/>
      <c r="GE2478" s="1"/>
      <c r="GF2478" s="1"/>
      <c r="GG2478" s="1"/>
      <c r="GH2478" s="1"/>
      <c r="GI2478" s="1"/>
      <c r="GJ2478" s="1"/>
      <c r="GK2478" s="1"/>
      <c r="GL2478" s="1"/>
      <c r="GM2478" s="1"/>
      <c r="GN2478" s="1"/>
      <c r="GO2478" s="1"/>
      <c r="GP2478" s="1"/>
      <c r="GQ2478" s="1"/>
      <c r="GR2478" s="1"/>
      <c r="GS2478" s="1"/>
      <c r="GT2478" s="1"/>
      <c r="GU2478" s="1"/>
      <c r="GV2478" s="1"/>
      <c r="GW2478" s="1"/>
      <c r="GX2478" s="1"/>
      <c r="GY2478" s="1"/>
      <c r="GZ2478" s="1"/>
      <c r="HA2478" s="1"/>
      <c r="HB2478" s="1"/>
      <c r="HC2478" s="1"/>
      <c r="HD2478" s="1"/>
      <c r="HE2478" s="1"/>
      <c r="HF2478" s="1"/>
      <c r="HG2478" s="1"/>
      <c r="HH2478" s="1"/>
      <c r="HI2478" s="1"/>
      <c r="HJ2478" s="1"/>
      <c r="HK2478" s="1"/>
      <c r="HL2478" s="1"/>
      <c r="HM2478" s="1"/>
      <c r="HN2478" s="1"/>
      <c r="HO2478" s="1"/>
      <c r="HP2478" s="1"/>
      <c r="HQ2478" s="1"/>
    </row>
    <row r="2479" spans="1:225" ht="15.75" customHeight="1" x14ac:dyDescent="0.35">
      <c r="A2479" s="256">
        <f>A2474+1</f>
        <v>14</v>
      </c>
      <c r="B2479" s="256">
        <v>5464</v>
      </c>
      <c r="C2479" s="259" t="s">
        <v>631</v>
      </c>
      <c r="D2479" s="262">
        <v>381.8</v>
      </c>
      <c r="E2479" s="262" t="s">
        <v>665</v>
      </c>
      <c r="F2479" s="265">
        <v>2</v>
      </c>
      <c r="G2479" s="251" t="s">
        <v>72</v>
      </c>
      <c r="H2479" s="159" t="s">
        <v>73</v>
      </c>
      <c r="I2479" s="158">
        <f>I2481+I2480</f>
        <v>117594.4</v>
      </c>
      <c r="J2479" s="158">
        <f>J2480+J2481</f>
        <v>308</v>
      </c>
      <c r="K2479" s="158">
        <f>K2480+K2481</f>
        <v>308</v>
      </c>
      <c r="L2479" s="1"/>
      <c r="M2479" s="1"/>
      <c r="N2479" s="1"/>
      <c r="O2479" s="1"/>
      <c r="P2479" s="1"/>
      <c r="Q2479" s="1"/>
      <c r="R2479" s="1"/>
      <c r="S2479" s="1"/>
      <c r="T2479" s="1"/>
      <c r="U2479" s="1"/>
      <c r="V2479" s="1"/>
      <c r="W2479" s="1"/>
      <c r="X2479" s="1"/>
      <c r="Y2479" s="1"/>
      <c r="Z2479" s="1"/>
      <c r="AA2479" s="1"/>
      <c r="AB2479" s="1"/>
      <c r="AC2479" s="1"/>
      <c r="AD2479" s="1"/>
      <c r="AE2479" s="1"/>
      <c r="AF2479" s="1"/>
      <c r="AG2479" s="1"/>
      <c r="AH2479" s="1"/>
      <c r="AI2479" s="1"/>
      <c r="AJ2479" s="1"/>
      <c r="AK2479" s="1"/>
      <c r="AL2479" s="1"/>
      <c r="AM2479" s="1"/>
      <c r="AN2479" s="1"/>
      <c r="AO2479" s="1"/>
      <c r="AP2479" s="1"/>
      <c r="AQ2479" s="1"/>
      <c r="AR2479" s="1"/>
      <c r="AS2479" s="1"/>
      <c r="AT2479" s="1"/>
      <c r="AU2479" s="1"/>
      <c r="AV2479" s="1"/>
      <c r="AW2479" s="1"/>
      <c r="AX2479" s="1"/>
      <c r="AY2479" s="1"/>
      <c r="AZ2479" s="1"/>
      <c r="BA2479" s="1"/>
      <c r="BB2479" s="1"/>
      <c r="BC2479" s="1"/>
      <c r="BD2479" s="1"/>
      <c r="BE2479" s="1"/>
      <c r="BF2479" s="1"/>
      <c r="BG2479" s="1"/>
      <c r="BH2479" s="1"/>
      <c r="BI2479" s="1"/>
      <c r="BJ2479" s="1"/>
      <c r="BK2479" s="1"/>
      <c r="BL2479" s="1"/>
      <c r="BM2479" s="1"/>
      <c r="BN2479" s="1"/>
      <c r="BO2479" s="1"/>
      <c r="BP2479" s="1"/>
      <c r="BQ2479" s="1"/>
      <c r="BR2479" s="1"/>
      <c r="BS2479" s="1"/>
      <c r="BT2479" s="1"/>
      <c r="BU2479" s="1"/>
      <c r="BV2479" s="1"/>
      <c r="BW2479" s="1"/>
      <c r="BX2479" s="1"/>
      <c r="BY2479" s="1"/>
      <c r="BZ2479" s="1"/>
      <c r="CA2479" s="1"/>
      <c r="CB2479" s="1"/>
      <c r="CC2479" s="1"/>
      <c r="CD2479" s="1"/>
      <c r="CE2479" s="1"/>
      <c r="CF2479" s="1"/>
      <c r="CG2479" s="1"/>
      <c r="CH2479" s="1"/>
      <c r="CI2479" s="1"/>
      <c r="CJ2479" s="1"/>
      <c r="CK2479" s="1"/>
      <c r="CL2479" s="1"/>
      <c r="CM2479" s="1"/>
      <c r="CN2479" s="1"/>
      <c r="CO2479" s="1"/>
      <c r="CP2479" s="1"/>
      <c r="CQ2479" s="1"/>
      <c r="CR2479" s="1"/>
      <c r="CS2479" s="1"/>
      <c r="CT2479" s="1"/>
      <c r="CU2479" s="1"/>
      <c r="CV2479" s="1"/>
      <c r="CW2479" s="1"/>
      <c r="CX2479" s="1"/>
      <c r="CY2479" s="1"/>
      <c r="CZ2479" s="1"/>
      <c r="DA2479" s="1"/>
      <c r="DB2479" s="1"/>
      <c r="DC2479" s="1"/>
      <c r="DD2479" s="1"/>
      <c r="DE2479" s="1"/>
      <c r="DF2479" s="1"/>
      <c r="DG2479" s="1"/>
      <c r="DH2479" s="1"/>
      <c r="DI2479" s="1"/>
      <c r="DJ2479" s="1"/>
      <c r="DK2479" s="1"/>
      <c r="DL2479" s="1"/>
      <c r="DM2479" s="1"/>
      <c r="DN2479" s="1"/>
      <c r="DO2479" s="1"/>
      <c r="DP2479" s="1"/>
      <c r="DQ2479" s="1"/>
      <c r="DR2479" s="1"/>
      <c r="DS2479" s="1"/>
      <c r="DT2479" s="1"/>
      <c r="DU2479" s="1"/>
      <c r="DV2479" s="1"/>
      <c r="DW2479" s="1"/>
      <c r="DX2479" s="1"/>
      <c r="DY2479" s="1"/>
      <c r="DZ2479" s="1"/>
      <c r="EA2479" s="1"/>
      <c r="EB2479" s="1"/>
      <c r="EC2479" s="1"/>
      <c r="ED2479" s="1"/>
      <c r="EE2479" s="1"/>
      <c r="EF2479" s="1"/>
      <c r="EG2479" s="1"/>
      <c r="EH2479" s="1"/>
      <c r="EI2479" s="1"/>
      <c r="EJ2479" s="1"/>
      <c r="EK2479" s="1"/>
      <c r="EL2479" s="1"/>
      <c r="EM2479" s="1"/>
      <c r="EN2479" s="1"/>
      <c r="EO2479" s="1"/>
      <c r="EP2479" s="1"/>
      <c r="EQ2479" s="1"/>
      <c r="ER2479" s="1"/>
      <c r="ES2479" s="1"/>
      <c r="ET2479" s="1"/>
      <c r="EU2479" s="1"/>
      <c r="EV2479" s="1"/>
      <c r="EW2479" s="1"/>
      <c r="EX2479" s="1"/>
      <c r="EY2479" s="1"/>
      <c r="EZ2479" s="1"/>
      <c r="FA2479" s="1"/>
      <c r="FB2479" s="1"/>
      <c r="FC2479" s="1"/>
      <c r="FD2479" s="1"/>
      <c r="FE2479" s="1"/>
      <c r="FF2479" s="1"/>
      <c r="FG2479" s="1"/>
      <c r="FH2479" s="1"/>
      <c r="FI2479" s="1"/>
      <c r="FJ2479" s="1"/>
      <c r="FK2479" s="1"/>
      <c r="FL2479" s="1"/>
      <c r="FM2479" s="1"/>
      <c r="FN2479" s="1"/>
      <c r="FO2479" s="1"/>
      <c r="FP2479" s="1"/>
      <c r="FQ2479" s="1"/>
      <c r="FR2479" s="1"/>
      <c r="FS2479" s="1"/>
      <c r="FT2479" s="1"/>
      <c r="FU2479" s="1"/>
      <c r="FV2479" s="1"/>
      <c r="FW2479" s="1"/>
      <c r="FX2479" s="1"/>
      <c r="FY2479" s="1"/>
      <c r="FZ2479" s="1"/>
      <c r="GA2479" s="1"/>
      <c r="GB2479" s="1"/>
      <c r="GC2479" s="1"/>
      <c r="GD2479" s="1"/>
      <c r="GE2479" s="1"/>
      <c r="GF2479" s="1"/>
      <c r="GG2479" s="1"/>
      <c r="GH2479" s="1"/>
      <c r="GI2479" s="1"/>
      <c r="GJ2479" s="1"/>
      <c r="GK2479" s="1"/>
      <c r="GL2479" s="1"/>
      <c r="GM2479" s="1"/>
      <c r="GN2479" s="1"/>
      <c r="GO2479" s="1"/>
      <c r="GP2479" s="1"/>
      <c r="GQ2479" s="1"/>
      <c r="GR2479" s="1"/>
      <c r="GS2479" s="1"/>
      <c r="GT2479" s="1"/>
      <c r="GU2479" s="1"/>
      <c r="GV2479" s="1"/>
      <c r="GW2479" s="1"/>
      <c r="GX2479" s="1"/>
      <c r="GY2479" s="1"/>
      <c r="GZ2479" s="1"/>
      <c r="HA2479" s="1"/>
      <c r="HB2479" s="1"/>
      <c r="HC2479" s="1"/>
      <c r="HD2479" s="1"/>
      <c r="HE2479" s="1"/>
      <c r="HF2479" s="1"/>
      <c r="HG2479" s="1"/>
      <c r="HH2479" s="1"/>
      <c r="HI2479" s="1"/>
      <c r="HJ2479" s="1"/>
      <c r="HK2479" s="1"/>
      <c r="HL2479" s="1"/>
      <c r="HM2479" s="1"/>
      <c r="HN2479" s="1"/>
      <c r="HO2479" s="1"/>
      <c r="HP2479" s="1"/>
      <c r="HQ2479" s="1"/>
    </row>
    <row r="2480" spans="1:225" ht="46.5" x14ac:dyDescent="0.35">
      <c r="A2480" s="257"/>
      <c r="B2480" s="257"/>
      <c r="C2480" s="260"/>
      <c r="D2480" s="263"/>
      <c r="E2480" s="263"/>
      <c r="F2480" s="266"/>
      <c r="G2480" s="251"/>
      <c r="H2480" s="159" t="s">
        <v>705</v>
      </c>
      <c r="I2480" s="158">
        <f>K2480*D2479</f>
        <v>67578.600000000006</v>
      </c>
      <c r="J2480" s="158">
        <f>I2480/D2479</f>
        <v>177</v>
      </c>
      <c r="K2480" s="158">
        <f>163+14</f>
        <v>177</v>
      </c>
      <c r="L2480" s="1"/>
      <c r="M2480" s="1"/>
      <c r="N2480" s="1"/>
      <c r="O2480" s="1"/>
      <c r="P2480" s="1"/>
      <c r="Q2480" s="1"/>
      <c r="R2480" s="1"/>
      <c r="S2480" s="1"/>
      <c r="T2480" s="1"/>
      <c r="U2480" s="1"/>
      <c r="V2480" s="1"/>
      <c r="W2480" s="1"/>
      <c r="X2480" s="1"/>
      <c r="Y2480" s="1"/>
      <c r="Z2480" s="1"/>
      <c r="AA2480" s="1"/>
      <c r="AB2480" s="1"/>
      <c r="AC2480" s="1"/>
      <c r="AD2480" s="1"/>
      <c r="AE2480" s="1"/>
      <c r="AF2480" s="1"/>
      <c r="AG2480" s="1"/>
      <c r="AH2480" s="1"/>
      <c r="AI2480" s="1"/>
      <c r="AJ2480" s="1"/>
      <c r="AK2480" s="1"/>
      <c r="AL2480" s="1"/>
      <c r="AM2480" s="1"/>
      <c r="AN2480" s="1"/>
      <c r="AO2480" s="1"/>
      <c r="AP2480" s="1"/>
      <c r="AQ2480" s="1"/>
      <c r="AR2480" s="1"/>
      <c r="AS2480" s="1"/>
      <c r="AT2480" s="1"/>
      <c r="AU2480" s="1"/>
      <c r="AV2480" s="1"/>
      <c r="AW2480" s="1"/>
      <c r="AX2480" s="1"/>
      <c r="AY2480" s="1"/>
      <c r="AZ2480" s="1"/>
      <c r="BA2480" s="1"/>
      <c r="BB2480" s="1"/>
      <c r="BC2480" s="1"/>
      <c r="BD2480" s="1"/>
      <c r="BE2480" s="1"/>
      <c r="BF2480" s="1"/>
      <c r="BG2480" s="1"/>
      <c r="BH2480" s="1"/>
      <c r="BI2480" s="1"/>
      <c r="BJ2480" s="1"/>
      <c r="BK2480" s="1"/>
      <c r="BL2480" s="1"/>
      <c r="BM2480" s="1"/>
      <c r="BN2480" s="1"/>
      <c r="BO2480" s="1"/>
      <c r="BP2480" s="1"/>
      <c r="BQ2480" s="1"/>
      <c r="BR2480" s="1"/>
      <c r="BS2480" s="1"/>
      <c r="BT2480" s="1"/>
      <c r="BU2480" s="1"/>
      <c r="BV2480" s="1"/>
      <c r="BW2480" s="1"/>
      <c r="BX2480" s="1"/>
      <c r="BY2480" s="1"/>
      <c r="BZ2480" s="1"/>
      <c r="CA2480" s="1"/>
      <c r="CB2480" s="1"/>
      <c r="CC2480" s="1"/>
      <c r="CD2480" s="1"/>
      <c r="CE2480" s="1"/>
      <c r="CF2480" s="1"/>
      <c r="CG2480" s="1"/>
      <c r="CH2480" s="1"/>
      <c r="CI2480" s="1"/>
      <c r="CJ2480" s="1"/>
      <c r="CK2480" s="1"/>
      <c r="CL2480" s="1"/>
      <c r="CM2480" s="1"/>
      <c r="CN2480" s="1"/>
      <c r="CO2480" s="1"/>
      <c r="CP2480" s="1"/>
      <c r="CQ2480" s="1"/>
      <c r="CR2480" s="1"/>
      <c r="CS2480" s="1"/>
      <c r="CT2480" s="1"/>
      <c r="CU2480" s="1"/>
      <c r="CV2480" s="1"/>
      <c r="CW2480" s="1"/>
      <c r="CX2480" s="1"/>
      <c r="CY2480" s="1"/>
      <c r="CZ2480" s="1"/>
      <c r="DA2480" s="1"/>
      <c r="DB2480" s="1"/>
      <c r="DC2480" s="1"/>
      <c r="DD2480" s="1"/>
      <c r="DE2480" s="1"/>
      <c r="DF2480" s="1"/>
      <c r="DG2480" s="1"/>
      <c r="DH2480" s="1"/>
      <c r="DI2480" s="1"/>
      <c r="DJ2480" s="1"/>
      <c r="DK2480" s="1"/>
      <c r="DL2480" s="1"/>
      <c r="DM2480" s="1"/>
      <c r="DN2480" s="1"/>
      <c r="DO2480" s="1"/>
      <c r="DP2480" s="1"/>
      <c r="DQ2480" s="1"/>
      <c r="DR2480" s="1"/>
      <c r="DS2480" s="1"/>
      <c r="DT2480" s="1"/>
      <c r="DU2480" s="1"/>
      <c r="DV2480" s="1"/>
      <c r="DW2480" s="1"/>
      <c r="DX2480" s="1"/>
      <c r="DY2480" s="1"/>
      <c r="DZ2480" s="1"/>
      <c r="EA2480" s="1"/>
      <c r="EB2480" s="1"/>
      <c r="EC2480" s="1"/>
      <c r="ED2480" s="1"/>
      <c r="EE2480" s="1"/>
      <c r="EF2480" s="1"/>
      <c r="EG2480" s="1"/>
      <c r="EH2480" s="1"/>
      <c r="EI2480" s="1"/>
      <c r="EJ2480" s="1"/>
      <c r="EK2480" s="1"/>
      <c r="EL2480" s="1"/>
      <c r="EM2480" s="1"/>
      <c r="EN2480" s="1"/>
      <c r="EO2480" s="1"/>
      <c r="EP2480" s="1"/>
      <c r="EQ2480" s="1"/>
      <c r="ER2480" s="1"/>
      <c r="ES2480" s="1"/>
      <c r="ET2480" s="1"/>
      <c r="EU2480" s="1"/>
      <c r="EV2480" s="1"/>
      <c r="EW2480" s="1"/>
      <c r="EX2480" s="1"/>
      <c r="EY2480" s="1"/>
      <c r="EZ2480" s="1"/>
      <c r="FA2480" s="1"/>
      <c r="FB2480" s="1"/>
      <c r="FC2480" s="1"/>
      <c r="FD2480" s="1"/>
      <c r="FE2480" s="1"/>
      <c r="FF2480" s="1"/>
      <c r="FG2480" s="1"/>
      <c r="FH2480" s="1"/>
      <c r="FI2480" s="1"/>
      <c r="FJ2480" s="1"/>
      <c r="FK2480" s="1"/>
      <c r="FL2480" s="1"/>
      <c r="FM2480" s="1"/>
      <c r="FN2480" s="1"/>
      <c r="FO2480" s="1"/>
      <c r="FP2480" s="1"/>
      <c r="FQ2480" s="1"/>
      <c r="FR2480" s="1"/>
      <c r="FS2480" s="1"/>
      <c r="FT2480" s="1"/>
      <c r="FU2480" s="1"/>
      <c r="FV2480" s="1"/>
      <c r="FW2480" s="1"/>
      <c r="FX2480" s="1"/>
      <c r="FY2480" s="1"/>
      <c r="FZ2480" s="1"/>
      <c r="GA2480" s="1"/>
      <c r="GB2480" s="1"/>
      <c r="GC2480" s="1"/>
      <c r="GD2480" s="1"/>
      <c r="GE2480" s="1"/>
      <c r="GF2480" s="1"/>
      <c r="GG2480" s="1"/>
      <c r="GH2480" s="1"/>
      <c r="GI2480" s="1"/>
      <c r="GJ2480" s="1"/>
      <c r="GK2480" s="1"/>
      <c r="GL2480" s="1"/>
      <c r="GM2480" s="1"/>
      <c r="GN2480" s="1"/>
      <c r="GO2480" s="1"/>
      <c r="GP2480" s="1"/>
      <c r="GQ2480" s="1"/>
      <c r="GR2480" s="1"/>
      <c r="GS2480" s="1"/>
      <c r="GT2480" s="1"/>
      <c r="GU2480" s="1"/>
      <c r="GV2480" s="1"/>
      <c r="GW2480" s="1"/>
      <c r="GX2480" s="1"/>
      <c r="GY2480" s="1"/>
      <c r="GZ2480" s="1"/>
      <c r="HA2480" s="1"/>
      <c r="HB2480" s="1"/>
      <c r="HC2480" s="1"/>
      <c r="HD2480" s="1"/>
      <c r="HE2480" s="1"/>
      <c r="HF2480" s="1"/>
      <c r="HG2480" s="1"/>
      <c r="HH2480" s="1"/>
      <c r="HI2480" s="1"/>
      <c r="HJ2480" s="1"/>
      <c r="HK2480" s="1"/>
      <c r="HL2480" s="1"/>
      <c r="HM2480" s="1"/>
      <c r="HN2480" s="1"/>
      <c r="HO2480" s="1"/>
      <c r="HP2480" s="1"/>
      <c r="HQ2480" s="1"/>
    </row>
    <row r="2481" spans="1:225" ht="108.5" x14ac:dyDescent="0.35">
      <c r="A2481" s="257">
        <v>1130</v>
      </c>
      <c r="B2481" s="258"/>
      <c r="C2481" s="260"/>
      <c r="D2481" s="263"/>
      <c r="E2481" s="263"/>
      <c r="F2481" s="266"/>
      <c r="G2481" s="123" t="s">
        <v>109</v>
      </c>
      <c r="H2481" s="159" t="s">
        <v>666</v>
      </c>
      <c r="I2481" s="158">
        <f>K2481*D2479</f>
        <v>50015.8</v>
      </c>
      <c r="J2481" s="158">
        <f>I2481/D2479</f>
        <v>131</v>
      </c>
      <c r="K2481" s="158">
        <f>121+10</f>
        <v>131</v>
      </c>
      <c r="L2481" s="1"/>
      <c r="M2481" s="1"/>
      <c r="N2481" s="1"/>
      <c r="O2481" s="1"/>
      <c r="P2481" s="1"/>
      <c r="Q2481" s="1"/>
      <c r="R2481" s="1"/>
      <c r="S2481" s="1"/>
      <c r="T2481" s="1"/>
      <c r="U2481" s="1"/>
      <c r="V2481" s="1"/>
      <c r="W2481" s="1"/>
      <c r="X2481" s="1"/>
      <c r="Y2481" s="1"/>
      <c r="Z2481" s="1"/>
      <c r="AA2481" s="1"/>
      <c r="AB2481" s="1"/>
      <c r="AC2481" s="1"/>
      <c r="AD2481" s="1"/>
      <c r="AE2481" s="1"/>
      <c r="AF2481" s="1"/>
      <c r="AG2481" s="1"/>
      <c r="AH2481" s="1"/>
      <c r="AI2481" s="1"/>
      <c r="AJ2481" s="1"/>
      <c r="AK2481" s="1"/>
      <c r="AL2481" s="1"/>
      <c r="AM2481" s="1"/>
      <c r="AN2481" s="1"/>
      <c r="AO2481" s="1"/>
      <c r="AP2481" s="1"/>
      <c r="AQ2481" s="1"/>
      <c r="AR2481" s="1"/>
      <c r="AS2481" s="1"/>
      <c r="AT2481" s="1"/>
      <c r="AU2481" s="1"/>
      <c r="AV2481" s="1"/>
      <c r="AW2481" s="1"/>
      <c r="AX2481" s="1"/>
      <c r="AY2481" s="1"/>
      <c r="AZ2481" s="1"/>
      <c r="BA2481" s="1"/>
      <c r="BB2481" s="1"/>
      <c r="BC2481" s="1"/>
      <c r="BD2481" s="1"/>
      <c r="BE2481" s="1"/>
      <c r="BF2481" s="1"/>
      <c r="BG2481" s="1"/>
      <c r="BH2481" s="1"/>
      <c r="BI2481" s="1"/>
      <c r="BJ2481" s="1"/>
      <c r="BK2481" s="1"/>
      <c r="BL2481" s="1"/>
      <c r="BM2481" s="1"/>
      <c r="BN2481" s="1"/>
      <c r="BO2481" s="1"/>
      <c r="BP2481" s="1"/>
      <c r="BQ2481" s="1"/>
      <c r="BR2481" s="1"/>
      <c r="BS2481" s="1"/>
      <c r="BT2481" s="1"/>
      <c r="BU2481" s="1"/>
      <c r="BV2481" s="1"/>
      <c r="BW2481" s="1"/>
      <c r="BX2481" s="1"/>
      <c r="BY2481" s="1"/>
      <c r="BZ2481" s="1"/>
      <c r="CA2481" s="1"/>
      <c r="CB2481" s="1"/>
      <c r="CC2481" s="1"/>
      <c r="CD2481" s="1"/>
      <c r="CE2481" s="1"/>
      <c r="CF2481" s="1"/>
      <c r="CG2481" s="1"/>
      <c r="CH2481" s="1"/>
      <c r="CI2481" s="1"/>
      <c r="CJ2481" s="1"/>
      <c r="CK2481" s="1"/>
      <c r="CL2481" s="1"/>
      <c r="CM2481" s="1"/>
      <c r="CN2481" s="1"/>
      <c r="CO2481" s="1"/>
      <c r="CP2481" s="1"/>
      <c r="CQ2481" s="1"/>
      <c r="CR2481" s="1"/>
      <c r="CS2481" s="1"/>
      <c r="CT2481" s="1"/>
      <c r="CU2481" s="1"/>
      <c r="CV2481" s="1"/>
      <c r="CW2481" s="1"/>
      <c r="CX2481" s="1"/>
      <c r="CY2481" s="1"/>
      <c r="CZ2481" s="1"/>
      <c r="DA2481" s="1"/>
      <c r="DB2481" s="1"/>
      <c r="DC2481" s="1"/>
      <c r="DD2481" s="1"/>
      <c r="DE2481" s="1"/>
      <c r="DF2481" s="1"/>
      <c r="DG2481" s="1"/>
      <c r="DH2481" s="1"/>
      <c r="DI2481" s="1"/>
      <c r="DJ2481" s="1"/>
      <c r="DK2481" s="1"/>
      <c r="DL2481" s="1"/>
      <c r="DM2481" s="1"/>
      <c r="DN2481" s="1"/>
      <c r="DO2481" s="1"/>
      <c r="DP2481" s="1"/>
      <c r="DQ2481" s="1"/>
      <c r="DR2481" s="1"/>
      <c r="DS2481" s="1"/>
      <c r="DT2481" s="1"/>
      <c r="DU2481" s="1"/>
      <c r="DV2481" s="1"/>
      <c r="DW2481" s="1"/>
      <c r="DX2481" s="1"/>
      <c r="DY2481" s="1"/>
      <c r="DZ2481" s="1"/>
      <c r="EA2481" s="1"/>
      <c r="EB2481" s="1"/>
      <c r="EC2481" s="1"/>
      <c r="ED2481" s="1"/>
      <c r="EE2481" s="1"/>
      <c r="EF2481" s="1"/>
      <c r="EG2481" s="1"/>
      <c r="EH2481" s="1"/>
      <c r="EI2481" s="1"/>
      <c r="EJ2481" s="1"/>
      <c r="EK2481" s="1"/>
      <c r="EL2481" s="1"/>
      <c r="EM2481" s="1"/>
      <c r="EN2481" s="1"/>
      <c r="EO2481" s="1"/>
      <c r="EP2481" s="1"/>
      <c r="EQ2481" s="1"/>
      <c r="ER2481" s="1"/>
      <c r="ES2481" s="1"/>
      <c r="ET2481" s="1"/>
      <c r="EU2481" s="1"/>
      <c r="EV2481" s="1"/>
      <c r="EW2481" s="1"/>
      <c r="EX2481" s="1"/>
      <c r="EY2481" s="1"/>
      <c r="EZ2481" s="1"/>
      <c r="FA2481" s="1"/>
      <c r="FB2481" s="1"/>
      <c r="FC2481" s="1"/>
      <c r="FD2481" s="1"/>
      <c r="FE2481" s="1"/>
      <c r="FF2481" s="1"/>
      <c r="FG2481" s="1"/>
      <c r="FH2481" s="1"/>
      <c r="FI2481" s="1"/>
      <c r="FJ2481" s="1"/>
      <c r="FK2481" s="1"/>
      <c r="FL2481" s="1"/>
      <c r="FM2481" s="1"/>
      <c r="FN2481" s="1"/>
      <c r="FO2481" s="1"/>
      <c r="FP2481" s="1"/>
      <c r="FQ2481" s="1"/>
      <c r="FR2481" s="1"/>
      <c r="FS2481" s="1"/>
      <c r="FT2481" s="1"/>
      <c r="FU2481" s="1"/>
      <c r="FV2481" s="1"/>
      <c r="FW2481" s="1"/>
      <c r="FX2481" s="1"/>
      <c r="FY2481" s="1"/>
      <c r="FZ2481" s="1"/>
      <c r="GA2481" s="1"/>
      <c r="GB2481" s="1"/>
      <c r="GC2481" s="1"/>
      <c r="GD2481" s="1"/>
      <c r="GE2481" s="1"/>
      <c r="GF2481" s="1"/>
      <c r="GG2481" s="1"/>
      <c r="GH2481" s="1"/>
      <c r="GI2481" s="1"/>
      <c r="GJ2481" s="1"/>
      <c r="GK2481" s="1"/>
      <c r="GL2481" s="1"/>
      <c r="GM2481" s="1"/>
      <c r="GN2481" s="1"/>
      <c r="GO2481" s="1"/>
      <c r="GP2481" s="1"/>
      <c r="GQ2481" s="1"/>
      <c r="GR2481" s="1"/>
      <c r="GS2481" s="1"/>
      <c r="GT2481" s="1"/>
      <c r="GU2481" s="1"/>
      <c r="GV2481" s="1"/>
      <c r="GW2481" s="1"/>
      <c r="GX2481" s="1"/>
      <c r="GY2481" s="1"/>
      <c r="GZ2481" s="1"/>
      <c r="HA2481" s="1"/>
      <c r="HB2481" s="1"/>
      <c r="HC2481" s="1"/>
      <c r="HD2481" s="1"/>
      <c r="HE2481" s="1"/>
      <c r="HF2481" s="1"/>
      <c r="HG2481" s="1"/>
      <c r="HH2481" s="1"/>
      <c r="HI2481" s="1"/>
      <c r="HJ2481" s="1"/>
      <c r="HK2481" s="1"/>
      <c r="HL2481" s="1"/>
      <c r="HM2481" s="1"/>
      <c r="HN2481" s="1"/>
      <c r="HO2481" s="1"/>
      <c r="HP2481" s="1"/>
      <c r="HQ2481" s="1"/>
    </row>
    <row r="2482" spans="1:225" ht="15.75" customHeight="1" x14ac:dyDescent="0.35">
      <c r="A2482" s="256">
        <f>A2479+1</f>
        <v>15</v>
      </c>
      <c r="B2482" s="256">
        <v>5475</v>
      </c>
      <c r="C2482" s="259" t="s">
        <v>452</v>
      </c>
      <c r="D2482" s="262">
        <v>1750.1</v>
      </c>
      <c r="E2482" s="262" t="s">
        <v>75</v>
      </c>
      <c r="F2482" s="265">
        <v>5</v>
      </c>
      <c r="G2482" s="256" t="s">
        <v>72</v>
      </c>
      <c r="H2482" s="159" t="s">
        <v>73</v>
      </c>
      <c r="I2482" s="158">
        <f>I2483+I2484</f>
        <v>4133386.18</v>
      </c>
      <c r="J2482" s="158">
        <f>J2483+J2484</f>
        <v>2361.8000000000002</v>
      </c>
      <c r="K2482" s="158">
        <f>K2483+K2484</f>
        <v>3344</v>
      </c>
      <c r="L2482" s="1"/>
      <c r="M2482" s="1"/>
      <c r="N2482" s="1"/>
      <c r="O2482" s="1"/>
      <c r="P2482" s="1"/>
      <c r="Q2482" s="1"/>
      <c r="R2482" s="1"/>
      <c r="S2482" s="1"/>
      <c r="T2482" s="1"/>
      <c r="U2482" s="1"/>
      <c r="V2482" s="1"/>
      <c r="W2482" s="1"/>
      <c r="X2482" s="1"/>
      <c r="Y2482" s="1"/>
      <c r="Z2482" s="1"/>
      <c r="AA2482" s="1"/>
      <c r="AB2482" s="1"/>
      <c r="AC2482" s="1"/>
      <c r="AD2482" s="1"/>
      <c r="AE2482" s="1"/>
      <c r="AF2482" s="1"/>
      <c r="AG2482" s="1"/>
      <c r="AH2482" s="1"/>
      <c r="AI2482" s="1"/>
      <c r="AJ2482" s="1"/>
      <c r="AK2482" s="1"/>
      <c r="AL2482" s="1"/>
      <c r="AM2482" s="1"/>
      <c r="AN2482" s="1"/>
      <c r="AO2482" s="1"/>
      <c r="AP2482" s="1"/>
      <c r="AQ2482" s="1"/>
      <c r="AR2482" s="1"/>
      <c r="AS2482" s="1"/>
      <c r="AT2482" s="1"/>
      <c r="AU2482" s="1"/>
      <c r="AV2482" s="1"/>
      <c r="AW2482" s="1"/>
      <c r="AX2482" s="1"/>
      <c r="AY2482" s="1"/>
      <c r="AZ2482" s="1"/>
      <c r="BA2482" s="1"/>
      <c r="BB2482" s="1"/>
      <c r="BC2482" s="1"/>
      <c r="BD2482" s="1"/>
      <c r="BE2482" s="1"/>
      <c r="BF2482" s="1"/>
      <c r="BG2482" s="1"/>
      <c r="BH2482" s="1"/>
      <c r="BI2482" s="1"/>
      <c r="BJ2482" s="1"/>
      <c r="BK2482" s="1"/>
      <c r="BL2482" s="1"/>
      <c r="BM2482" s="1"/>
      <c r="BN2482" s="1"/>
      <c r="BO2482" s="1"/>
      <c r="BP2482" s="1"/>
      <c r="BQ2482" s="1"/>
      <c r="BR2482" s="1"/>
      <c r="BS2482" s="1"/>
      <c r="BT2482" s="1"/>
      <c r="BU2482" s="1"/>
      <c r="BV2482" s="1"/>
      <c r="BW2482" s="1"/>
      <c r="BX2482" s="1"/>
      <c r="BY2482" s="1"/>
      <c r="BZ2482" s="1"/>
      <c r="CA2482" s="1"/>
      <c r="CB2482" s="1"/>
      <c r="CC2482" s="1"/>
      <c r="CD2482" s="1"/>
      <c r="CE2482" s="1"/>
      <c r="CF2482" s="1"/>
      <c r="CG2482" s="1"/>
      <c r="CH2482" s="1"/>
      <c r="CI2482" s="1"/>
      <c r="CJ2482" s="1"/>
      <c r="CK2482" s="1"/>
      <c r="CL2482" s="1"/>
      <c r="CM2482" s="1"/>
      <c r="CN2482" s="1"/>
      <c r="CO2482" s="1"/>
      <c r="CP2482" s="1"/>
      <c r="CQ2482" s="1"/>
      <c r="CR2482" s="1"/>
      <c r="CS2482" s="1"/>
      <c r="CT2482" s="1"/>
      <c r="CU2482" s="1"/>
      <c r="CV2482" s="1"/>
      <c r="CW2482" s="1"/>
      <c r="CX2482" s="1"/>
      <c r="CY2482" s="1"/>
      <c r="CZ2482" s="1"/>
      <c r="DA2482" s="1"/>
      <c r="DB2482" s="1"/>
      <c r="DC2482" s="1"/>
      <c r="DD2482" s="1"/>
      <c r="DE2482" s="1"/>
      <c r="DF2482" s="1"/>
      <c r="DG2482" s="1"/>
      <c r="DH2482" s="1"/>
      <c r="DI2482" s="1"/>
      <c r="DJ2482" s="1"/>
      <c r="DK2482" s="1"/>
      <c r="DL2482" s="1"/>
      <c r="DM2482" s="1"/>
      <c r="DN2482" s="1"/>
      <c r="DO2482" s="1"/>
      <c r="DP2482" s="1"/>
      <c r="DQ2482" s="1"/>
      <c r="DR2482" s="1"/>
      <c r="DS2482" s="1"/>
      <c r="DT2482" s="1"/>
      <c r="DU2482" s="1"/>
      <c r="DV2482" s="1"/>
      <c r="DW2482" s="1"/>
      <c r="DX2482" s="1"/>
      <c r="DY2482" s="1"/>
      <c r="DZ2482" s="1"/>
      <c r="EA2482" s="1"/>
      <c r="EB2482" s="1"/>
      <c r="EC2482" s="1"/>
      <c r="ED2482" s="1"/>
      <c r="EE2482" s="1"/>
      <c r="EF2482" s="1"/>
      <c r="EG2482" s="1"/>
      <c r="EH2482" s="1"/>
      <c r="EI2482" s="1"/>
      <c r="EJ2482" s="1"/>
      <c r="EK2482" s="1"/>
      <c r="EL2482" s="1"/>
      <c r="EM2482" s="1"/>
      <c r="EN2482" s="1"/>
      <c r="EO2482" s="1"/>
      <c r="EP2482" s="1"/>
      <c r="EQ2482" s="1"/>
      <c r="ER2482" s="1"/>
      <c r="ES2482" s="1"/>
      <c r="ET2482" s="1"/>
      <c r="EU2482" s="1"/>
      <c r="EV2482" s="1"/>
      <c r="EW2482" s="1"/>
      <c r="EX2482" s="1"/>
      <c r="EY2482" s="1"/>
      <c r="EZ2482" s="1"/>
      <c r="FA2482" s="1"/>
      <c r="FB2482" s="1"/>
      <c r="FC2482" s="1"/>
      <c r="FD2482" s="1"/>
      <c r="FE2482" s="1"/>
      <c r="FF2482" s="1"/>
      <c r="FG2482" s="1"/>
      <c r="FH2482" s="1"/>
      <c r="FI2482" s="1"/>
      <c r="FJ2482" s="1"/>
      <c r="FK2482" s="1"/>
      <c r="FL2482" s="1"/>
      <c r="FM2482" s="1"/>
      <c r="FN2482" s="1"/>
      <c r="FO2482" s="1"/>
      <c r="FP2482" s="1"/>
      <c r="FQ2482" s="1"/>
      <c r="FR2482" s="1"/>
      <c r="FS2482" s="1"/>
      <c r="FT2482" s="1"/>
      <c r="FU2482" s="1"/>
      <c r="FV2482" s="1"/>
      <c r="FW2482" s="1"/>
      <c r="FX2482" s="1"/>
      <c r="FY2482" s="1"/>
      <c r="FZ2482" s="1"/>
      <c r="GA2482" s="1"/>
      <c r="GB2482" s="1"/>
      <c r="GC2482" s="1"/>
      <c r="GD2482" s="1"/>
      <c r="GE2482" s="1"/>
      <c r="GF2482" s="1"/>
      <c r="GG2482" s="1"/>
      <c r="GH2482" s="1"/>
      <c r="GI2482" s="1"/>
      <c r="GJ2482" s="1"/>
      <c r="GK2482" s="1"/>
      <c r="GL2482" s="1"/>
      <c r="GM2482" s="1"/>
      <c r="GN2482" s="1"/>
      <c r="GO2482" s="1"/>
      <c r="GP2482" s="1"/>
      <c r="GQ2482" s="1"/>
      <c r="GR2482" s="1"/>
      <c r="GS2482" s="1"/>
      <c r="GT2482" s="1"/>
      <c r="GU2482" s="1"/>
      <c r="GV2482" s="1"/>
      <c r="GW2482" s="1"/>
      <c r="GX2482" s="1"/>
      <c r="GY2482" s="1"/>
      <c r="GZ2482" s="1"/>
      <c r="HA2482" s="1"/>
      <c r="HB2482" s="1"/>
      <c r="HC2482" s="1"/>
      <c r="HD2482" s="1"/>
      <c r="HE2482" s="1"/>
      <c r="HF2482" s="1"/>
      <c r="HG2482" s="1"/>
      <c r="HH2482" s="1"/>
      <c r="HI2482" s="1"/>
      <c r="HJ2482" s="1"/>
      <c r="HK2482" s="1"/>
      <c r="HL2482" s="1"/>
      <c r="HM2482" s="1"/>
      <c r="HN2482" s="1"/>
      <c r="HO2482" s="1"/>
      <c r="HP2482" s="1"/>
      <c r="HQ2482" s="1"/>
    </row>
    <row r="2483" spans="1:225" ht="31" x14ac:dyDescent="0.35">
      <c r="A2483" s="257"/>
      <c r="B2483" s="257"/>
      <c r="C2483" s="260"/>
      <c r="D2483" s="263"/>
      <c r="E2483" s="263"/>
      <c r="F2483" s="266"/>
      <c r="G2483" s="257"/>
      <c r="H2483" s="159" t="s">
        <v>86</v>
      </c>
      <c r="I2483" s="158">
        <f>K2483*D2482*70/100</f>
        <v>4010879.18</v>
      </c>
      <c r="J2483" s="158">
        <f>I2483/D2482</f>
        <v>2291.8000000000002</v>
      </c>
      <c r="K2483" s="158">
        <v>3274</v>
      </c>
      <c r="L2483" s="1"/>
      <c r="M2483" s="1"/>
      <c r="N2483" s="1"/>
      <c r="O2483" s="1"/>
      <c r="P2483" s="1"/>
      <c r="Q2483" s="1"/>
      <c r="R2483" s="1"/>
      <c r="S2483" s="1"/>
      <c r="T2483" s="1"/>
      <c r="U2483" s="1"/>
      <c r="V2483" s="1"/>
      <c r="W2483" s="1"/>
      <c r="X2483" s="1"/>
      <c r="Y2483" s="1"/>
      <c r="Z2483" s="1"/>
      <c r="AA2483" s="1"/>
      <c r="AB2483" s="1"/>
      <c r="AC2483" s="1"/>
      <c r="AD2483" s="1"/>
      <c r="AE2483" s="1"/>
      <c r="AF2483" s="1"/>
      <c r="AG2483" s="1"/>
      <c r="AH2483" s="1"/>
      <c r="AI2483" s="1"/>
      <c r="AJ2483" s="1"/>
      <c r="AK2483" s="1"/>
      <c r="AL2483" s="1"/>
      <c r="AM2483" s="1"/>
      <c r="AN2483" s="1"/>
      <c r="AO2483" s="1"/>
      <c r="AP2483" s="1"/>
      <c r="AQ2483" s="1"/>
      <c r="AR2483" s="1"/>
      <c r="AS2483" s="1"/>
      <c r="AT2483" s="1"/>
      <c r="AU2483" s="1"/>
      <c r="AV2483" s="1"/>
      <c r="AW2483" s="1"/>
      <c r="AX2483" s="1"/>
      <c r="AY2483" s="1"/>
      <c r="AZ2483" s="1"/>
      <c r="BA2483" s="1"/>
      <c r="BB2483" s="1"/>
      <c r="BC2483" s="1"/>
      <c r="BD2483" s="1"/>
      <c r="BE2483" s="1"/>
      <c r="BF2483" s="1"/>
      <c r="BG2483" s="1"/>
      <c r="BH2483" s="1"/>
      <c r="BI2483" s="1"/>
      <c r="BJ2483" s="1"/>
      <c r="BK2483" s="1"/>
      <c r="BL2483" s="1"/>
      <c r="BM2483" s="1"/>
      <c r="BN2483" s="1"/>
      <c r="BO2483" s="1"/>
      <c r="BP2483" s="1"/>
      <c r="BQ2483" s="1"/>
      <c r="BR2483" s="1"/>
      <c r="BS2483" s="1"/>
      <c r="BT2483" s="1"/>
      <c r="BU2483" s="1"/>
      <c r="BV2483" s="1"/>
      <c r="BW2483" s="1"/>
      <c r="BX2483" s="1"/>
      <c r="BY2483" s="1"/>
      <c r="BZ2483" s="1"/>
      <c r="CA2483" s="1"/>
      <c r="CB2483" s="1"/>
      <c r="CC2483" s="1"/>
      <c r="CD2483" s="1"/>
      <c r="CE2483" s="1"/>
      <c r="CF2483" s="1"/>
      <c r="CG2483" s="1"/>
      <c r="CH2483" s="1"/>
      <c r="CI2483" s="1"/>
      <c r="CJ2483" s="1"/>
      <c r="CK2483" s="1"/>
      <c r="CL2483" s="1"/>
      <c r="CM2483" s="1"/>
      <c r="CN2483" s="1"/>
      <c r="CO2483" s="1"/>
      <c r="CP2483" s="1"/>
      <c r="CQ2483" s="1"/>
      <c r="CR2483" s="1"/>
      <c r="CS2483" s="1"/>
      <c r="CT2483" s="1"/>
      <c r="CU2483" s="1"/>
      <c r="CV2483" s="1"/>
      <c r="CW2483" s="1"/>
      <c r="CX2483" s="1"/>
      <c r="CY2483" s="1"/>
      <c r="CZ2483" s="1"/>
      <c r="DA2483" s="1"/>
      <c r="DB2483" s="1"/>
      <c r="DC2483" s="1"/>
      <c r="DD2483" s="1"/>
      <c r="DE2483" s="1"/>
      <c r="DF2483" s="1"/>
      <c r="DG2483" s="1"/>
      <c r="DH2483" s="1"/>
      <c r="DI2483" s="1"/>
      <c r="DJ2483" s="1"/>
      <c r="DK2483" s="1"/>
      <c r="DL2483" s="1"/>
      <c r="DM2483" s="1"/>
      <c r="DN2483" s="1"/>
      <c r="DO2483" s="1"/>
      <c r="DP2483" s="1"/>
      <c r="DQ2483" s="1"/>
      <c r="DR2483" s="1"/>
      <c r="DS2483" s="1"/>
      <c r="DT2483" s="1"/>
      <c r="DU2483" s="1"/>
      <c r="DV2483" s="1"/>
      <c r="DW2483" s="1"/>
      <c r="DX2483" s="1"/>
      <c r="DY2483" s="1"/>
      <c r="DZ2483" s="1"/>
      <c r="EA2483" s="1"/>
      <c r="EB2483" s="1"/>
      <c r="EC2483" s="1"/>
      <c r="ED2483" s="1"/>
      <c r="EE2483" s="1"/>
      <c r="EF2483" s="1"/>
      <c r="EG2483" s="1"/>
      <c r="EH2483" s="1"/>
      <c r="EI2483" s="1"/>
      <c r="EJ2483" s="1"/>
      <c r="EK2483" s="1"/>
      <c r="EL2483" s="1"/>
      <c r="EM2483" s="1"/>
      <c r="EN2483" s="1"/>
      <c r="EO2483" s="1"/>
      <c r="EP2483" s="1"/>
      <c r="EQ2483" s="1"/>
      <c r="ER2483" s="1"/>
      <c r="ES2483" s="1"/>
      <c r="ET2483" s="1"/>
      <c r="EU2483" s="1"/>
      <c r="EV2483" s="1"/>
      <c r="EW2483" s="1"/>
      <c r="EX2483" s="1"/>
      <c r="EY2483" s="1"/>
      <c r="EZ2483" s="1"/>
      <c r="FA2483" s="1"/>
      <c r="FB2483" s="1"/>
      <c r="FC2483" s="1"/>
      <c r="FD2483" s="1"/>
      <c r="FE2483" s="1"/>
      <c r="FF2483" s="1"/>
      <c r="FG2483" s="1"/>
      <c r="FH2483" s="1"/>
      <c r="FI2483" s="1"/>
      <c r="FJ2483" s="1"/>
      <c r="FK2483" s="1"/>
      <c r="FL2483" s="1"/>
      <c r="FM2483" s="1"/>
      <c r="FN2483" s="1"/>
      <c r="FO2483" s="1"/>
      <c r="FP2483" s="1"/>
      <c r="FQ2483" s="1"/>
      <c r="FR2483" s="1"/>
      <c r="FS2483" s="1"/>
      <c r="FT2483" s="1"/>
      <c r="FU2483" s="1"/>
      <c r="FV2483" s="1"/>
      <c r="FW2483" s="1"/>
      <c r="FX2483" s="1"/>
      <c r="FY2483" s="1"/>
      <c r="FZ2483" s="1"/>
      <c r="GA2483" s="1"/>
      <c r="GB2483" s="1"/>
      <c r="GC2483" s="1"/>
      <c r="GD2483" s="1"/>
      <c r="GE2483" s="1"/>
      <c r="GF2483" s="1"/>
      <c r="GG2483" s="1"/>
      <c r="GH2483" s="1"/>
      <c r="GI2483" s="1"/>
      <c r="GJ2483" s="1"/>
      <c r="GK2483" s="1"/>
      <c r="GL2483" s="1"/>
      <c r="GM2483" s="1"/>
      <c r="GN2483" s="1"/>
      <c r="GO2483" s="1"/>
      <c r="GP2483" s="1"/>
      <c r="GQ2483" s="1"/>
      <c r="GR2483" s="1"/>
      <c r="GS2483" s="1"/>
      <c r="GT2483" s="1"/>
      <c r="GU2483" s="1"/>
      <c r="GV2483" s="1"/>
      <c r="GW2483" s="1"/>
      <c r="GX2483" s="1"/>
      <c r="GY2483" s="1"/>
      <c r="GZ2483" s="1"/>
      <c r="HA2483" s="1"/>
      <c r="HB2483" s="1"/>
      <c r="HC2483" s="1"/>
      <c r="HD2483" s="1"/>
      <c r="HE2483" s="1"/>
      <c r="HF2483" s="1"/>
      <c r="HG2483" s="1"/>
      <c r="HH2483" s="1"/>
      <c r="HI2483" s="1"/>
      <c r="HJ2483" s="1"/>
      <c r="HK2483" s="1"/>
      <c r="HL2483" s="1"/>
      <c r="HM2483" s="1"/>
      <c r="HN2483" s="1"/>
      <c r="HO2483" s="1"/>
      <c r="HP2483" s="1"/>
      <c r="HQ2483" s="1"/>
    </row>
    <row r="2484" spans="1:225" ht="15.75" customHeight="1" x14ac:dyDescent="0.35">
      <c r="A2484" s="258"/>
      <c r="B2484" s="258"/>
      <c r="C2484" s="261"/>
      <c r="D2484" s="264"/>
      <c r="E2484" s="264"/>
      <c r="F2484" s="267"/>
      <c r="G2484" s="258"/>
      <c r="H2484" s="159" t="s">
        <v>76</v>
      </c>
      <c r="I2484" s="158">
        <f>K2484*D2482</f>
        <v>122507</v>
      </c>
      <c r="J2484" s="158">
        <f>I2484/D2482</f>
        <v>70</v>
      </c>
      <c r="K2484" s="158">
        <v>70</v>
      </c>
      <c r="L2484" s="1"/>
      <c r="M2484" s="1"/>
      <c r="N2484" s="1"/>
      <c r="O2484" s="1"/>
      <c r="P2484" s="1"/>
      <c r="Q2484" s="1"/>
      <c r="R2484" s="1"/>
      <c r="S2484" s="1"/>
      <c r="T2484" s="1"/>
      <c r="U2484" s="1"/>
      <c r="V2484" s="1"/>
      <c r="W2484" s="1"/>
      <c r="X2484" s="1"/>
      <c r="Y2484" s="1"/>
      <c r="Z2484" s="1"/>
      <c r="AA2484" s="1"/>
      <c r="AB2484" s="1"/>
      <c r="AC2484" s="1"/>
      <c r="AD2484" s="1"/>
      <c r="AE2484" s="1"/>
      <c r="AF2484" s="1"/>
      <c r="AG2484" s="1"/>
      <c r="AH2484" s="1"/>
      <c r="AI2484" s="1"/>
      <c r="AJ2484" s="1"/>
      <c r="AK2484" s="1"/>
      <c r="AL2484" s="1"/>
      <c r="AM2484" s="1"/>
      <c r="AN2484" s="1"/>
      <c r="AO2484" s="1"/>
      <c r="AP2484" s="1"/>
      <c r="AQ2484" s="1"/>
      <c r="AR2484" s="1"/>
      <c r="AS2484" s="1"/>
      <c r="AT2484" s="1"/>
      <c r="AU2484" s="1"/>
      <c r="AV2484" s="1"/>
      <c r="AW2484" s="1"/>
      <c r="AX2484" s="1"/>
      <c r="AY2484" s="1"/>
      <c r="AZ2484" s="1"/>
      <c r="BA2484" s="1"/>
      <c r="BB2484" s="1"/>
      <c r="BC2484" s="1"/>
      <c r="BD2484" s="1"/>
      <c r="BE2484" s="1"/>
      <c r="BF2484" s="1"/>
      <c r="BG2484" s="1"/>
      <c r="BH2484" s="1"/>
      <c r="BI2484" s="1"/>
      <c r="BJ2484" s="1"/>
      <c r="BK2484" s="1"/>
      <c r="BL2484" s="1"/>
      <c r="BM2484" s="1"/>
      <c r="BN2484" s="1"/>
      <c r="BO2484" s="1"/>
      <c r="BP2484" s="1"/>
      <c r="BQ2484" s="1"/>
      <c r="BR2484" s="1"/>
      <c r="BS2484" s="1"/>
      <c r="BT2484" s="1"/>
      <c r="BU2484" s="1"/>
      <c r="BV2484" s="1"/>
      <c r="BW2484" s="1"/>
      <c r="BX2484" s="1"/>
      <c r="BY2484" s="1"/>
      <c r="BZ2484" s="1"/>
      <c r="CA2484" s="1"/>
      <c r="CB2484" s="1"/>
      <c r="CC2484" s="1"/>
      <c r="CD2484" s="1"/>
      <c r="CE2484" s="1"/>
      <c r="CF2484" s="1"/>
      <c r="CG2484" s="1"/>
      <c r="CH2484" s="1"/>
      <c r="CI2484" s="1"/>
      <c r="CJ2484" s="1"/>
      <c r="CK2484" s="1"/>
      <c r="CL2484" s="1"/>
      <c r="CM2484" s="1"/>
      <c r="CN2484" s="1"/>
      <c r="CO2484" s="1"/>
      <c r="CP2484" s="1"/>
      <c r="CQ2484" s="1"/>
      <c r="CR2484" s="1"/>
      <c r="CS2484" s="1"/>
      <c r="CT2484" s="1"/>
      <c r="CU2484" s="1"/>
      <c r="CV2484" s="1"/>
      <c r="CW2484" s="1"/>
      <c r="CX2484" s="1"/>
      <c r="CY2484" s="1"/>
      <c r="CZ2484" s="1"/>
      <c r="DA2484" s="1"/>
      <c r="DB2484" s="1"/>
      <c r="DC2484" s="1"/>
      <c r="DD2484" s="1"/>
      <c r="DE2484" s="1"/>
      <c r="DF2484" s="1"/>
      <c r="DG2484" s="1"/>
      <c r="DH2484" s="1"/>
      <c r="DI2484" s="1"/>
      <c r="DJ2484" s="1"/>
      <c r="DK2484" s="1"/>
      <c r="DL2484" s="1"/>
      <c r="DM2484" s="1"/>
      <c r="DN2484" s="1"/>
      <c r="DO2484" s="1"/>
      <c r="DP2484" s="1"/>
      <c r="DQ2484" s="1"/>
      <c r="DR2484" s="1"/>
      <c r="DS2484" s="1"/>
      <c r="DT2484" s="1"/>
      <c r="DU2484" s="1"/>
      <c r="DV2484" s="1"/>
      <c r="DW2484" s="1"/>
      <c r="DX2484" s="1"/>
      <c r="DY2484" s="1"/>
      <c r="DZ2484" s="1"/>
      <c r="EA2484" s="1"/>
      <c r="EB2484" s="1"/>
      <c r="EC2484" s="1"/>
      <c r="ED2484" s="1"/>
      <c r="EE2484" s="1"/>
      <c r="EF2484" s="1"/>
      <c r="EG2484" s="1"/>
      <c r="EH2484" s="1"/>
      <c r="EI2484" s="1"/>
      <c r="EJ2484" s="1"/>
      <c r="EK2484" s="1"/>
      <c r="EL2484" s="1"/>
      <c r="EM2484" s="1"/>
      <c r="EN2484" s="1"/>
      <c r="EO2484" s="1"/>
      <c r="EP2484" s="1"/>
      <c r="EQ2484" s="1"/>
      <c r="ER2484" s="1"/>
      <c r="ES2484" s="1"/>
      <c r="ET2484" s="1"/>
      <c r="EU2484" s="1"/>
      <c r="EV2484" s="1"/>
      <c r="EW2484" s="1"/>
      <c r="EX2484" s="1"/>
      <c r="EY2484" s="1"/>
      <c r="EZ2484" s="1"/>
      <c r="FA2484" s="1"/>
      <c r="FB2484" s="1"/>
      <c r="FC2484" s="1"/>
      <c r="FD2484" s="1"/>
      <c r="FE2484" s="1"/>
      <c r="FF2484" s="1"/>
      <c r="FG2484" s="1"/>
      <c r="FH2484" s="1"/>
      <c r="FI2484" s="1"/>
      <c r="FJ2484" s="1"/>
      <c r="FK2484" s="1"/>
      <c r="FL2484" s="1"/>
      <c r="FM2484" s="1"/>
      <c r="FN2484" s="1"/>
      <c r="FO2484" s="1"/>
      <c r="FP2484" s="1"/>
      <c r="FQ2484" s="1"/>
      <c r="FR2484" s="1"/>
      <c r="FS2484" s="1"/>
      <c r="FT2484" s="1"/>
      <c r="FU2484" s="1"/>
      <c r="FV2484" s="1"/>
      <c r="FW2484" s="1"/>
      <c r="FX2484" s="1"/>
      <c r="FY2484" s="1"/>
      <c r="FZ2484" s="1"/>
      <c r="GA2484" s="1"/>
      <c r="GB2484" s="1"/>
      <c r="GC2484" s="1"/>
      <c r="GD2484" s="1"/>
      <c r="GE2484" s="1"/>
      <c r="GF2484" s="1"/>
      <c r="GG2484" s="1"/>
      <c r="GH2484" s="1"/>
      <c r="GI2484" s="1"/>
      <c r="GJ2484" s="1"/>
      <c r="GK2484" s="1"/>
      <c r="GL2484" s="1"/>
      <c r="GM2484" s="1"/>
      <c r="GN2484" s="1"/>
      <c r="GO2484" s="1"/>
      <c r="GP2484" s="1"/>
      <c r="GQ2484" s="1"/>
      <c r="GR2484" s="1"/>
      <c r="GS2484" s="1"/>
      <c r="GT2484" s="1"/>
      <c r="GU2484" s="1"/>
      <c r="GV2484" s="1"/>
      <c r="GW2484" s="1"/>
      <c r="GX2484" s="1"/>
      <c r="GY2484" s="1"/>
      <c r="GZ2484" s="1"/>
      <c r="HA2484" s="1"/>
      <c r="HB2484" s="1"/>
      <c r="HC2484" s="1"/>
      <c r="HD2484" s="1"/>
      <c r="HE2484" s="1"/>
      <c r="HF2484" s="1"/>
      <c r="HG2484" s="1"/>
      <c r="HH2484" s="1"/>
      <c r="HI2484" s="1"/>
      <c r="HJ2484" s="1"/>
      <c r="HK2484" s="1"/>
      <c r="HL2484" s="1"/>
      <c r="HM2484" s="1"/>
      <c r="HN2484" s="1"/>
      <c r="HO2484" s="1"/>
      <c r="HP2484" s="1"/>
      <c r="HQ2484" s="1"/>
    </row>
    <row r="2485" spans="1:225" ht="15.75" customHeight="1" x14ac:dyDescent="0.35">
      <c r="A2485" s="256">
        <f>A2482+1</f>
        <v>16</v>
      </c>
      <c r="B2485" s="256">
        <v>5488</v>
      </c>
      <c r="C2485" s="259" t="s">
        <v>633</v>
      </c>
      <c r="D2485" s="262">
        <v>1543.3</v>
      </c>
      <c r="E2485" s="262" t="s">
        <v>75</v>
      </c>
      <c r="F2485" s="265">
        <v>3</v>
      </c>
      <c r="G2485" s="256" t="s">
        <v>82</v>
      </c>
      <c r="H2485" s="159" t="s">
        <v>73</v>
      </c>
      <c r="I2485" s="158">
        <f>I2486</f>
        <v>55558.8</v>
      </c>
      <c r="J2485" s="158">
        <f>J2486</f>
        <v>36</v>
      </c>
      <c r="K2485" s="158">
        <f>K2486</f>
        <v>36</v>
      </c>
      <c r="L2485" s="1"/>
      <c r="M2485" s="1"/>
      <c r="N2485" s="1"/>
      <c r="O2485" s="1"/>
      <c r="P2485" s="1"/>
      <c r="Q2485" s="1"/>
      <c r="R2485" s="1"/>
      <c r="S2485" s="1"/>
      <c r="T2485" s="1"/>
      <c r="U2485" s="1"/>
      <c r="V2485" s="1"/>
      <c r="W2485" s="1"/>
      <c r="X2485" s="1"/>
      <c r="Y2485" s="1"/>
      <c r="Z2485" s="1"/>
      <c r="AA2485" s="1"/>
      <c r="AB2485" s="1"/>
      <c r="AC2485" s="1"/>
      <c r="AD2485" s="1"/>
      <c r="AE2485" s="1"/>
      <c r="AF2485" s="1"/>
      <c r="AG2485" s="1"/>
      <c r="AH2485" s="1"/>
      <c r="AI2485" s="1"/>
      <c r="AJ2485" s="1"/>
      <c r="AK2485" s="1"/>
      <c r="AL2485" s="1"/>
      <c r="AM2485" s="1"/>
      <c r="AN2485" s="1"/>
      <c r="AO2485" s="1"/>
      <c r="AP2485" s="1"/>
      <c r="AQ2485" s="1"/>
      <c r="AR2485" s="1"/>
      <c r="AS2485" s="1"/>
      <c r="AT2485" s="1"/>
      <c r="AU2485" s="1"/>
      <c r="AV2485" s="1"/>
      <c r="AW2485" s="1"/>
      <c r="AX2485" s="1"/>
      <c r="AY2485" s="1"/>
      <c r="AZ2485" s="1"/>
      <c r="BA2485" s="1"/>
      <c r="BB2485" s="1"/>
      <c r="BC2485" s="1"/>
      <c r="BD2485" s="1"/>
      <c r="BE2485" s="1"/>
      <c r="BF2485" s="1"/>
      <c r="BG2485" s="1"/>
      <c r="BH2485" s="1"/>
      <c r="BI2485" s="1"/>
      <c r="BJ2485" s="1"/>
      <c r="BK2485" s="1"/>
      <c r="BL2485" s="1"/>
      <c r="BM2485" s="1"/>
      <c r="BN2485" s="1"/>
      <c r="BO2485" s="1"/>
      <c r="BP2485" s="1"/>
      <c r="BQ2485" s="1"/>
      <c r="BR2485" s="1"/>
      <c r="BS2485" s="1"/>
      <c r="BT2485" s="1"/>
      <c r="BU2485" s="1"/>
      <c r="BV2485" s="1"/>
      <c r="BW2485" s="1"/>
      <c r="BX2485" s="1"/>
      <c r="BY2485" s="1"/>
      <c r="BZ2485" s="1"/>
      <c r="CA2485" s="1"/>
      <c r="CB2485" s="1"/>
      <c r="CC2485" s="1"/>
      <c r="CD2485" s="1"/>
      <c r="CE2485" s="1"/>
      <c r="CF2485" s="1"/>
      <c r="CG2485" s="1"/>
      <c r="CH2485" s="1"/>
      <c r="CI2485" s="1"/>
      <c r="CJ2485" s="1"/>
      <c r="CK2485" s="1"/>
      <c r="CL2485" s="1"/>
      <c r="CM2485" s="1"/>
      <c r="CN2485" s="1"/>
      <c r="CO2485" s="1"/>
      <c r="CP2485" s="1"/>
      <c r="CQ2485" s="1"/>
      <c r="CR2485" s="1"/>
      <c r="CS2485" s="1"/>
      <c r="CT2485" s="1"/>
      <c r="CU2485" s="1"/>
      <c r="CV2485" s="1"/>
      <c r="CW2485" s="1"/>
      <c r="CX2485" s="1"/>
      <c r="CY2485" s="1"/>
      <c r="CZ2485" s="1"/>
      <c r="DA2485" s="1"/>
      <c r="DB2485" s="1"/>
      <c r="DC2485" s="1"/>
      <c r="DD2485" s="1"/>
      <c r="DE2485" s="1"/>
      <c r="DF2485" s="1"/>
      <c r="DG2485" s="1"/>
      <c r="DH2485" s="1"/>
      <c r="DI2485" s="1"/>
      <c r="DJ2485" s="1"/>
      <c r="DK2485" s="1"/>
      <c r="DL2485" s="1"/>
      <c r="DM2485" s="1"/>
      <c r="DN2485" s="1"/>
      <c r="DO2485" s="1"/>
      <c r="DP2485" s="1"/>
      <c r="DQ2485" s="1"/>
      <c r="DR2485" s="1"/>
      <c r="DS2485" s="1"/>
      <c r="DT2485" s="1"/>
      <c r="DU2485" s="1"/>
      <c r="DV2485" s="1"/>
      <c r="DW2485" s="1"/>
      <c r="DX2485" s="1"/>
      <c r="DY2485" s="1"/>
      <c r="DZ2485" s="1"/>
      <c r="EA2485" s="1"/>
      <c r="EB2485" s="1"/>
      <c r="EC2485" s="1"/>
      <c r="ED2485" s="1"/>
      <c r="EE2485" s="1"/>
      <c r="EF2485" s="1"/>
      <c r="EG2485" s="1"/>
      <c r="EH2485" s="1"/>
      <c r="EI2485" s="1"/>
      <c r="EJ2485" s="1"/>
      <c r="EK2485" s="1"/>
      <c r="EL2485" s="1"/>
      <c r="EM2485" s="1"/>
      <c r="EN2485" s="1"/>
      <c r="EO2485" s="1"/>
      <c r="EP2485" s="1"/>
      <c r="EQ2485" s="1"/>
      <c r="ER2485" s="1"/>
      <c r="ES2485" s="1"/>
      <c r="ET2485" s="1"/>
      <c r="EU2485" s="1"/>
      <c r="EV2485" s="1"/>
      <c r="EW2485" s="1"/>
      <c r="EX2485" s="1"/>
      <c r="EY2485" s="1"/>
      <c r="EZ2485" s="1"/>
      <c r="FA2485" s="1"/>
      <c r="FB2485" s="1"/>
      <c r="FC2485" s="1"/>
      <c r="FD2485" s="1"/>
      <c r="FE2485" s="1"/>
      <c r="FF2485" s="1"/>
      <c r="FG2485" s="1"/>
      <c r="FH2485" s="1"/>
      <c r="FI2485" s="1"/>
      <c r="FJ2485" s="1"/>
      <c r="FK2485" s="1"/>
      <c r="FL2485" s="1"/>
      <c r="FM2485" s="1"/>
      <c r="FN2485" s="1"/>
      <c r="FO2485" s="1"/>
      <c r="FP2485" s="1"/>
      <c r="FQ2485" s="1"/>
      <c r="FR2485" s="1"/>
      <c r="FS2485" s="1"/>
      <c r="FT2485" s="1"/>
      <c r="FU2485" s="1"/>
      <c r="FV2485" s="1"/>
      <c r="FW2485" s="1"/>
      <c r="FX2485" s="1"/>
      <c r="FY2485" s="1"/>
      <c r="FZ2485" s="1"/>
      <c r="GA2485" s="1"/>
      <c r="GB2485" s="1"/>
      <c r="GC2485" s="1"/>
      <c r="GD2485" s="1"/>
      <c r="GE2485" s="1"/>
      <c r="GF2485" s="1"/>
      <c r="GG2485" s="1"/>
      <c r="GH2485" s="1"/>
      <c r="GI2485" s="1"/>
      <c r="GJ2485" s="1"/>
      <c r="GK2485" s="1"/>
      <c r="GL2485" s="1"/>
      <c r="GM2485" s="1"/>
      <c r="GN2485" s="1"/>
      <c r="GO2485" s="1"/>
      <c r="GP2485" s="1"/>
      <c r="GQ2485" s="1"/>
      <c r="GR2485" s="1"/>
      <c r="GS2485" s="1"/>
      <c r="GT2485" s="1"/>
      <c r="GU2485" s="1"/>
      <c r="GV2485" s="1"/>
      <c r="GW2485" s="1"/>
      <c r="GX2485" s="1"/>
      <c r="GY2485" s="1"/>
      <c r="GZ2485" s="1"/>
      <c r="HA2485" s="1"/>
      <c r="HB2485" s="1"/>
      <c r="HC2485" s="1"/>
      <c r="HD2485" s="1"/>
      <c r="HE2485" s="1"/>
      <c r="HF2485" s="1"/>
      <c r="HG2485" s="1"/>
      <c r="HH2485" s="1"/>
      <c r="HI2485" s="1"/>
      <c r="HJ2485" s="1"/>
      <c r="HK2485" s="1"/>
      <c r="HL2485" s="1"/>
      <c r="HM2485" s="1"/>
      <c r="HN2485" s="1"/>
      <c r="HO2485" s="1"/>
      <c r="HP2485" s="1"/>
      <c r="HQ2485" s="1"/>
    </row>
    <row r="2486" spans="1:225" ht="15.75" customHeight="1" x14ac:dyDescent="0.35">
      <c r="A2486" s="257">
        <v>1131</v>
      </c>
      <c r="B2486" s="258"/>
      <c r="C2486" s="260"/>
      <c r="D2486" s="263"/>
      <c r="E2486" s="263"/>
      <c r="F2486" s="266"/>
      <c r="G2486" s="257"/>
      <c r="H2486" s="159" t="s">
        <v>666</v>
      </c>
      <c r="I2486" s="158">
        <f>D2485*K2486</f>
        <v>55558.8</v>
      </c>
      <c r="J2486" s="158">
        <f>I2486/D2485</f>
        <v>36</v>
      </c>
      <c r="K2486" s="158">
        <f>33+3</f>
        <v>36</v>
      </c>
      <c r="L2486" s="1"/>
      <c r="M2486" s="1"/>
      <c r="N2486" s="1"/>
      <c r="O2486" s="1"/>
      <c r="P2486" s="1"/>
      <c r="Q2486" s="1"/>
      <c r="R2486" s="1"/>
      <c r="S2486" s="1"/>
      <c r="T2486" s="1"/>
      <c r="U2486" s="1"/>
      <c r="V2486" s="1"/>
      <c r="W2486" s="1"/>
      <c r="X2486" s="1"/>
      <c r="Y2486" s="1"/>
      <c r="Z2486" s="1"/>
      <c r="AA2486" s="1"/>
      <c r="AB2486" s="1"/>
      <c r="AC2486" s="1"/>
      <c r="AD2486" s="1"/>
      <c r="AE2486" s="1"/>
      <c r="AF2486" s="1"/>
      <c r="AG2486" s="1"/>
      <c r="AH2486" s="1"/>
      <c r="AI2486" s="1"/>
      <c r="AJ2486" s="1"/>
      <c r="AK2486" s="1"/>
      <c r="AL2486" s="1"/>
      <c r="AM2486" s="1"/>
      <c r="AN2486" s="1"/>
      <c r="AO2486" s="1"/>
      <c r="AP2486" s="1"/>
      <c r="AQ2486" s="1"/>
      <c r="AR2486" s="1"/>
      <c r="AS2486" s="1"/>
      <c r="AT2486" s="1"/>
      <c r="AU2486" s="1"/>
      <c r="AV2486" s="1"/>
      <c r="AW2486" s="1"/>
      <c r="AX2486" s="1"/>
      <c r="AY2486" s="1"/>
      <c r="AZ2486" s="1"/>
      <c r="BA2486" s="1"/>
      <c r="BB2486" s="1"/>
      <c r="BC2486" s="1"/>
      <c r="BD2486" s="1"/>
      <c r="BE2486" s="1"/>
      <c r="BF2486" s="1"/>
      <c r="BG2486" s="1"/>
      <c r="BH2486" s="1"/>
      <c r="BI2486" s="1"/>
      <c r="BJ2486" s="1"/>
      <c r="BK2486" s="1"/>
      <c r="BL2486" s="1"/>
      <c r="BM2486" s="1"/>
      <c r="BN2486" s="1"/>
      <c r="BO2486" s="1"/>
      <c r="BP2486" s="1"/>
      <c r="BQ2486" s="1"/>
      <c r="BR2486" s="1"/>
      <c r="BS2486" s="1"/>
      <c r="BT2486" s="1"/>
      <c r="BU2486" s="1"/>
      <c r="BV2486" s="1"/>
      <c r="BW2486" s="1"/>
      <c r="BX2486" s="1"/>
      <c r="BY2486" s="1"/>
      <c r="BZ2486" s="1"/>
      <c r="CA2486" s="1"/>
      <c r="CB2486" s="1"/>
      <c r="CC2486" s="1"/>
      <c r="CD2486" s="1"/>
      <c r="CE2486" s="1"/>
      <c r="CF2486" s="1"/>
      <c r="CG2486" s="1"/>
      <c r="CH2486" s="1"/>
      <c r="CI2486" s="1"/>
      <c r="CJ2486" s="1"/>
      <c r="CK2486" s="1"/>
      <c r="CL2486" s="1"/>
      <c r="CM2486" s="1"/>
      <c r="CN2486" s="1"/>
      <c r="CO2486" s="1"/>
      <c r="CP2486" s="1"/>
      <c r="CQ2486" s="1"/>
      <c r="CR2486" s="1"/>
      <c r="CS2486" s="1"/>
      <c r="CT2486" s="1"/>
      <c r="CU2486" s="1"/>
      <c r="CV2486" s="1"/>
      <c r="CW2486" s="1"/>
      <c r="CX2486" s="1"/>
      <c r="CY2486" s="1"/>
      <c r="CZ2486" s="1"/>
      <c r="DA2486" s="1"/>
      <c r="DB2486" s="1"/>
      <c r="DC2486" s="1"/>
      <c r="DD2486" s="1"/>
      <c r="DE2486" s="1"/>
      <c r="DF2486" s="1"/>
      <c r="DG2486" s="1"/>
      <c r="DH2486" s="1"/>
      <c r="DI2486" s="1"/>
      <c r="DJ2486" s="1"/>
      <c r="DK2486" s="1"/>
      <c r="DL2486" s="1"/>
      <c r="DM2486" s="1"/>
      <c r="DN2486" s="1"/>
      <c r="DO2486" s="1"/>
      <c r="DP2486" s="1"/>
      <c r="DQ2486" s="1"/>
      <c r="DR2486" s="1"/>
      <c r="DS2486" s="1"/>
      <c r="DT2486" s="1"/>
      <c r="DU2486" s="1"/>
      <c r="DV2486" s="1"/>
      <c r="DW2486" s="1"/>
      <c r="DX2486" s="1"/>
      <c r="DY2486" s="1"/>
      <c r="DZ2486" s="1"/>
      <c r="EA2486" s="1"/>
      <c r="EB2486" s="1"/>
      <c r="EC2486" s="1"/>
      <c r="ED2486" s="1"/>
      <c r="EE2486" s="1"/>
      <c r="EF2486" s="1"/>
      <c r="EG2486" s="1"/>
      <c r="EH2486" s="1"/>
      <c r="EI2486" s="1"/>
      <c r="EJ2486" s="1"/>
      <c r="EK2486" s="1"/>
      <c r="EL2486" s="1"/>
      <c r="EM2486" s="1"/>
      <c r="EN2486" s="1"/>
      <c r="EO2486" s="1"/>
      <c r="EP2486" s="1"/>
      <c r="EQ2486" s="1"/>
      <c r="ER2486" s="1"/>
      <c r="ES2486" s="1"/>
      <c r="ET2486" s="1"/>
      <c r="EU2486" s="1"/>
      <c r="EV2486" s="1"/>
      <c r="EW2486" s="1"/>
      <c r="EX2486" s="1"/>
      <c r="EY2486" s="1"/>
      <c r="EZ2486" s="1"/>
      <c r="FA2486" s="1"/>
      <c r="FB2486" s="1"/>
      <c r="FC2486" s="1"/>
      <c r="FD2486" s="1"/>
      <c r="FE2486" s="1"/>
      <c r="FF2486" s="1"/>
      <c r="FG2486" s="1"/>
      <c r="FH2486" s="1"/>
      <c r="FI2486" s="1"/>
      <c r="FJ2486" s="1"/>
      <c r="FK2486" s="1"/>
      <c r="FL2486" s="1"/>
      <c r="FM2486" s="1"/>
      <c r="FN2486" s="1"/>
      <c r="FO2486" s="1"/>
      <c r="FP2486" s="1"/>
      <c r="FQ2486" s="1"/>
      <c r="FR2486" s="1"/>
      <c r="FS2486" s="1"/>
      <c r="FT2486" s="1"/>
      <c r="FU2486" s="1"/>
      <c r="FV2486" s="1"/>
      <c r="FW2486" s="1"/>
      <c r="FX2486" s="1"/>
      <c r="FY2486" s="1"/>
      <c r="FZ2486" s="1"/>
      <c r="GA2486" s="1"/>
      <c r="GB2486" s="1"/>
      <c r="GC2486" s="1"/>
      <c r="GD2486" s="1"/>
      <c r="GE2486" s="1"/>
      <c r="GF2486" s="1"/>
      <c r="GG2486" s="1"/>
      <c r="GH2486" s="1"/>
      <c r="GI2486" s="1"/>
      <c r="GJ2486" s="1"/>
      <c r="GK2486" s="1"/>
      <c r="GL2486" s="1"/>
      <c r="GM2486" s="1"/>
      <c r="GN2486" s="1"/>
      <c r="GO2486" s="1"/>
      <c r="GP2486" s="1"/>
      <c r="GQ2486" s="1"/>
      <c r="GR2486" s="1"/>
      <c r="GS2486" s="1"/>
      <c r="GT2486" s="1"/>
      <c r="GU2486" s="1"/>
      <c r="GV2486" s="1"/>
      <c r="GW2486" s="1"/>
      <c r="GX2486" s="1"/>
      <c r="GY2486" s="1"/>
      <c r="GZ2486" s="1"/>
      <c r="HA2486" s="1"/>
      <c r="HB2486" s="1"/>
      <c r="HC2486" s="1"/>
      <c r="HD2486" s="1"/>
      <c r="HE2486" s="1"/>
      <c r="HF2486" s="1"/>
      <c r="HG2486" s="1"/>
      <c r="HH2486" s="1"/>
      <c r="HI2486" s="1"/>
      <c r="HJ2486" s="1"/>
      <c r="HK2486" s="1"/>
      <c r="HL2486" s="1"/>
      <c r="HM2486" s="1"/>
      <c r="HN2486" s="1"/>
      <c r="HO2486" s="1"/>
      <c r="HP2486" s="1"/>
      <c r="HQ2486" s="1"/>
    </row>
    <row r="2487" spans="1:225" ht="15.75" customHeight="1" x14ac:dyDescent="0.35">
      <c r="A2487" s="256">
        <f>A2485+1</f>
        <v>17</v>
      </c>
      <c r="B2487" s="256">
        <v>5547</v>
      </c>
      <c r="C2487" s="259" t="s">
        <v>454</v>
      </c>
      <c r="D2487" s="262">
        <v>394.4</v>
      </c>
      <c r="E2487" s="262" t="s">
        <v>665</v>
      </c>
      <c r="F2487" s="265">
        <v>2</v>
      </c>
      <c r="G2487" s="256" t="s">
        <v>72</v>
      </c>
      <c r="H2487" s="159" t="s">
        <v>73</v>
      </c>
      <c r="I2487" s="158">
        <f>I2488+I2489</f>
        <v>2100061.6800000002</v>
      </c>
      <c r="J2487" s="158">
        <f>J2488+J2489</f>
        <v>5324.7</v>
      </c>
      <c r="K2487" s="158">
        <f>K2488+K2489</f>
        <v>7539</v>
      </c>
      <c r="L2487" s="1"/>
      <c r="M2487" s="1"/>
      <c r="N2487" s="1"/>
      <c r="O2487" s="1"/>
      <c r="P2487" s="1"/>
      <c r="Q2487" s="1"/>
      <c r="R2487" s="1"/>
      <c r="S2487" s="1"/>
      <c r="T2487" s="1"/>
      <c r="U2487" s="1"/>
      <c r="V2487" s="1"/>
      <c r="W2487" s="1"/>
      <c r="X2487" s="1"/>
      <c r="Y2487" s="1"/>
      <c r="Z2487" s="1"/>
      <c r="AA2487" s="1"/>
      <c r="AB2487" s="1"/>
      <c r="AC2487" s="1"/>
      <c r="AD2487" s="1"/>
      <c r="AE2487" s="1"/>
      <c r="AF2487" s="1"/>
      <c r="AG2487" s="1"/>
      <c r="AH2487" s="1"/>
      <c r="AI2487" s="1"/>
      <c r="AJ2487" s="1"/>
      <c r="AK2487" s="1"/>
      <c r="AL2487" s="1"/>
      <c r="AM2487" s="1"/>
      <c r="AN2487" s="1"/>
      <c r="AO2487" s="1"/>
      <c r="AP2487" s="1"/>
      <c r="AQ2487" s="1"/>
      <c r="AR2487" s="1"/>
      <c r="AS2487" s="1"/>
      <c r="AT2487" s="1"/>
      <c r="AU2487" s="1"/>
      <c r="AV2487" s="1"/>
      <c r="AW2487" s="1"/>
      <c r="AX2487" s="1"/>
      <c r="AY2487" s="1"/>
      <c r="AZ2487" s="1"/>
      <c r="BA2487" s="1"/>
      <c r="BB2487" s="1"/>
      <c r="BC2487" s="1"/>
      <c r="BD2487" s="1"/>
      <c r="BE2487" s="1"/>
      <c r="BF2487" s="1"/>
      <c r="BG2487" s="1"/>
      <c r="BH2487" s="1"/>
      <c r="BI2487" s="1"/>
      <c r="BJ2487" s="1"/>
      <c r="BK2487" s="1"/>
      <c r="BL2487" s="1"/>
      <c r="BM2487" s="1"/>
      <c r="BN2487" s="1"/>
      <c r="BO2487" s="1"/>
      <c r="BP2487" s="1"/>
      <c r="BQ2487" s="1"/>
      <c r="BR2487" s="1"/>
      <c r="BS2487" s="1"/>
      <c r="BT2487" s="1"/>
      <c r="BU2487" s="1"/>
      <c r="BV2487" s="1"/>
      <c r="BW2487" s="1"/>
      <c r="BX2487" s="1"/>
      <c r="BY2487" s="1"/>
      <c r="BZ2487" s="1"/>
      <c r="CA2487" s="1"/>
      <c r="CB2487" s="1"/>
      <c r="CC2487" s="1"/>
      <c r="CD2487" s="1"/>
      <c r="CE2487" s="1"/>
      <c r="CF2487" s="1"/>
      <c r="CG2487" s="1"/>
      <c r="CH2487" s="1"/>
      <c r="CI2487" s="1"/>
      <c r="CJ2487" s="1"/>
      <c r="CK2487" s="1"/>
      <c r="CL2487" s="1"/>
      <c r="CM2487" s="1"/>
      <c r="CN2487" s="1"/>
      <c r="CO2487" s="1"/>
      <c r="CP2487" s="1"/>
      <c r="CQ2487" s="1"/>
      <c r="CR2487" s="1"/>
      <c r="CS2487" s="1"/>
      <c r="CT2487" s="1"/>
      <c r="CU2487" s="1"/>
      <c r="CV2487" s="1"/>
      <c r="CW2487" s="1"/>
      <c r="CX2487" s="1"/>
      <c r="CY2487" s="1"/>
      <c r="CZ2487" s="1"/>
      <c r="DA2487" s="1"/>
      <c r="DB2487" s="1"/>
      <c r="DC2487" s="1"/>
      <c r="DD2487" s="1"/>
      <c r="DE2487" s="1"/>
      <c r="DF2487" s="1"/>
      <c r="DG2487" s="1"/>
      <c r="DH2487" s="1"/>
      <c r="DI2487" s="1"/>
      <c r="DJ2487" s="1"/>
      <c r="DK2487" s="1"/>
      <c r="DL2487" s="1"/>
      <c r="DM2487" s="1"/>
      <c r="DN2487" s="1"/>
      <c r="DO2487" s="1"/>
      <c r="DP2487" s="1"/>
      <c r="DQ2487" s="1"/>
      <c r="DR2487" s="1"/>
      <c r="DS2487" s="1"/>
      <c r="DT2487" s="1"/>
      <c r="DU2487" s="1"/>
      <c r="DV2487" s="1"/>
      <c r="DW2487" s="1"/>
      <c r="DX2487" s="1"/>
      <c r="DY2487" s="1"/>
      <c r="DZ2487" s="1"/>
      <c r="EA2487" s="1"/>
      <c r="EB2487" s="1"/>
      <c r="EC2487" s="1"/>
      <c r="ED2487" s="1"/>
      <c r="EE2487" s="1"/>
      <c r="EF2487" s="1"/>
      <c r="EG2487" s="1"/>
      <c r="EH2487" s="1"/>
      <c r="EI2487" s="1"/>
      <c r="EJ2487" s="1"/>
      <c r="EK2487" s="1"/>
      <c r="EL2487" s="1"/>
      <c r="EM2487" s="1"/>
      <c r="EN2487" s="1"/>
      <c r="EO2487" s="1"/>
      <c r="EP2487" s="1"/>
      <c r="EQ2487" s="1"/>
      <c r="ER2487" s="1"/>
      <c r="ES2487" s="1"/>
      <c r="ET2487" s="1"/>
      <c r="EU2487" s="1"/>
      <c r="EV2487" s="1"/>
      <c r="EW2487" s="1"/>
      <c r="EX2487" s="1"/>
      <c r="EY2487" s="1"/>
      <c r="EZ2487" s="1"/>
      <c r="FA2487" s="1"/>
      <c r="FB2487" s="1"/>
      <c r="FC2487" s="1"/>
      <c r="FD2487" s="1"/>
      <c r="FE2487" s="1"/>
      <c r="FF2487" s="1"/>
      <c r="FG2487" s="1"/>
      <c r="FH2487" s="1"/>
      <c r="FI2487" s="1"/>
      <c r="FJ2487" s="1"/>
      <c r="FK2487" s="1"/>
      <c r="FL2487" s="1"/>
      <c r="FM2487" s="1"/>
      <c r="FN2487" s="1"/>
      <c r="FO2487" s="1"/>
      <c r="FP2487" s="1"/>
      <c r="FQ2487" s="1"/>
      <c r="FR2487" s="1"/>
      <c r="FS2487" s="1"/>
      <c r="FT2487" s="1"/>
      <c r="FU2487" s="1"/>
      <c r="FV2487" s="1"/>
      <c r="FW2487" s="1"/>
      <c r="FX2487" s="1"/>
      <c r="FY2487" s="1"/>
      <c r="FZ2487" s="1"/>
      <c r="GA2487" s="1"/>
      <c r="GB2487" s="1"/>
      <c r="GC2487" s="1"/>
      <c r="GD2487" s="1"/>
      <c r="GE2487" s="1"/>
      <c r="GF2487" s="1"/>
      <c r="GG2487" s="1"/>
      <c r="GH2487" s="1"/>
      <c r="GI2487" s="1"/>
      <c r="GJ2487" s="1"/>
      <c r="GK2487" s="1"/>
      <c r="GL2487" s="1"/>
      <c r="GM2487" s="1"/>
      <c r="GN2487" s="1"/>
      <c r="GO2487" s="1"/>
      <c r="GP2487" s="1"/>
      <c r="GQ2487" s="1"/>
      <c r="GR2487" s="1"/>
      <c r="GS2487" s="1"/>
      <c r="GT2487" s="1"/>
      <c r="GU2487" s="1"/>
      <c r="GV2487" s="1"/>
      <c r="GW2487" s="1"/>
      <c r="GX2487" s="1"/>
      <c r="GY2487" s="1"/>
      <c r="GZ2487" s="1"/>
      <c r="HA2487" s="1"/>
      <c r="HB2487" s="1"/>
      <c r="HC2487" s="1"/>
      <c r="HD2487" s="1"/>
      <c r="HE2487" s="1"/>
      <c r="HF2487" s="1"/>
      <c r="HG2487" s="1"/>
      <c r="HH2487" s="1"/>
      <c r="HI2487" s="1"/>
      <c r="HJ2487" s="1"/>
      <c r="HK2487" s="1"/>
      <c r="HL2487" s="1"/>
      <c r="HM2487" s="1"/>
      <c r="HN2487" s="1"/>
      <c r="HO2487" s="1"/>
      <c r="HP2487" s="1"/>
      <c r="HQ2487" s="1"/>
    </row>
    <row r="2488" spans="1:225" ht="15.75" customHeight="1" x14ac:dyDescent="0.35">
      <c r="A2488" s="257"/>
      <c r="B2488" s="257"/>
      <c r="C2488" s="260"/>
      <c r="D2488" s="263"/>
      <c r="E2488" s="263"/>
      <c r="F2488" s="266"/>
      <c r="G2488" s="257"/>
      <c r="H2488" s="159" t="s">
        <v>74</v>
      </c>
      <c r="I2488" s="158">
        <f>K2488*D2487*70/100</f>
        <v>2037746.48</v>
      </c>
      <c r="J2488" s="158">
        <f>I2488/D2487</f>
        <v>5166.7</v>
      </c>
      <c r="K2488" s="158">
        <v>7381</v>
      </c>
      <c r="L2488" s="1"/>
      <c r="M2488" s="1"/>
      <c r="N2488" s="1"/>
      <c r="O2488" s="1"/>
      <c r="P2488" s="1"/>
      <c r="Q2488" s="1"/>
      <c r="R2488" s="1"/>
      <c r="S2488" s="1"/>
      <c r="T2488" s="1"/>
      <c r="U2488" s="1"/>
      <c r="V2488" s="1"/>
      <c r="W2488" s="1"/>
      <c r="X2488" s="1"/>
      <c r="Y2488" s="1"/>
      <c r="Z2488" s="1"/>
      <c r="AA2488" s="1"/>
      <c r="AB2488" s="1"/>
      <c r="AC2488" s="1"/>
      <c r="AD2488" s="1"/>
      <c r="AE2488" s="1"/>
      <c r="AF2488" s="1"/>
      <c r="AG2488" s="1"/>
      <c r="AH2488" s="1"/>
      <c r="AI2488" s="1"/>
      <c r="AJ2488" s="1"/>
      <c r="AK2488" s="1"/>
      <c r="AL2488" s="1"/>
      <c r="AM2488" s="1"/>
      <c r="AN2488" s="1"/>
      <c r="AO2488" s="1"/>
      <c r="AP2488" s="1"/>
      <c r="AQ2488" s="1"/>
      <c r="AR2488" s="1"/>
      <c r="AS2488" s="1"/>
      <c r="AT2488" s="1"/>
      <c r="AU2488" s="1"/>
      <c r="AV2488" s="1"/>
      <c r="AW2488" s="1"/>
      <c r="AX2488" s="1"/>
      <c r="AY2488" s="1"/>
      <c r="AZ2488" s="1"/>
      <c r="BA2488" s="1"/>
      <c r="BB2488" s="1"/>
      <c r="BC2488" s="1"/>
      <c r="BD2488" s="1"/>
      <c r="BE2488" s="1"/>
      <c r="BF2488" s="1"/>
      <c r="BG2488" s="1"/>
      <c r="BH2488" s="1"/>
      <c r="BI2488" s="1"/>
      <c r="BJ2488" s="1"/>
      <c r="BK2488" s="1"/>
      <c r="BL2488" s="1"/>
      <c r="BM2488" s="1"/>
      <c r="BN2488" s="1"/>
      <c r="BO2488" s="1"/>
      <c r="BP2488" s="1"/>
      <c r="BQ2488" s="1"/>
      <c r="BR2488" s="1"/>
      <c r="BS2488" s="1"/>
      <c r="BT2488" s="1"/>
      <c r="BU2488" s="1"/>
      <c r="BV2488" s="1"/>
      <c r="BW2488" s="1"/>
      <c r="BX2488" s="1"/>
      <c r="BY2488" s="1"/>
      <c r="BZ2488" s="1"/>
      <c r="CA2488" s="1"/>
      <c r="CB2488" s="1"/>
      <c r="CC2488" s="1"/>
      <c r="CD2488" s="1"/>
      <c r="CE2488" s="1"/>
      <c r="CF2488" s="1"/>
      <c r="CG2488" s="1"/>
      <c r="CH2488" s="1"/>
      <c r="CI2488" s="1"/>
      <c r="CJ2488" s="1"/>
      <c r="CK2488" s="1"/>
      <c r="CL2488" s="1"/>
      <c r="CM2488" s="1"/>
      <c r="CN2488" s="1"/>
      <c r="CO2488" s="1"/>
      <c r="CP2488" s="1"/>
      <c r="CQ2488" s="1"/>
      <c r="CR2488" s="1"/>
      <c r="CS2488" s="1"/>
      <c r="CT2488" s="1"/>
      <c r="CU2488" s="1"/>
      <c r="CV2488" s="1"/>
      <c r="CW2488" s="1"/>
      <c r="CX2488" s="1"/>
      <c r="CY2488" s="1"/>
      <c r="CZ2488" s="1"/>
      <c r="DA2488" s="1"/>
      <c r="DB2488" s="1"/>
      <c r="DC2488" s="1"/>
      <c r="DD2488" s="1"/>
      <c r="DE2488" s="1"/>
      <c r="DF2488" s="1"/>
      <c r="DG2488" s="1"/>
      <c r="DH2488" s="1"/>
      <c r="DI2488" s="1"/>
      <c r="DJ2488" s="1"/>
      <c r="DK2488" s="1"/>
      <c r="DL2488" s="1"/>
      <c r="DM2488" s="1"/>
      <c r="DN2488" s="1"/>
      <c r="DO2488" s="1"/>
      <c r="DP2488" s="1"/>
      <c r="DQ2488" s="1"/>
      <c r="DR2488" s="1"/>
      <c r="DS2488" s="1"/>
      <c r="DT2488" s="1"/>
      <c r="DU2488" s="1"/>
      <c r="DV2488" s="1"/>
      <c r="DW2488" s="1"/>
      <c r="DX2488" s="1"/>
      <c r="DY2488" s="1"/>
      <c r="DZ2488" s="1"/>
      <c r="EA2488" s="1"/>
      <c r="EB2488" s="1"/>
      <c r="EC2488" s="1"/>
      <c r="ED2488" s="1"/>
      <c r="EE2488" s="1"/>
      <c r="EF2488" s="1"/>
      <c r="EG2488" s="1"/>
      <c r="EH2488" s="1"/>
      <c r="EI2488" s="1"/>
      <c r="EJ2488" s="1"/>
      <c r="EK2488" s="1"/>
      <c r="EL2488" s="1"/>
      <c r="EM2488" s="1"/>
      <c r="EN2488" s="1"/>
      <c r="EO2488" s="1"/>
      <c r="EP2488" s="1"/>
      <c r="EQ2488" s="1"/>
      <c r="ER2488" s="1"/>
      <c r="ES2488" s="1"/>
      <c r="ET2488" s="1"/>
      <c r="EU2488" s="1"/>
      <c r="EV2488" s="1"/>
      <c r="EW2488" s="1"/>
      <c r="EX2488" s="1"/>
      <c r="EY2488" s="1"/>
      <c r="EZ2488" s="1"/>
      <c r="FA2488" s="1"/>
      <c r="FB2488" s="1"/>
      <c r="FC2488" s="1"/>
      <c r="FD2488" s="1"/>
      <c r="FE2488" s="1"/>
      <c r="FF2488" s="1"/>
      <c r="FG2488" s="1"/>
      <c r="FH2488" s="1"/>
      <c r="FI2488" s="1"/>
      <c r="FJ2488" s="1"/>
      <c r="FK2488" s="1"/>
      <c r="FL2488" s="1"/>
      <c r="FM2488" s="1"/>
      <c r="FN2488" s="1"/>
      <c r="FO2488" s="1"/>
      <c r="FP2488" s="1"/>
      <c r="FQ2488" s="1"/>
      <c r="FR2488" s="1"/>
      <c r="FS2488" s="1"/>
      <c r="FT2488" s="1"/>
      <c r="FU2488" s="1"/>
      <c r="FV2488" s="1"/>
      <c r="FW2488" s="1"/>
      <c r="FX2488" s="1"/>
      <c r="FY2488" s="1"/>
      <c r="FZ2488" s="1"/>
      <c r="GA2488" s="1"/>
      <c r="GB2488" s="1"/>
      <c r="GC2488" s="1"/>
      <c r="GD2488" s="1"/>
      <c r="GE2488" s="1"/>
      <c r="GF2488" s="1"/>
      <c r="GG2488" s="1"/>
      <c r="GH2488" s="1"/>
      <c r="GI2488" s="1"/>
      <c r="GJ2488" s="1"/>
      <c r="GK2488" s="1"/>
      <c r="GL2488" s="1"/>
      <c r="GM2488" s="1"/>
      <c r="GN2488" s="1"/>
      <c r="GO2488" s="1"/>
      <c r="GP2488" s="1"/>
      <c r="GQ2488" s="1"/>
      <c r="GR2488" s="1"/>
      <c r="GS2488" s="1"/>
      <c r="GT2488" s="1"/>
      <c r="GU2488" s="1"/>
      <c r="GV2488" s="1"/>
      <c r="GW2488" s="1"/>
      <c r="GX2488" s="1"/>
      <c r="GY2488" s="1"/>
      <c r="GZ2488" s="1"/>
      <c r="HA2488" s="1"/>
      <c r="HB2488" s="1"/>
      <c r="HC2488" s="1"/>
      <c r="HD2488" s="1"/>
      <c r="HE2488" s="1"/>
      <c r="HF2488" s="1"/>
      <c r="HG2488" s="1"/>
      <c r="HH2488" s="1"/>
      <c r="HI2488" s="1"/>
      <c r="HJ2488" s="1"/>
      <c r="HK2488" s="1"/>
      <c r="HL2488" s="1"/>
      <c r="HM2488" s="1"/>
      <c r="HN2488" s="1"/>
      <c r="HO2488" s="1"/>
      <c r="HP2488" s="1"/>
      <c r="HQ2488" s="1"/>
    </row>
    <row r="2489" spans="1:225" ht="15.75" customHeight="1" x14ac:dyDescent="0.35">
      <c r="A2489" s="258"/>
      <c r="B2489" s="258"/>
      <c r="C2489" s="261"/>
      <c r="D2489" s="264"/>
      <c r="E2489" s="264"/>
      <c r="F2489" s="267"/>
      <c r="G2489" s="258"/>
      <c r="H2489" s="159" t="s">
        <v>76</v>
      </c>
      <c r="I2489" s="158">
        <f>K2489*D2487</f>
        <v>62315.199999999997</v>
      </c>
      <c r="J2489" s="158">
        <f>I2489/D2487</f>
        <v>158</v>
      </c>
      <c r="K2489" s="158">
        <v>158</v>
      </c>
      <c r="L2489" s="1"/>
      <c r="M2489" s="1"/>
      <c r="N2489" s="1"/>
      <c r="O2489" s="1"/>
      <c r="P2489" s="1"/>
      <c r="Q2489" s="1"/>
      <c r="R2489" s="1"/>
      <c r="S2489" s="1"/>
      <c r="T2489" s="1"/>
      <c r="U2489" s="1"/>
      <c r="V2489" s="1"/>
      <c r="W2489" s="1"/>
      <c r="X2489" s="1"/>
      <c r="Y2489" s="1"/>
      <c r="Z2489" s="1"/>
      <c r="AA2489" s="1"/>
      <c r="AB2489" s="1"/>
      <c r="AC2489" s="1"/>
      <c r="AD2489" s="1"/>
      <c r="AE2489" s="1"/>
      <c r="AF2489" s="1"/>
      <c r="AG2489" s="1"/>
      <c r="AH2489" s="1"/>
      <c r="AI2489" s="1"/>
      <c r="AJ2489" s="1"/>
      <c r="AK2489" s="1"/>
      <c r="AL2489" s="1"/>
      <c r="AM2489" s="1"/>
      <c r="AN2489" s="1"/>
      <c r="AO2489" s="1"/>
      <c r="AP2489" s="1"/>
      <c r="AQ2489" s="1"/>
      <c r="AR2489" s="1"/>
      <c r="AS2489" s="1"/>
      <c r="AT2489" s="1"/>
      <c r="AU2489" s="1"/>
      <c r="AV2489" s="1"/>
      <c r="AW2489" s="1"/>
      <c r="AX2489" s="1"/>
      <c r="AY2489" s="1"/>
      <c r="AZ2489" s="1"/>
      <c r="BA2489" s="1"/>
      <c r="BB2489" s="1"/>
      <c r="BC2489" s="1"/>
      <c r="BD2489" s="1"/>
      <c r="BE2489" s="1"/>
      <c r="BF2489" s="1"/>
      <c r="BG2489" s="1"/>
      <c r="BH2489" s="1"/>
      <c r="BI2489" s="1"/>
      <c r="BJ2489" s="1"/>
      <c r="BK2489" s="1"/>
      <c r="BL2489" s="1"/>
      <c r="BM2489" s="1"/>
      <c r="BN2489" s="1"/>
      <c r="BO2489" s="1"/>
      <c r="BP2489" s="1"/>
      <c r="BQ2489" s="1"/>
      <c r="BR2489" s="1"/>
      <c r="BS2489" s="1"/>
      <c r="BT2489" s="1"/>
      <c r="BU2489" s="1"/>
      <c r="BV2489" s="1"/>
      <c r="BW2489" s="1"/>
      <c r="BX2489" s="1"/>
      <c r="BY2489" s="1"/>
      <c r="BZ2489" s="1"/>
      <c r="CA2489" s="1"/>
      <c r="CB2489" s="1"/>
      <c r="CC2489" s="1"/>
      <c r="CD2489" s="1"/>
      <c r="CE2489" s="1"/>
      <c r="CF2489" s="1"/>
      <c r="CG2489" s="1"/>
      <c r="CH2489" s="1"/>
      <c r="CI2489" s="1"/>
      <c r="CJ2489" s="1"/>
      <c r="CK2489" s="1"/>
      <c r="CL2489" s="1"/>
      <c r="CM2489" s="1"/>
      <c r="CN2489" s="1"/>
      <c r="CO2489" s="1"/>
      <c r="CP2489" s="1"/>
      <c r="CQ2489" s="1"/>
      <c r="CR2489" s="1"/>
      <c r="CS2489" s="1"/>
      <c r="CT2489" s="1"/>
      <c r="CU2489" s="1"/>
      <c r="CV2489" s="1"/>
      <c r="CW2489" s="1"/>
      <c r="CX2489" s="1"/>
      <c r="CY2489" s="1"/>
      <c r="CZ2489" s="1"/>
      <c r="DA2489" s="1"/>
      <c r="DB2489" s="1"/>
      <c r="DC2489" s="1"/>
      <c r="DD2489" s="1"/>
      <c r="DE2489" s="1"/>
      <c r="DF2489" s="1"/>
      <c r="DG2489" s="1"/>
      <c r="DH2489" s="1"/>
      <c r="DI2489" s="1"/>
      <c r="DJ2489" s="1"/>
      <c r="DK2489" s="1"/>
      <c r="DL2489" s="1"/>
      <c r="DM2489" s="1"/>
      <c r="DN2489" s="1"/>
      <c r="DO2489" s="1"/>
      <c r="DP2489" s="1"/>
      <c r="DQ2489" s="1"/>
      <c r="DR2489" s="1"/>
      <c r="DS2489" s="1"/>
      <c r="DT2489" s="1"/>
      <c r="DU2489" s="1"/>
      <c r="DV2489" s="1"/>
      <c r="DW2489" s="1"/>
      <c r="DX2489" s="1"/>
      <c r="DY2489" s="1"/>
      <c r="DZ2489" s="1"/>
      <c r="EA2489" s="1"/>
      <c r="EB2489" s="1"/>
      <c r="EC2489" s="1"/>
      <c r="ED2489" s="1"/>
      <c r="EE2489" s="1"/>
      <c r="EF2489" s="1"/>
      <c r="EG2489" s="1"/>
      <c r="EH2489" s="1"/>
      <c r="EI2489" s="1"/>
      <c r="EJ2489" s="1"/>
      <c r="EK2489" s="1"/>
      <c r="EL2489" s="1"/>
      <c r="EM2489" s="1"/>
      <c r="EN2489" s="1"/>
      <c r="EO2489" s="1"/>
      <c r="EP2489" s="1"/>
      <c r="EQ2489" s="1"/>
      <c r="ER2489" s="1"/>
      <c r="ES2489" s="1"/>
      <c r="ET2489" s="1"/>
      <c r="EU2489" s="1"/>
      <c r="EV2489" s="1"/>
      <c r="EW2489" s="1"/>
      <c r="EX2489" s="1"/>
      <c r="EY2489" s="1"/>
      <c r="EZ2489" s="1"/>
      <c r="FA2489" s="1"/>
      <c r="FB2489" s="1"/>
      <c r="FC2489" s="1"/>
      <c r="FD2489" s="1"/>
      <c r="FE2489" s="1"/>
      <c r="FF2489" s="1"/>
      <c r="FG2489" s="1"/>
      <c r="FH2489" s="1"/>
      <c r="FI2489" s="1"/>
      <c r="FJ2489" s="1"/>
      <c r="FK2489" s="1"/>
      <c r="FL2489" s="1"/>
      <c r="FM2489" s="1"/>
      <c r="FN2489" s="1"/>
      <c r="FO2489" s="1"/>
      <c r="FP2489" s="1"/>
      <c r="FQ2489" s="1"/>
      <c r="FR2489" s="1"/>
      <c r="FS2489" s="1"/>
      <c r="FT2489" s="1"/>
      <c r="FU2489" s="1"/>
      <c r="FV2489" s="1"/>
      <c r="FW2489" s="1"/>
      <c r="FX2489" s="1"/>
      <c r="FY2489" s="1"/>
      <c r="FZ2489" s="1"/>
      <c r="GA2489" s="1"/>
      <c r="GB2489" s="1"/>
      <c r="GC2489" s="1"/>
      <c r="GD2489" s="1"/>
      <c r="GE2489" s="1"/>
      <c r="GF2489" s="1"/>
      <c r="GG2489" s="1"/>
      <c r="GH2489" s="1"/>
      <c r="GI2489" s="1"/>
      <c r="GJ2489" s="1"/>
      <c r="GK2489" s="1"/>
      <c r="GL2489" s="1"/>
      <c r="GM2489" s="1"/>
      <c r="GN2489" s="1"/>
      <c r="GO2489" s="1"/>
      <c r="GP2489" s="1"/>
      <c r="GQ2489" s="1"/>
      <c r="GR2489" s="1"/>
      <c r="GS2489" s="1"/>
      <c r="GT2489" s="1"/>
      <c r="GU2489" s="1"/>
      <c r="GV2489" s="1"/>
      <c r="GW2489" s="1"/>
      <c r="GX2489" s="1"/>
      <c r="GY2489" s="1"/>
      <c r="GZ2489" s="1"/>
      <c r="HA2489" s="1"/>
      <c r="HB2489" s="1"/>
      <c r="HC2489" s="1"/>
      <c r="HD2489" s="1"/>
      <c r="HE2489" s="1"/>
      <c r="HF2489" s="1"/>
      <c r="HG2489" s="1"/>
      <c r="HH2489" s="1"/>
      <c r="HI2489" s="1"/>
      <c r="HJ2489" s="1"/>
      <c r="HK2489" s="1"/>
      <c r="HL2489" s="1"/>
      <c r="HM2489" s="1"/>
      <c r="HN2489" s="1"/>
      <c r="HO2489" s="1"/>
      <c r="HP2489" s="1"/>
      <c r="HQ2489" s="1"/>
    </row>
    <row r="2490" spans="1:225" ht="15.75" customHeight="1" x14ac:dyDescent="0.35">
      <c r="A2490" s="256">
        <f>A2487+1</f>
        <v>18</v>
      </c>
      <c r="B2490" s="256">
        <v>5696</v>
      </c>
      <c r="C2490" s="259" t="s">
        <v>455</v>
      </c>
      <c r="D2490" s="262">
        <v>339.5</v>
      </c>
      <c r="E2490" s="262" t="s">
        <v>665</v>
      </c>
      <c r="F2490" s="265">
        <v>2</v>
      </c>
      <c r="G2490" s="256" t="s">
        <v>72</v>
      </c>
      <c r="H2490" s="159" t="s">
        <v>73</v>
      </c>
      <c r="I2490" s="158">
        <f>I2491+I2492</f>
        <v>1807735.65</v>
      </c>
      <c r="J2490" s="158">
        <f>J2491+J2492</f>
        <v>5324.7</v>
      </c>
      <c r="K2490" s="158">
        <f>K2491+K2492</f>
        <v>7539</v>
      </c>
      <c r="L2490" s="1"/>
      <c r="M2490" s="1"/>
      <c r="N2490" s="1"/>
      <c r="O2490" s="1"/>
      <c r="P2490" s="1"/>
      <c r="Q2490" s="1"/>
      <c r="R2490" s="1"/>
      <c r="S2490" s="1"/>
      <c r="T2490" s="1"/>
      <c r="U2490" s="1"/>
      <c r="V2490" s="1"/>
      <c r="W2490" s="1"/>
      <c r="X2490" s="1"/>
      <c r="Y2490" s="1"/>
      <c r="Z2490" s="1"/>
      <c r="AA2490" s="1"/>
      <c r="AB2490" s="1"/>
      <c r="AC2490" s="1"/>
      <c r="AD2490" s="1"/>
      <c r="AE2490" s="1"/>
      <c r="AF2490" s="1"/>
      <c r="AG2490" s="1"/>
      <c r="AH2490" s="1"/>
      <c r="AI2490" s="1"/>
      <c r="AJ2490" s="1"/>
      <c r="AK2490" s="1"/>
      <c r="AL2490" s="1"/>
      <c r="AM2490" s="1"/>
      <c r="AN2490" s="1"/>
      <c r="AO2490" s="1"/>
      <c r="AP2490" s="1"/>
      <c r="AQ2490" s="1"/>
      <c r="AR2490" s="1"/>
      <c r="AS2490" s="1"/>
      <c r="AT2490" s="1"/>
      <c r="AU2490" s="1"/>
      <c r="AV2490" s="1"/>
      <c r="AW2490" s="1"/>
      <c r="AX2490" s="1"/>
      <c r="AY2490" s="1"/>
      <c r="AZ2490" s="1"/>
      <c r="BA2490" s="1"/>
      <c r="BB2490" s="1"/>
      <c r="BC2490" s="1"/>
      <c r="BD2490" s="1"/>
      <c r="BE2490" s="1"/>
      <c r="BF2490" s="1"/>
      <c r="BG2490" s="1"/>
      <c r="BH2490" s="1"/>
      <c r="BI2490" s="1"/>
      <c r="BJ2490" s="1"/>
      <c r="BK2490" s="1"/>
      <c r="BL2490" s="1"/>
      <c r="BM2490" s="1"/>
      <c r="BN2490" s="1"/>
      <c r="BO2490" s="1"/>
      <c r="BP2490" s="1"/>
      <c r="BQ2490" s="1"/>
      <c r="BR2490" s="1"/>
      <c r="BS2490" s="1"/>
      <c r="BT2490" s="1"/>
      <c r="BU2490" s="1"/>
      <c r="BV2490" s="1"/>
      <c r="BW2490" s="1"/>
      <c r="BX2490" s="1"/>
      <c r="BY2490" s="1"/>
      <c r="BZ2490" s="1"/>
      <c r="CA2490" s="1"/>
      <c r="CB2490" s="1"/>
      <c r="CC2490" s="1"/>
      <c r="CD2490" s="1"/>
      <c r="CE2490" s="1"/>
      <c r="CF2490" s="1"/>
      <c r="CG2490" s="1"/>
      <c r="CH2490" s="1"/>
      <c r="CI2490" s="1"/>
      <c r="CJ2490" s="1"/>
      <c r="CK2490" s="1"/>
      <c r="CL2490" s="1"/>
      <c r="CM2490" s="1"/>
      <c r="CN2490" s="1"/>
      <c r="CO2490" s="1"/>
      <c r="CP2490" s="1"/>
      <c r="CQ2490" s="1"/>
      <c r="CR2490" s="1"/>
      <c r="CS2490" s="1"/>
      <c r="CT2490" s="1"/>
      <c r="CU2490" s="1"/>
      <c r="CV2490" s="1"/>
      <c r="CW2490" s="1"/>
      <c r="CX2490" s="1"/>
      <c r="CY2490" s="1"/>
      <c r="CZ2490" s="1"/>
      <c r="DA2490" s="1"/>
      <c r="DB2490" s="1"/>
      <c r="DC2490" s="1"/>
      <c r="DD2490" s="1"/>
      <c r="DE2490" s="1"/>
      <c r="DF2490" s="1"/>
      <c r="DG2490" s="1"/>
      <c r="DH2490" s="1"/>
      <c r="DI2490" s="1"/>
      <c r="DJ2490" s="1"/>
      <c r="DK2490" s="1"/>
      <c r="DL2490" s="1"/>
      <c r="DM2490" s="1"/>
      <c r="DN2490" s="1"/>
      <c r="DO2490" s="1"/>
      <c r="DP2490" s="1"/>
      <c r="DQ2490" s="1"/>
      <c r="DR2490" s="1"/>
      <c r="DS2490" s="1"/>
      <c r="DT2490" s="1"/>
      <c r="DU2490" s="1"/>
      <c r="DV2490" s="1"/>
      <c r="DW2490" s="1"/>
      <c r="DX2490" s="1"/>
      <c r="DY2490" s="1"/>
      <c r="DZ2490" s="1"/>
      <c r="EA2490" s="1"/>
      <c r="EB2490" s="1"/>
      <c r="EC2490" s="1"/>
      <c r="ED2490" s="1"/>
      <c r="EE2490" s="1"/>
      <c r="EF2490" s="1"/>
      <c r="EG2490" s="1"/>
      <c r="EH2490" s="1"/>
      <c r="EI2490" s="1"/>
      <c r="EJ2490" s="1"/>
      <c r="EK2490" s="1"/>
      <c r="EL2490" s="1"/>
      <c r="EM2490" s="1"/>
      <c r="EN2490" s="1"/>
      <c r="EO2490" s="1"/>
      <c r="EP2490" s="1"/>
      <c r="EQ2490" s="1"/>
      <c r="ER2490" s="1"/>
      <c r="ES2490" s="1"/>
      <c r="ET2490" s="1"/>
      <c r="EU2490" s="1"/>
      <c r="EV2490" s="1"/>
      <c r="EW2490" s="1"/>
      <c r="EX2490" s="1"/>
      <c r="EY2490" s="1"/>
      <c r="EZ2490" s="1"/>
      <c r="FA2490" s="1"/>
      <c r="FB2490" s="1"/>
      <c r="FC2490" s="1"/>
      <c r="FD2490" s="1"/>
      <c r="FE2490" s="1"/>
      <c r="FF2490" s="1"/>
      <c r="FG2490" s="1"/>
      <c r="FH2490" s="1"/>
      <c r="FI2490" s="1"/>
      <c r="FJ2490" s="1"/>
      <c r="FK2490" s="1"/>
      <c r="FL2490" s="1"/>
      <c r="FM2490" s="1"/>
      <c r="FN2490" s="1"/>
      <c r="FO2490" s="1"/>
      <c r="FP2490" s="1"/>
      <c r="FQ2490" s="1"/>
      <c r="FR2490" s="1"/>
      <c r="FS2490" s="1"/>
      <c r="FT2490" s="1"/>
      <c r="FU2490" s="1"/>
      <c r="FV2490" s="1"/>
      <c r="FW2490" s="1"/>
      <c r="FX2490" s="1"/>
      <c r="FY2490" s="1"/>
      <c r="FZ2490" s="1"/>
      <c r="GA2490" s="1"/>
      <c r="GB2490" s="1"/>
      <c r="GC2490" s="1"/>
      <c r="GD2490" s="1"/>
      <c r="GE2490" s="1"/>
      <c r="GF2490" s="1"/>
      <c r="GG2490" s="1"/>
      <c r="GH2490" s="1"/>
      <c r="GI2490" s="1"/>
      <c r="GJ2490" s="1"/>
      <c r="GK2490" s="1"/>
      <c r="GL2490" s="1"/>
      <c r="GM2490" s="1"/>
      <c r="GN2490" s="1"/>
      <c r="GO2490" s="1"/>
      <c r="GP2490" s="1"/>
      <c r="GQ2490" s="1"/>
      <c r="GR2490" s="1"/>
      <c r="GS2490" s="1"/>
      <c r="GT2490" s="1"/>
      <c r="GU2490" s="1"/>
      <c r="GV2490" s="1"/>
      <c r="GW2490" s="1"/>
      <c r="GX2490" s="1"/>
      <c r="GY2490" s="1"/>
      <c r="GZ2490" s="1"/>
      <c r="HA2490" s="1"/>
      <c r="HB2490" s="1"/>
      <c r="HC2490" s="1"/>
      <c r="HD2490" s="1"/>
      <c r="HE2490" s="1"/>
      <c r="HF2490" s="1"/>
      <c r="HG2490" s="1"/>
      <c r="HH2490" s="1"/>
      <c r="HI2490" s="1"/>
      <c r="HJ2490" s="1"/>
      <c r="HK2490" s="1"/>
      <c r="HL2490" s="1"/>
      <c r="HM2490" s="1"/>
      <c r="HN2490" s="1"/>
      <c r="HO2490" s="1"/>
      <c r="HP2490" s="1"/>
      <c r="HQ2490" s="1"/>
    </row>
    <row r="2491" spans="1:225" ht="15.75" customHeight="1" x14ac:dyDescent="0.35">
      <c r="A2491" s="257"/>
      <c r="B2491" s="257"/>
      <c r="C2491" s="260"/>
      <c r="D2491" s="263"/>
      <c r="E2491" s="263"/>
      <c r="F2491" s="266"/>
      <c r="G2491" s="257"/>
      <c r="H2491" s="159" t="s">
        <v>74</v>
      </c>
      <c r="I2491" s="158">
        <f>K2491*D2490*70/100</f>
        <v>1754094.65</v>
      </c>
      <c r="J2491" s="158">
        <f>I2491/D2490</f>
        <v>5166.7</v>
      </c>
      <c r="K2491" s="158">
        <v>7381</v>
      </c>
      <c r="L2491" s="1"/>
      <c r="M2491" s="1"/>
      <c r="N2491" s="1"/>
      <c r="O2491" s="1"/>
      <c r="P2491" s="1"/>
      <c r="Q2491" s="1"/>
      <c r="R2491" s="1"/>
      <c r="S2491" s="1"/>
      <c r="T2491" s="1"/>
      <c r="U2491" s="1"/>
      <c r="V2491" s="1"/>
      <c r="W2491" s="1"/>
      <c r="X2491" s="1"/>
      <c r="Y2491" s="1"/>
      <c r="Z2491" s="1"/>
      <c r="AA2491" s="1"/>
      <c r="AB2491" s="1"/>
      <c r="AC2491" s="1"/>
      <c r="AD2491" s="1"/>
      <c r="AE2491" s="1"/>
      <c r="AF2491" s="1"/>
      <c r="AG2491" s="1"/>
      <c r="AH2491" s="1"/>
      <c r="AI2491" s="1"/>
      <c r="AJ2491" s="1"/>
      <c r="AK2491" s="1"/>
      <c r="AL2491" s="1"/>
      <c r="AM2491" s="1"/>
      <c r="AN2491" s="1"/>
      <c r="AO2491" s="1"/>
      <c r="AP2491" s="1"/>
      <c r="AQ2491" s="1"/>
      <c r="AR2491" s="1"/>
      <c r="AS2491" s="1"/>
      <c r="AT2491" s="1"/>
      <c r="AU2491" s="1"/>
      <c r="AV2491" s="1"/>
      <c r="AW2491" s="1"/>
      <c r="AX2491" s="1"/>
      <c r="AY2491" s="1"/>
      <c r="AZ2491" s="1"/>
      <c r="BA2491" s="1"/>
      <c r="BB2491" s="1"/>
      <c r="BC2491" s="1"/>
      <c r="BD2491" s="1"/>
      <c r="BE2491" s="1"/>
      <c r="BF2491" s="1"/>
      <c r="BG2491" s="1"/>
      <c r="BH2491" s="1"/>
      <c r="BI2491" s="1"/>
      <c r="BJ2491" s="1"/>
      <c r="BK2491" s="1"/>
      <c r="BL2491" s="1"/>
      <c r="BM2491" s="1"/>
      <c r="BN2491" s="1"/>
      <c r="BO2491" s="1"/>
      <c r="BP2491" s="1"/>
      <c r="BQ2491" s="1"/>
      <c r="BR2491" s="1"/>
      <c r="BS2491" s="1"/>
      <c r="BT2491" s="1"/>
      <c r="BU2491" s="1"/>
      <c r="BV2491" s="1"/>
      <c r="BW2491" s="1"/>
      <c r="BX2491" s="1"/>
      <c r="BY2491" s="1"/>
      <c r="BZ2491" s="1"/>
      <c r="CA2491" s="1"/>
      <c r="CB2491" s="1"/>
      <c r="CC2491" s="1"/>
      <c r="CD2491" s="1"/>
      <c r="CE2491" s="1"/>
      <c r="CF2491" s="1"/>
      <c r="CG2491" s="1"/>
      <c r="CH2491" s="1"/>
      <c r="CI2491" s="1"/>
      <c r="CJ2491" s="1"/>
      <c r="CK2491" s="1"/>
      <c r="CL2491" s="1"/>
      <c r="CM2491" s="1"/>
      <c r="CN2491" s="1"/>
      <c r="CO2491" s="1"/>
      <c r="CP2491" s="1"/>
      <c r="CQ2491" s="1"/>
      <c r="CR2491" s="1"/>
      <c r="CS2491" s="1"/>
      <c r="CT2491" s="1"/>
      <c r="CU2491" s="1"/>
      <c r="CV2491" s="1"/>
      <c r="CW2491" s="1"/>
      <c r="CX2491" s="1"/>
      <c r="CY2491" s="1"/>
      <c r="CZ2491" s="1"/>
      <c r="DA2491" s="1"/>
      <c r="DB2491" s="1"/>
      <c r="DC2491" s="1"/>
      <c r="DD2491" s="1"/>
      <c r="DE2491" s="1"/>
      <c r="DF2491" s="1"/>
      <c r="DG2491" s="1"/>
      <c r="DH2491" s="1"/>
      <c r="DI2491" s="1"/>
      <c r="DJ2491" s="1"/>
      <c r="DK2491" s="1"/>
      <c r="DL2491" s="1"/>
      <c r="DM2491" s="1"/>
      <c r="DN2491" s="1"/>
      <c r="DO2491" s="1"/>
      <c r="DP2491" s="1"/>
      <c r="DQ2491" s="1"/>
      <c r="DR2491" s="1"/>
      <c r="DS2491" s="1"/>
      <c r="DT2491" s="1"/>
      <c r="DU2491" s="1"/>
      <c r="DV2491" s="1"/>
      <c r="DW2491" s="1"/>
      <c r="DX2491" s="1"/>
      <c r="DY2491" s="1"/>
      <c r="DZ2491" s="1"/>
      <c r="EA2491" s="1"/>
      <c r="EB2491" s="1"/>
      <c r="EC2491" s="1"/>
      <c r="ED2491" s="1"/>
      <c r="EE2491" s="1"/>
      <c r="EF2491" s="1"/>
      <c r="EG2491" s="1"/>
      <c r="EH2491" s="1"/>
      <c r="EI2491" s="1"/>
      <c r="EJ2491" s="1"/>
      <c r="EK2491" s="1"/>
      <c r="EL2491" s="1"/>
      <c r="EM2491" s="1"/>
      <c r="EN2491" s="1"/>
      <c r="EO2491" s="1"/>
      <c r="EP2491" s="1"/>
      <c r="EQ2491" s="1"/>
      <c r="ER2491" s="1"/>
      <c r="ES2491" s="1"/>
      <c r="ET2491" s="1"/>
      <c r="EU2491" s="1"/>
      <c r="EV2491" s="1"/>
      <c r="EW2491" s="1"/>
      <c r="EX2491" s="1"/>
      <c r="EY2491" s="1"/>
      <c r="EZ2491" s="1"/>
      <c r="FA2491" s="1"/>
      <c r="FB2491" s="1"/>
      <c r="FC2491" s="1"/>
      <c r="FD2491" s="1"/>
      <c r="FE2491" s="1"/>
      <c r="FF2491" s="1"/>
      <c r="FG2491" s="1"/>
      <c r="FH2491" s="1"/>
      <c r="FI2491" s="1"/>
      <c r="FJ2491" s="1"/>
      <c r="FK2491" s="1"/>
      <c r="FL2491" s="1"/>
      <c r="FM2491" s="1"/>
      <c r="FN2491" s="1"/>
      <c r="FO2491" s="1"/>
      <c r="FP2491" s="1"/>
      <c r="FQ2491" s="1"/>
      <c r="FR2491" s="1"/>
      <c r="FS2491" s="1"/>
      <c r="FT2491" s="1"/>
      <c r="FU2491" s="1"/>
      <c r="FV2491" s="1"/>
      <c r="FW2491" s="1"/>
      <c r="FX2491" s="1"/>
      <c r="FY2491" s="1"/>
      <c r="FZ2491" s="1"/>
      <c r="GA2491" s="1"/>
      <c r="GB2491" s="1"/>
      <c r="GC2491" s="1"/>
      <c r="GD2491" s="1"/>
      <c r="GE2491" s="1"/>
      <c r="GF2491" s="1"/>
      <c r="GG2491" s="1"/>
      <c r="GH2491" s="1"/>
      <c r="GI2491" s="1"/>
      <c r="GJ2491" s="1"/>
      <c r="GK2491" s="1"/>
      <c r="GL2491" s="1"/>
      <c r="GM2491" s="1"/>
      <c r="GN2491" s="1"/>
      <c r="GO2491" s="1"/>
      <c r="GP2491" s="1"/>
      <c r="GQ2491" s="1"/>
      <c r="GR2491" s="1"/>
      <c r="GS2491" s="1"/>
      <c r="GT2491" s="1"/>
      <c r="GU2491" s="1"/>
      <c r="GV2491" s="1"/>
      <c r="GW2491" s="1"/>
      <c r="GX2491" s="1"/>
      <c r="GY2491" s="1"/>
      <c r="GZ2491" s="1"/>
      <c r="HA2491" s="1"/>
      <c r="HB2491" s="1"/>
      <c r="HC2491" s="1"/>
      <c r="HD2491" s="1"/>
      <c r="HE2491" s="1"/>
      <c r="HF2491" s="1"/>
      <c r="HG2491" s="1"/>
      <c r="HH2491" s="1"/>
      <c r="HI2491" s="1"/>
      <c r="HJ2491" s="1"/>
      <c r="HK2491" s="1"/>
      <c r="HL2491" s="1"/>
      <c r="HM2491" s="1"/>
      <c r="HN2491" s="1"/>
      <c r="HO2491" s="1"/>
      <c r="HP2491" s="1"/>
      <c r="HQ2491" s="1"/>
    </row>
    <row r="2492" spans="1:225" ht="15.75" customHeight="1" x14ac:dyDescent="0.35">
      <c r="A2492" s="258"/>
      <c r="B2492" s="258"/>
      <c r="C2492" s="261"/>
      <c r="D2492" s="264"/>
      <c r="E2492" s="264"/>
      <c r="F2492" s="267"/>
      <c r="G2492" s="258"/>
      <c r="H2492" s="159" t="s">
        <v>76</v>
      </c>
      <c r="I2492" s="158">
        <f>K2492*D2490</f>
        <v>53641</v>
      </c>
      <c r="J2492" s="158">
        <f>I2492/D2490</f>
        <v>158</v>
      </c>
      <c r="K2492" s="158">
        <v>158</v>
      </c>
      <c r="L2492" s="1"/>
      <c r="M2492" s="1"/>
      <c r="N2492" s="1"/>
      <c r="O2492" s="1"/>
      <c r="P2492" s="1"/>
      <c r="Q2492" s="1"/>
      <c r="R2492" s="1"/>
      <c r="S2492" s="1"/>
      <c r="T2492" s="1"/>
      <c r="U2492" s="1"/>
      <c r="V2492" s="1"/>
      <c r="W2492" s="1"/>
      <c r="X2492" s="1"/>
      <c r="Y2492" s="1"/>
      <c r="Z2492" s="1"/>
      <c r="AA2492" s="1"/>
      <c r="AB2492" s="1"/>
      <c r="AC2492" s="1"/>
      <c r="AD2492" s="1"/>
      <c r="AE2492" s="1"/>
      <c r="AF2492" s="1"/>
      <c r="AG2492" s="1"/>
      <c r="AH2492" s="1"/>
      <c r="AI2492" s="1"/>
      <c r="AJ2492" s="1"/>
      <c r="AK2492" s="1"/>
      <c r="AL2492" s="1"/>
      <c r="AM2492" s="1"/>
      <c r="AN2492" s="1"/>
      <c r="AO2492" s="1"/>
      <c r="AP2492" s="1"/>
      <c r="AQ2492" s="1"/>
      <c r="AR2492" s="1"/>
      <c r="AS2492" s="1"/>
      <c r="AT2492" s="1"/>
      <c r="AU2492" s="1"/>
      <c r="AV2492" s="1"/>
      <c r="AW2492" s="1"/>
      <c r="AX2492" s="1"/>
      <c r="AY2492" s="1"/>
      <c r="AZ2492" s="1"/>
      <c r="BA2492" s="1"/>
      <c r="BB2492" s="1"/>
      <c r="BC2492" s="1"/>
      <c r="BD2492" s="1"/>
      <c r="BE2492" s="1"/>
      <c r="BF2492" s="1"/>
      <c r="BG2492" s="1"/>
      <c r="BH2492" s="1"/>
      <c r="BI2492" s="1"/>
      <c r="BJ2492" s="1"/>
      <c r="BK2492" s="1"/>
      <c r="BL2492" s="1"/>
      <c r="BM2492" s="1"/>
      <c r="BN2492" s="1"/>
      <c r="BO2492" s="1"/>
      <c r="BP2492" s="1"/>
      <c r="BQ2492" s="1"/>
      <c r="BR2492" s="1"/>
      <c r="BS2492" s="1"/>
      <c r="BT2492" s="1"/>
      <c r="BU2492" s="1"/>
      <c r="BV2492" s="1"/>
      <c r="BW2492" s="1"/>
      <c r="BX2492" s="1"/>
      <c r="BY2492" s="1"/>
      <c r="BZ2492" s="1"/>
      <c r="CA2492" s="1"/>
      <c r="CB2492" s="1"/>
      <c r="CC2492" s="1"/>
      <c r="CD2492" s="1"/>
      <c r="CE2492" s="1"/>
      <c r="CF2492" s="1"/>
      <c r="CG2492" s="1"/>
      <c r="CH2492" s="1"/>
      <c r="CI2492" s="1"/>
      <c r="CJ2492" s="1"/>
      <c r="CK2492" s="1"/>
      <c r="CL2492" s="1"/>
      <c r="CM2492" s="1"/>
      <c r="CN2492" s="1"/>
      <c r="CO2492" s="1"/>
      <c r="CP2492" s="1"/>
      <c r="CQ2492" s="1"/>
      <c r="CR2492" s="1"/>
      <c r="CS2492" s="1"/>
      <c r="CT2492" s="1"/>
      <c r="CU2492" s="1"/>
      <c r="CV2492" s="1"/>
      <c r="CW2492" s="1"/>
      <c r="CX2492" s="1"/>
      <c r="CY2492" s="1"/>
      <c r="CZ2492" s="1"/>
      <c r="DA2492" s="1"/>
      <c r="DB2492" s="1"/>
      <c r="DC2492" s="1"/>
      <c r="DD2492" s="1"/>
      <c r="DE2492" s="1"/>
      <c r="DF2492" s="1"/>
      <c r="DG2492" s="1"/>
      <c r="DH2492" s="1"/>
      <c r="DI2492" s="1"/>
      <c r="DJ2492" s="1"/>
      <c r="DK2492" s="1"/>
      <c r="DL2492" s="1"/>
      <c r="DM2492" s="1"/>
      <c r="DN2492" s="1"/>
      <c r="DO2492" s="1"/>
      <c r="DP2492" s="1"/>
      <c r="DQ2492" s="1"/>
      <c r="DR2492" s="1"/>
      <c r="DS2492" s="1"/>
      <c r="DT2492" s="1"/>
      <c r="DU2492" s="1"/>
      <c r="DV2492" s="1"/>
      <c r="DW2492" s="1"/>
      <c r="DX2492" s="1"/>
      <c r="DY2492" s="1"/>
      <c r="DZ2492" s="1"/>
      <c r="EA2492" s="1"/>
      <c r="EB2492" s="1"/>
      <c r="EC2492" s="1"/>
      <c r="ED2492" s="1"/>
      <c r="EE2492" s="1"/>
      <c r="EF2492" s="1"/>
      <c r="EG2492" s="1"/>
      <c r="EH2492" s="1"/>
      <c r="EI2492" s="1"/>
      <c r="EJ2492" s="1"/>
      <c r="EK2492" s="1"/>
      <c r="EL2492" s="1"/>
      <c r="EM2492" s="1"/>
      <c r="EN2492" s="1"/>
      <c r="EO2492" s="1"/>
      <c r="EP2492" s="1"/>
      <c r="EQ2492" s="1"/>
      <c r="ER2492" s="1"/>
      <c r="ES2492" s="1"/>
      <c r="ET2492" s="1"/>
      <c r="EU2492" s="1"/>
      <c r="EV2492" s="1"/>
      <c r="EW2492" s="1"/>
      <c r="EX2492" s="1"/>
      <c r="EY2492" s="1"/>
      <c r="EZ2492" s="1"/>
      <c r="FA2492" s="1"/>
      <c r="FB2492" s="1"/>
      <c r="FC2492" s="1"/>
      <c r="FD2492" s="1"/>
      <c r="FE2492" s="1"/>
      <c r="FF2492" s="1"/>
      <c r="FG2492" s="1"/>
      <c r="FH2492" s="1"/>
      <c r="FI2492" s="1"/>
      <c r="FJ2492" s="1"/>
      <c r="FK2492" s="1"/>
      <c r="FL2492" s="1"/>
      <c r="FM2492" s="1"/>
      <c r="FN2492" s="1"/>
      <c r="FO2492" s="1"/>
      <c r="FP2492" s="1"/>
      <c r="FQ2492" s="1"/>
      <c r="FR2492" s="1"/>
      <c r="FS2492" s="1"/>
      <c r="FT2492" s="1"/>
      <c r="FU2492" s="1"/>
      <c r="FV2492" s="1"/>
      <c r="FW2492" s="1"/>
      <c r="FX2492" s="1"/>
      <c r="FY2492" s="1"/>
      <c r="FZ2492" s="1"/>
      <c r="GA2492" s="1"/>
      <c r="GB2492" s="1"/>
      <c r="GC2492" s="1"/>
      <c r="GD2492" s="1"/>
      <c r="GE2492" s="1"/>
      <c r="GF2492" s="1"/>
      <c r="GG2492" s="1"/>
      <c r="GH2492" s="1"/>
      <c r="GI2492" s="1"/>
      <c r="GJ2492" s="1"/>
      <c r="GK2492" s="1"/>
      <c r="GL2492" s="1"/>
      <c r="GM2492" s="1"/>
      <c r="GN2492" s="1"/>
      <c r="GO2492" s="1"/>
      <c r="GP2492" s="1"/>
      <c r="GQ2492" s="1"/>
      <c r="GR2492" s="1"/>
      <c r="GS2492" s="1"/>
      <c r="GT2492" s="1"/>
      <c r="GU2492" s="1"/>
      <c r="GV2492" s="1"/>
      <c r="GW2492" s="1"/>
      <c r="GX2492" s="1"/>
      <c r="GY2492" s="1"/>
      <c r="GZ2492" s="1"/>
      <c r="HA2492" s="1"/>
      <c r="HB2492" s="1"/>
      <c r="HC2492" s="1"/>
      <c r="HD2492" s="1"/>
      <c r="HE2492" s="1"/>
      <c r="HF2492" s="1"/>
      <c r="HG2492" s="1"/>
      <c r="HH2492" s="1"/>
      <c r="HI2492" s="1"/>
      <c r="HJ2492" s="1"/>
      <c r="HK2492" s="1"/>
      <c r="HL2492" s="1"/>
      <c r="HM2492" s="1"/>
      <c r="HN2492" s="1"/>
      <c r="HO2492" s="1"/>
      <c r="HP2492" s="1"/>
      <c r="HQ2492" s="1"/>
    </row>
    <row r="2493" spans="1:225" ht="15.75" customHeight="1" x14ac:dyDescent="0.35">
      <c r="A2493" s="256">
        <f>A2490+1</f>
        <v>19</v>
      </c>
      <c r="B2493" s="256">
        <v>5819</v>
      </c>
      <c r="C2493" s="295" t="s">
        <v>634</v>
      </c>
      <c r="D2493" s="262">
        <v>398.3</v>
      </c>
      <c r="E2493" s="262" t="s">
        <v>665</v>
      </c>
      <c r="F2493" s="265">
        <v>2</v>
      </c>
      <c r="G2493" s="256" t="s">
        <v>72</v>
      </c>
      <c r="H2493" s="159" t="s">
        <v>73</v>
      </c>
      <c r="I2493" s="158">
        <f>I2494</f>
        <v>70499.100000000006</v>
      </c>
      <c r="J2493" s="158">
        <f>J2494</f>
        <v>177</v>
      </c>
      <c r="K2493" s="158">
        <f>K2494</f>
        <v>177</v>
      </c>
      <c r="L2493" s="8"/>
      <c r="M2493" s="8"/>
      <c r="N2493" s="8"/>
      <c r="O2493" s="8"/>
      <c r="P2493" s="8"/>
      <c r="Q2493" s="8"/>
      <c r="R2493" s="8"/>
      <c r="S2493" s="8"/>
      <c r="T2493" s="8"/>
      <c r="U2493" s="29"/>
      <c r="V2493" s="29"/>
      <c r="W2493" s="29"/>
      <c r="X2493" s="29"/>
      <c r="Y2493" s="29"/>
      <c r="Z2493" s="29"/>
      <c r="AA2493" s="29"/>
      <c r="AB2493" s="29"/>
      <c r="AC2493" s="29"/>
      <c r="AD2493" s="29"/>
      <c r="AE2493" s="29"/>
      <c r="AF2493" s="29"/>
      <c r="AG2493" s="29"/>
      <c r="AH2493" s="29"/>
      <c r="AI2493" s="29"/>
      <c r="AJ2493" s="29"/>
      <c r="AK2493" s="29"/>
      <c r="AL2493" s="29"/>
      <c r="AM2493" s="29"/>
      <c r="AN2493" s="29"/>
      <c r="AO2493" s="29"/>
      <c r="AP2493" s="29"/>
      <c r="AQ2493" s="29"/>
      <c r="AR2493" s="29"/>
      <c r="AS2493" s="29"/>
      <c r="AT2493" s="29"/>
      <c r="AU2493" s="29"/>
      <c r="AV2493" s="29"/>
      <c r="AW2493" s="29"/>
      <c r="AX2493" s="29"/>
      <c r="AY2493" s="29"/>
      <c r="AZ2493" s="29"/>
      <c r="BA2493" s="29"/>
      <c r="BB2493" s="29"/>
      <c r="BC2493" s="29"/>
      <c r="BD2493" s="29"/>
      <c r="BE2493" s="29"/>
      <c r="BF2493" s="29"/>
      <c r="BG2493" s="29"/>
      <c r="BH2493" s="29"/>
      <c r="BI2493" s="29"/>
      <c r="BJ2493" s="29"/>
      <c r="BK2493" s="29"/>
      <c r="BL2493" s="29"/>
      <c r="BM2493" s="29"/>
      <c r="BN2493" s="29"/>
      <c r="BO2493" s="29"/>
      <c r="BP2493" s="29"/>
      <c r="BQ2493" s="29"/>
      <c r="BR2493" s="29"/>
      <c r="BS2493" s="29"/>
      <c r="BT2493" s="29"/>
      <c r="BU2493" s="29"/>
      <c r="BV2493" s="29"/>
      <c r="BW2493" s="29"/>
      <c r="BX2493" s="29"/>
      <c r="BY2493" s="29"/>
      <c r="BZ2493" s="29"/>
      <c r="CA2493" s="29"/>
      <c r="CB2493" s="29"/>
      <c r="CC2493" s="29"/>
      <c r="CD2493" s="29"/>
      <c r="CE2493" s="29"/>
      <c r="CF2493" s="29"/>
      <c r="CG2493" s="29"/>
      <c r="CH2493" s="29"/>
      <c r="CI2493" s="29"/>
      <c r="CJ2493" s="29"/>
      <c r="CK2493" s="29"/>
      <c r="CL2493" s="29"/>
      <c r="CM2493" s="29"/>
      <c r="CN2493" s="29"/>
      <c r="CO2493" s="29"/>
      <c r="CP2493" s="29"/>
      <c r="CQ2493" s="29"/>
      <c r="CR2493" s="29"/>
      <c r="CS2493" s="29"/>
      <c r="CT2493" s="29"/>
      <c r="CU2493" s="29"/>
      <c r="CV2493" s="29"/>
      <c r="CW2493" s="29"/>
      <c r="CX2493" s="29"/>
      <c r="CY2493" s="29"/>
      <c r="CZ2493" s="29"/>
      <c r="DA2493" s="29"/>
      <c r="DB2493" s="29"/>
      <c r="DC2493" s="29"/>
      <c r="DD2493" s="29"/>
      <c r="DE2493" s="29"/>
      <c r="DF2493" s="29"/>
      <c r="DG2493" s="29"/>
      <c r="DH2493" s="29"/>
      <c r="DI2493" s="29"/>
      <c r="DJ2493" s="29"/>
      <c r="DK2493" s="29"/>
      <c r="DL2493" s="29"/>
      <c r="DM2493" s="29"/>
      <c r="DN2493" s="29"/>
      <c r="DO2493" s="29"/>
      <c r="DP2493" s="29"/>
      <c r="DQ2493" s="29"/>
      <c r="DR2493" s="29"/>
      <c r="DS2493" s="29"/>
      <c r="DT2493" s="29"/>
      <c r="DU2493" s="29"/>
      <c r="DV2493" s="29"/>
      <c r="DW2493" s="29"/>
      <c r="DX2493" s="29"/>
      <c r="DY2493" s="29"/>
      <c r="DZ2493" s="29"/>
      <c r="EA2493" s="29"/>
      <c r="EB2493" s="29"/>
      <c r="EC2493" s="29"/>
      <c r="ED2493" s="29"/>
      <c r="EE2493" s="29"/>
      <c r="EF2493" s="29"/>
      <c r="EG2493" s="29"/>
      <c r="EH2493" s="29"/>
      <c r="EI2493" s="29"/>
      <c r="EJ2493" s="29"/>
      <c r="EK2493" s="29"/>
      <c r="EL2493" s="29"/>
      <c r="EM2493" s="29"/>
      <c r="EN2493" s="29"/>
      <c r="EO2493" s="29"/>
      <c r="EP2493" s="29"/>
      <c r="EQ2493" s="29"/>
      <c r="ER2493" s="29"/>
      <c r="ES2493" s="29"/>
      <c r="ET2493" s="29"/>
      <c r="EU2493" s="29"/>
      <c r="EV2493" s="29"/>
      <c r="EW2493" s="29"/>
      <c r="EX2493" s="29"/>
      <c r="EY2493" s="29"/>
      <c r="EZ2493" s="29"/>
      <c r="FA2493" s="29"/>
      <c r="FB2493" s="29"/>
      <c r="FC2493" s="29"/>
      <c r="FD2493" s="29"/>
      <c r="FE2493" s="29"/>
      <c r="FF2493" s="29"/>
      <c r="FG2493" s="29"/>
      <c r="FH2493" s="29"/>
      <c r="FI2493" s="29"/>
      <c r="FJ2493" s="29"/>
      <c r="FK2493" s="29"/>
      <c r="FL2493" s="29"/>
      <c r="FM2493" s="29"/>
      <c r="FN2493" s="29"/>
      <c r="FO2493" s="29"/>
      <c r="FP2493" s="29"/>
      <c r="FQ2493" s="29"/>
      <c r="FR2493" s="29"/>
      <c r="FS2493" s="29"/>
      <c r="FT2493" s="29"/>
      <c r="FU2493" s="29"/>
      <c r="FV2493" s="29"/>
      <c r="FW2493" s="29"/>
      <c r="FX2493" s="29"/>
      <c r="FY2493" s="29"/>
      <c r="FZ2493" s="29"/>
      <c r="GA2493" s="29"/>
      <c r="GB2493" s="29"/>
      <c r="GC2493" s="29"/>
      <c r="GD2493" s="29"/>
      <c r="GE2493" s="29"/>
      <c r="GF2493" s="29"/>
      <c r="GG2493" s="29"/>
      <c r="GH2493" s="29"/>
      <c r="GI2493" s="29"/>
      <c r="GJ2493" s="29"/>
      <c r="GK2493" s="29"/>
      <c r="GL2493" s="29"/>
      <c r="GM2493" s="29"/>
      <c r="GN2493" s="29"/>
      <c r="GO2493" s="29"/>
      <c r="GP2493" s="29"/>
      <c r="GQ2493" s="29"/>
      <c r="GR2493" s="29"/>
      <c r="GS2493" s="29"/>
      <c r="GT2493" s="29"/>
      <c r="GU2493" s="29"/>
      <c r="GV2493" s="29"/>
      <c r="GW2493" s="29"/>
      <c r="GX2493" s="29"/>
      <c r="GY2493" s="29"/>
      <c r="GZ2493" s="29"/>
      <c r="HA2493" s="29"/>
      <c r="HB2493" s="29"/>
      <c r="HC2493" s="29"/>
      <c r="HD2493" s="29"/>
      <c r="HE2493" s="29"/>
      <c r="HF2493" s="29"/>
      <c r="HG2493" s="29"/>
      <c r="HH2493" s="29"/>
      <c r="HI2493" s="29"/>
      <c r="HJ2493" s="29"/>
      <c r="HK2493" s="29"/>
      <c r="HL2493" s="29"/>
      <c r="HM2493" s="29"/>
      <c r="HN2493" s="29"/>
      <c r="HO2493" s="29"/>
      <c r="HP2493" s="29"/>
      <c r="HQ2493" s="29"/>
    </row>
    <row r="2494" spans="1:225" ht="46.5" x14ac:dyDescent="0.35">
      <c r="A2494" s="257">
        <v>1130</v>
      </c>
      <c r="B2494" s="258"/>
      <c r="C2494" s="296"/>
      <c r="D2494" s="263"/>
      <c r="E2494" s="263"/>
      <c r="F2494" s="266"/>
      <c r="G2494" s="257"/>
      <c r="H2494" s="159" t="s">
        <v>705</v>
      </c>
      <c r="I2494" s="158">
        <f>D2493*K2494</f>
        <v>70499.100000000006</v>
      </c>
      <c r="J2494" s="158">
        <f>I2494/D2493</f>
        <v>177</v>
      </c>
      <c r="K2494" s="158">
        <f>163+14</f>
        <v>177</v>
      </c>
      <c r="L2494" s="8"/>
      <c r="M2494" s="8"/>
      <c r="N2494" s="8"/>
      <c r="O2494" s="8"/>
      <c r="P2494" s="8"/>
      <c r="Q2494" s="8"/>
      <c r="R2494" s="8"/>
      <c r="S2494" s="8"/>
      <c r="T2494" s="8"/>
      <c r="U2494" s="29"/>
      <c r="V2494" s="29"/>
      <c r="W2494" s="29"/>
      <c r="X2494" s="29"/>
      <c r="Y2494" s="29"/>
      <c r="Z2494" s="29"/>
      <c r="AA2494" s="29"/>
      <c r="AB2494" s="29"/>
      <c r="AC2494" s="29"/>
      <c r="AD2494" s="29"/>
      <c r="AE2494" s="29"/>
      <c r="AF2494" s="29"/>
      <c r="AG2494" s="29"/>
      <c r="AH2494" s="29"/>
      <c r="AI2494" s="29"/>
      <c r="AJ2494" s="29"/>
      <c r="AK2494" s="29"/>
      <c r="AL2494" s="29"/>
      <c r="AM2494" s="29"/>
      <c r="AN2494" s="29"/>
      <c r="AO2494" s="29"/>
      <c r="AP2494" s="29"/>
      <c r="AQ2494" s="29"/>
      <c r="AR2494" s="29"/>
      <c r="AS2494" s="29"/>
      <c r="AT2494" s="29"/>
      <c r="AU2494" s="29"/>
      <c r="AV2494" s="29"/>
      <c r="AW2494" s="29"/>
      <c r="AX2494" s="29"/>
      <c r="AY2494" s="29"/>
      <c r="AZ2494" s="29"/>
      <c r="BA2494" s="29"/>
      <c r="BB2494" s="29"/>
      <c r="BC2494" s="29"/>
      <c r="BD2494" s="29"/>
      <c r="BE2494" s="29"/>
      <c r="BF2494" s="29"/>
      <c r="BG2494" s="29"/>
      <c r="BH2494" s="29"/>
      <c r="BI2494" s="29"/>
      <c r="BJ2494" s="29"/>
      <c r="BK2494" s="29"/>
      <c r="BL2494" s="29"/>
      <c r="BM2494" s="29"/>
      <c r="BN2494" s="29"/>
      <c r="BO2494" s="29"/>
      <c r="BP2494" s="29"/>
      <c r="BQ2494" s="29"/>
      <c r="BR2494" s="29"/>
      <c r="BS2494" s="29"/>
      <c r="BT2494" s="29"/>
      <c r="BU2494" s="29"/>
      <c r="BV2494" s="29"/>
      <c r="BW2494" s="29"/>
      <c r="BX2494" s="29"/>
      <c r="BY2494" s="29"/>
      <c r="BZ2494" s="29"/>
      <c r="CA2494" s="29"/>
      <c r="CB2494" s="29"/>
      <c r="CC2494" s="29"/>
      <c r="CD2494" s="29"/>
      <c r="CE2494" s="29"/>
      <c r="CF2494" s="29"/>
      <c r="CG2494" s="29"/>
      <c r="CH2494" s="29"/>
      <c r="CI2494" s="29"/>
      <c r="CJ2494" s="29"/>
      <c r="CK2494" s="29"/>
      <c r="CL2494" s="29"/>
      <c r="CM2494" s="29"/>
      <c r="CN2494" s="29"/>
      <c r="CO2494" s="29"/>
      <c r="CP2494" s="29"/>
      <c r="CQ2494" s="29"/>
      <c r="CR2494" s="29"/>
      <c r="CS2494" s="29"/>
      <c r="CT2494" s="29"/>
      <c r="CU2494" s="29"/>
      <c r="CV2494" s="29"/>
      <c r="CW2494" s="29"/>
      <c r="CX2494" s="29"/>
      <c r="CY2494" s="29"/>
      <c r="CZ2494" s="29"/>
      <c r="DA2494" s="29"/>
      <c r="DB2494" s="29"/>
      <c r="DC2494" s="29"/>
      <c r="DD2494" s="29"/>
      <c r="DE2494" s="29"/>
      <c r="DF2494" s="29"/>
      <c r="DG2494" s="29"/>
      <c r="DH2494" s="29"/>
      <c r="DI2494" s="29"/>
      <c r="DJ2494" s="29"/>
      <c r="DK2494" s="29"/>
      <c r="DL2494" s="29"/>
      <c r="DM2494" s="29"/>
      <c r="DN2494" s="29"/>
      <c r="DO2494" s="29"/>
      <c r="DP2494" s="29"/>
      <c r="DQ2494" s="29"/>
      <c r="DR2494" s="29"/>
      <c r="DS2494" s="29"/>
      <c r="DT2494" s="29"/>
      <c r="DU2494" s="29"/>
      <c r="DV2494" s="29"/>
      <c r="DW2494" s="29"/>
      <c r="DX2494" s="29"/>
      <c r="DY2494" s="29"/>
      <c r="DZ2494" s="29"/>
      <c r="EA2494" s="29"/>
      <c r="EB2494" s="29"/>
      <c r="EC2494" s="29"/>
      <c r="ED2494" s="29"/>
      <c r="EE2494" s="29"/>
      <c r="EF2494" s="29"/>
      <c r="EG2494" s="29"/>
      <c r="EH2494" s="29"/>
      <c r="EI2494" s="29"/>
      <c r="EJ2494" s="29"/>
      <c r="EK2494" s="29"/>
      <c r="EL2494" s="29"/>
      <c r="EM2494" s="29"/>
      <c r="EN2494" s="29"/>
      <c r="EO2494" s="29"/>
      <c r="EP2494" s="29"/>
      <c r="EQ2494" s="29"/>
      <c r="ER2494" s="29"/>
      <c r="ES2494" s="29"/>
      <c r="ET2494" s="29"/>
      <c r="EU2494" s="29"/>
      <c r="EV2494" s="29"/>
      <c r="EW2494" s="29"/>
      <c r="EX2494" s="29"/>
      <c r="EY2494" s="29"/>
      <c r="EZ2494" s="29"/>
      <c r="FA2494" s="29"/>
      <c r="FB2494" s="29"/>
      <c r="FC2494" s="29"/>
      <c r="FD2494" s="29"/>
      <c r="FE2494" s="29"/>
      <c r="FF2494" s="29"/>
      <c r="FG2494" s="29"/>
      <c r="FH2494" s="29"/>
      <c r="FI2494" s="29"/>
      <c r="FJ2494" s="29"/>
      <c r="FK2494" s="29"/>
      <c r="FL2494" s="29"/>
      <c r="FM2494" s="29"/>
      <c r="FN2494" s="29"/>
      <c r="FO2494" s="29"/>
      <c r="FP2494" s="29"/>
      <c r="FQ2494" s="29"/>
      <c r="FR2494" s="29"/>
      <c r="FS2494" s="29"/>
      <c r="FT2494" s="29"/>
      <c r="FU2494" s="29"/>
      <c r="FV2494" s="29"/>
      <c r="FW2494" s="29"/>
      <c r="FX2494" s="29"/>
      <c r="FY2494" s="29"/>
      <c r="FZ2494" s="29"/>
      <c r="GA2494" s="29"/>
      <c r="GB2494" s="29"/>
      <c r="GC2494" s="29"/>
      <c r="GD2494" s="29"/>
      <c r="GE2494" s="29"/>
      <c r="GF2494" s="29"/>
      <c r="GG2494" s="29"/>
      <c r="GH2494" s="29"/>
      <c r="GI2494" s="29"/>
      <c r="GJ2494" s="29"/>
      <c r="GK2494" s="29"/>
      <c r="GL2494" s="29"/>
      <c r="GM2494" s="29"/>
      <c r="GN2494" s="29"/>
      <c r="GO2494" s="29"/>
      <c r="GP2494" s="29"/>
      <c r="GQ2494" s="29"/>
      <c r="GR2494" s="29"/>
      <c r="GS2494" s="29"/>
      <c r="GT2494" s="29"/>
      <c r="GU2494" s="29"/>
      <c r="GV2494" s="29"/>
      <c r="GW2494" s="29"/>
      <c r="GX2494" s="29"/>
      <c r="GY2494" s="29"/>
      <c r="GZ2494" s="29"/>
      <c r="HA2494" s="29"/>
      <c r="HB2494" s="29"/>
      <c r="HC2494" s="29"/>
      <c r="HD2494" s="29"/>
      <c r="HE2494" s="29"/>
      <c r="HF2494" s="29"/>
      <c r="HG2494" s="29"/>
      <c r="HH2494" s="29"/>
      <c r="HI2494" s="29"/>
      <c r="HJ2494" s="29"/>
      <c r="HK2494" s="29"/>
      <c r="HL2494" s="29"/>
      <c r="HM2494" s="29"/>
      <c r="HN2494" s="29"/>
      <c r="HO2494" s="29"/>
      <c r="HP2494" s="29"/>
      <c r="HQ2494" s="29"/>
    </row>
    <row r="2495" spans="1:225" ht="15.75" customHeight="1" x14ac:dyDescent="0.35">
      <c r="A2495" s="256">
        <f>A2493+1</f>
        <v>20</v>
      </c>
      <c r="B2495" s="256">
        <v>5820</v>
      </c>
      <c r="C2495" s="295" t="s">
        <v>635</v>
      </c>
      <c r="D2495" s="262">
        <v>409.2</v>
      </c>
      <c r="E2495" s="262" t="s">
        <v>665</v>
      </c>
      <c r="F2495" s="265">
        <v>2</v>
      </c>
      <c r="G2495" s="256" t="s">
        <v>72</v>
      </c>
      <c r="H2495" s="159" t="s">
        <v>73</v>
      </c>
      <c r="I2495" s="158">
        <f>I2496</f>
        <v>72428.399999999994</v>
      </c>
      <c r="J2495" s="158">
        <f>J2496</f>
        <v>177</v>
      </c>
      <c r="K2495" s="158">
        <f>K2496</f>
        <v>177</v>
      </c>
      <c r="L2495" s="8"/>
      <c r="M2495" s="8"/>
      <c r="N2495" s="8"/>
      <c r="O2495" s="8"/>
      <c r="P2495" s="8"/>
      <c r="Q2495" s="8"/>
      <c r="R2495" s="8"/>
      <c r="S2495" s="8"/>
      <c r="T2495" s="8"/>
      <c r="U2495" s="29"/>
      <c r="V2495" s="29"/>
      <c r="W2495" s="29"/>
      <c r="X2495" s="29"/>
      <c r="Y2495" s="29"/>
      <c r="Z2495" s="29"/>
      <c r="AA2495" s="29"/>
      <c r="AB2495" s="29"/>
      <c r="AC2495" s="29"/>
      <c r="AD2495" s="29"/>
      <c r="AE2495" s="29"/>
      <c r="AF2495" s="29"/>
      <c r="AG2495" s="29"/>
      <c r="AH2495" s="29"/>
      <c r="AI2495" s="29"/>
      <c r="AJ2495" s="29"/>
      <c r="AK2495" s="29"/>
      <c r="AL2495" s="29"/>
      <c r="AM2495" s="29"/>
      <c r="AN2495" s="29"/>
      <c r="AO2495" s="29"/>
      <c r="AP2495" s="29"/>
      <c r="AQ2495" s="29"/>
      <c r="AR2495" s="29"/>
      <c r="AS2495" s="29"/>
      <c r="AT2495" s="29"/>
      <c r="AU2495" s="29"/>
      <c r="AV2495" s="29"/>
      <c r="AW2495" s="29"/>
      <c r="AX2495" s="29"/>
      <c r="AY2495" s="29"/>
      <c r="AZ2495" s="29"/>
      <c r="BA2495" s="29"/>
      <c r="BB2495" s="29"/>
      <c r="BC2495" s="29"/>
      <c r="BD2495" s="29"/>
      <c r="BE2495" s="29"/>
      <c r="BF2495" s="29"/>
      <c r="BG2495" s="29"/>
      <c r="BH2495" s="29"/>
      <c r="BI2495" s="29"/>
      <c r="BJ2495" s="29"/>
      <c r="BK2495" s="29"/>
      <c r="BL2495" s="29"/>
      <c r="BM2495" s="29"/>
      <c r="BN2495" s="29"/>
      <c r="BO2495" s="29"/>
      <c r="BP2495" s="29"/>
      <c r="BQ2495" s="29"/>
      <c r="BR2495" s="29"/>
      <c r="BS2495" s="29"/>
      <c r="BT2495" s="29"/>
      <c r="BU2495" s="29"/>
      <c r="BV2495" s="29"/>
      <c r="BW2495" s="29"/>
      <c r="BX2495" s="29"/>
      <c r="BY2495" s="29"/>
      <c r="BZ2495" s="29"/>
      <c r="CA2495" s="29"/>
      <c r="CB2495" s="29"/>
      <c r="CC2495" s="29"/>
      <c r="CD2495" s="29"/>
      <c r="CE2495" s="29"/>
      <c r="CF2495" s="29"/>
      <c r="CG2495" s="29"/>
      <c r="CH2495" s="29"/>
      <c r="CI2495" s="29"/>
      <c r="CJ2495" s="29"/>
      <c r="CK2495" s="29"/>
      <c r="CL2495" s="29"/>
      <c r="CM2495" s="29"/>
      <c r="CN2495" s="29"/>
      <c r="CO2495" s="29"/>
      <c r="CP2495" s="29"/>
      <c r="CQ2495" s="29"/>
      <c r="CR2495" s="29"/>
      <c r="CS2495" s="29"/>
      <c r="CT2495" s="29"/>
      <c r="CU2495" s="29"/>
      <c r="CV2495" s="29"/>
      <c r="CW2495" s="29"/>
      <c r="CX2495" s="29"/>
      <c r="CY2495" s="29"/>
      <c r="CZ2495" s="29"/>
      <c r="DA2495" s="29"/>
      <c r="DB2495" s="29"/>
      <c r="DC2495" s="29"/>
      <c r="DD2495" s="29"/>
      <c r="DE2495" s="29"/>
      <c r="DF2495" s="29"/>
      <c r="DG2495" s="29"/>
      <c r="DH2495" s="29"/>
      <c r="DI2495" s="29"/>
      <c r="DJ2495" s="29"/>
      <c r="DK2495" s="29"/>
      <c r="DL2495" s="29"/>
      <c r="DM2495" s="29"/>
      <c r="DN2495" s="29"/>
      <c r="DO2495" s="29"/>
      <c r="DP2495" s="29"/>
      <c r="DQ2495" s="29"/>
      <c r="DR2495" s="29"/>
      <c r="DS2495" s="29"/>
      <c r="DT2495" s="29"/>
      <c r="DU2495" s="29"/>
      <c r="DV2495" s="29"/>
      <c r="DW2495" s="29"/>
      <c r="DX2495" s="29"/>
      <c r="DY2495" s="29"/>
      <c r="DZ2495" s="29"/>
      <c r="EA2495" s="29"/>
      <c r="EB2495" s="29"/>
      <c r="EC2495" s="29"/>
      <c r="ED2495" s="29"/>
      <c r="EE2495" s="29"/>
      <c r="EF2495" s="29"/>
      <c r="EG2495" s="29"/>
      <c r="EH2495" s="29"/>
      <c r="EI2495" s="29"/>
      <c r="EJ2495" s="29"/>
      <c r="EK2495" s="29"/>
      <c r="EL2495" s="29"/>
      <c r="EM2495" s="29"/>
      <c r="EN2495" s="29"/>
      <c r="EO2495" s="29"/>
      <c r="EP2495" s="29"/>
      <c r="EQ2495" s="29"/>
      <c r="ER2495" s="29"/>
      <c r="ES2495" s="29"/>
      <c r="ET2495" s="29"/>
      <c r="EU2495" s="29"/>
      <c r="EV2495" s="29"/>
      <c r="EW2495" s="29"/>
      <c r="EX2495" s="29"/>
      <c r="EY2495" s="29"/>
      <c r="EZ2495" s="29"/>
      <c r="FA2495" s="29"/>
      <c r="FB2495" s="29"/>
      <c r="FC2495" s="29"/>
      <c r="FD2495" s="29"/>
      <c r="FE2495" s="29"/>
      <c r="FF2495" s="29"/>
      <c r="FG2495" s="29"/>
      <c r="FH2495" s="29"/>
      <c r="FI2495" s="29"/>
      <c r="FJ2495" s="29"/>
      <c r="FK2495" s="29"/>
      <c r="FL2495" s="29"/>
      <c r="FM2495" s="29"/>
      <c r="FN2495" s="29"/>
      <c r="FO2495" s="29"/>
      <c r="FP2495" s="29"/>
      <c r="FQ2495" s="29"/>
      <c r="FR2495" s="29"/>
      <c r="FS2495" s="29"/>
      <c r="FT2495" s="29"/>
      <c r="FU2495" s="29"/>
      <c r="FV2495" s="29"/>
      <c r="FW2495" s="29"/>
      <c r="FX2495" s="29"/>
      <c r="FY2495" s="29"/>
      <c r="FZ2495" s="29"/>
      <c r="GA2495" s="29"/>
      <c r="GB2495" s="29"/>
      <c r="GC2495" s="29"/>
      <c r="GD2495" s="29"/>
      <c r="GE2495" s="29"/>
      <c r="GF2495" s="29"/>
      <c r="GG2495" s="29"/>
      <c r="GH2495" s="29"/>
      <c r="GI2495" s="29"/>
      <c r="GJ2495" s="29"/>
      <c r="GK2495" s="29"/>
      <c r="GL2495" s="29"/>
      <c r="GM2495" s="29"/>
      <c r="GN2495" s="29"/>
      <c r="GO2495" s="29"/>
      <c r="GP2495" s="29"/>
      <c r="GQ2495" s="29"/>
      <c r="GR2495" s="29"/>
      <c r="GS2495" s="29"/>
      <c r="GT2495" s="29"/>
      <c r="GU2495" s="29"/>
      <c r="GV2495" s="29"/>
      <c r="GW2495" s="29"/>
      <c r="GX2495" s="29"/>
      <c r="GY2495" s="29"/>
      <c r="GZ2495" s="29"/>
      <c r="HA2495" s="29"/>
      <c r="HB2495" s="29"/>
      <c r="HC2495" s="29"/>
      <c r="HD2495" s="29"/>
      <c r="HE2495" s="29"/>
      <c r="HF2495" s="29"/>
      <c r="HG2495" s="29"/>
      <c r="HH2495" s="29"/>
      <c r="HI2495" s="29"/>
      <c r="HJ2495" s="29"/>
      <c r="HK2495" s="29"/>
      <c r="HL2495" s="29"/>
      <c r="HM2495" s="29"/>
      <c r="HN2495" s="29"/>
      <c r="HO2495" s="29"/>
      <c r="HP2495" s="29"/>
      <c r="HQ2495" s="29"/>
    </row>
    <row r="2496" spans="1:225" ht="46.5" x14ac:dyDescent="0.35">
      <c r="A2496" s="257">
        <v>1130</v>
      </c>
      <c r="B2496" s="258"/>
      <c r="C2496" s="296"/>
      <c r="D2496" s="263"/>
      <c r="E2496" s="263"/>
      <c r="F2496" s="266"/>
      <c r="G2496" s="257"/>
      <c r="H2496" s="159" t="s">
        <v>705</v>
      </c>
      <c r="I2496" s="158">
        <f>D2495*K2496</f>
        <v>72428.399999999994</v>
      </c>
      <c r="J2496" s="158">
        <f>I2496/D2495</f>
        <v>177</v>
      </c>
      <c r="K2496" s="158">
        <f>163+14</f>
        <v>177</v>
      </c>
      <c r="L2496" s="8"/>
      <c r="M2496" s="8"/>
      <c r="N2496" s="8"/>
      <c r="O2496" s="8"/>
      <c r="P2496" s="8"/>
      <c r="Q2496" s="8"/>
      <c r="R2496" s="8"/>
      <c r="S2496" s="8"/>
      <c r="T2496" s="8"/>
      <c r="U2496" s="29"/>
      <c r="V2496" s="29"/>
      <c r="W2496" s="29"/>
      <c r="X2496" s="29"/>
      <c r="Y2496" s="29"/>
      <c r="Z2496" s="29"/>
      <c r="AA2496" s="29"/>
      <c r="AB2496" s="29"/>
      <c r="AC2496" s="29"/>
      <c r="AD2496" s="29"/>
      <c r="AE2496" s="29"/>
      <c r="AF2496" s="29"/>
      <c r="AG2496" s="29"/>
      <c r="AH2496" s="29"/>
      <c r="AI2496" s="29"/>
      <c r="AJ2496" s="29"/>
      <c r="AK2496" s="29"/>
      <c r="AL2496" s="29"/>
      <c r="AM2496" s="29"/>
      <c r="AN2496" s="29"/>
      <c r="AO2496" s="29"/>
      <c r="AP2496" s="29"/>
      <c r="AQ2496" s="29"/>
      <c r="AR2496" s="29"/>
      <c r="AS2496" s="29"/>
      <c r="AT2496" s="29"/>
      <c r="AU2496" s="29"/>
      <c r="AV2496" s="29"/>
      <c r="AW2496" s="29"/>
      <c r="AX2496" s="29"/>
      <c r="AY2496" s="29"/>
      <c r="AZ2496" s="29"/>
      <c r="BA2496" s="29"/>
      <c r="BB2496" s="29"/>
      <c r="BC2496" s="29"/>
      <c r="BD2496" s="29"/>
      <c r="BE2496" s="29"/>
      <c r="BF2496" s="29"/>
      <c r="BG2496" s="29"/>
      <c r="BH2496" s="29"/>
      <c r="BI2496" s="29"/>
      <c r="BJ2496" s="29"/>
      <c r="BK2496" s="29"/>
      <c r="BL2496" s="29"/>
      <c r="BM2496" s="29"/>
      <c r="BN2496" s="29"/>
      <c r="BO2496" s="29"/>
      <c r="BP2496" s="29"/>
      <c r="BQ2496" s="29"/>
      <c r="BR2496" s="29"/>
      <c r="BS2496" s="29"/>
      <c r="BT2496" s="29"/>
      <c r="BU2496" s="29"/>
      <c r="BV2496" s="29"/>
      <c r="BW2496" s="29"/>
      <c r="BX2496" s="29"/>
      <c r="BY2496" s="29"/>
      <c r="BZ2496" s="29"/>
      <c r="CA2496" s="29"/>
      <c r="CB2496" s="29"/>
      <c r="CC2496" s="29"/>
      <c r="CD2496" s="29"/>
      <c r="CE2496" s="29"/>
      <c r="CF2496" s="29"/>
      <c r="CG2496" s="29"/>
      <c r="CH2496" s="29"/>
      <c r="CI2496" s="29"/>
      <c r="CJ2496" s="29"/>
      <c r="CK2496" s="29"/>
      <c r="CL2496" s="29"/>
      <c r="CM2496" s="29"/>
      <c r="CN2496" s="29"/>
      <c r="CO2496" s="29"/>
      <c r="CP2496" s="29"/>
      <c r="CQ2496" s="29"/>
      <c r="CR2496" s="29"/>
      <c r="CS2496" s="29"/>
      <c r="CT2496" s="29"/>
      <c r="CU2496" s="29"/>
      <c r="CV2496" s="29"/>
      <c r="CW2496" s="29"/>
      <c r="CX2496" s="29"/>
      <c r="CY2496" s="29"/>
      <c r="CZ2496" s="29"/>
      <c r="DA2496" s="29"/>
      <c r="DB2496" s="29"/>
      <c r="DC2496" s="29"/>
      <c r="DD2496" s="29"/>
      <c r="DE2496" s="29"/>
      <c r="DF2496" s="29"/>
      <c r="DG2496" s="29"/>
      <c r="DH2496" s="29"/>
      <c r="DI2496" s="29"/>
      <c r="DJ2496" s="29"/>
      <c r="DK2496" s="29"/>
      <c r="DL2496" s="29"/>
      <c r="DM2496" s="29"/>
      <c r="DN2496" s="29"/>
      <c r="DO2496" s="29"/>
      <c r="DP2496" s="29"/>
      <c r="DQ2496" s="29"/>
      <c r="DR2496" s="29"/>
      <c r="DS2496" s="29"/>
      <c r="DT2496" s="29"/>
      <c r="DU2496" s="29"/>
      <c r="DV2496" s="29"/>
      <c r="DW2496" s="29"/>
      <c r="DX2496" s="29"/>
      <c r="DY2496" s="29"/>
      <c r="DZ2496" s="29"/>
      <c r="EA2496" s="29"/>
      <c r="EB2496" s="29"/>
      <c r="EC2496" s="29"/>
      <c r="ED2496" s="29"/>
      <c r="EE2496" s="29"/>
      <c r="EF2496" s="29"/>
      <c r="EG2496" s="29"/>
      <c r="EH2496" s="29"/>
      <c r="EI2496" s="29"/>
      <c r="EJ2496" s="29"/>
      <c r="EK2496" s="29"/>
      <c r="EL2496" s="29"/>
      <c r="EM2496" s="29"/>
      <c r="EN2496" s="29"/>
      <c r="EO2496" s="29"/>
      <c r="EP2496" s="29"/>
      <c r="EQ2496" s="29"/>
      <c r="ER2496" s="29"/>
      <c r="ES2496" s="29"/>
      <c r="ET2496" s="29"/>
      <c r="EU2496" s="29"/>
      <c r="EV2496" s="29"/>
      <c r="EW2496" s="29"/>
      <c r="EX2496" s="29"/>
      <c r="EY2496" s="29"/>
      <c r="EZ2496" s="29"/>
      <c r="FA2496" s="29"/>
      <c r="FB2496" s="29"/>
      <c r="FC2496" s="29"/>
      <c r="FD2496" s="29"/>
      <c r="FE2496" s="29"/>
      <c r="FF2496" s="29"/>
      <c r="FG2496" s="29"/>
      <c r="FH2496" s="29"/>
      <c r="FI2496" s="29"/>
      <c r="FJ2496" s="29"/>
      <c r="FK2496" s="29"/>
      <c r="FL2496" s="29"/>
      <c r="FM2496" s="29"/>
      <c r="FN2496" s="29"/>
      <c r="FO2496" s="29"/>
      <c r="FP2496" s="29"/>
      <c r="FQ2496" s="29"/>
      <c r="FR2496" s="29"/>
      <c r="FS2496" s="29"/>
      <c r="FT2496" s="29"/>
      <c r="FU2496" s="29"/>
      <c r="FV2496" s="29"/>
      <c r="FW2496" s="29"/>
      <c r="FX2496" s="29"/>
      <c r="FY2496" s="29"/>
      <c r="FZ2496" s="29"/>
      <c r="GA2496" s="29"/>
      <c r="GB2496" s="29"/>
      <c r="GC2496" s="29"/>
      <c r="GD2496" s="29"/>
      <c r="GE2496" s="29"/>
      <c r="GF2496" s="29"/>
      <c r="GG2496" s="29"/>
      <c r="GH2496" s="29"/>
      <c r="GI2496" s="29"/>
      <c r="GJ2496" s="29"/>
      <c r="GK2496" s="29"/>
      <c r="GL2496" s="29"/>
      <c r="GM2496" s="29"/>
      <c r="GN2496" s="29"/>
      <c r="GO2496" s="29"/>
      <c r="GP2496" s="29"/>
      <c r="GQ2496" s="29"/>
      <c r="GR2496" s="29"/>
      <c r="GS2496" s="29"/>
      <c r="GT2496" s="29"/>
      <c r="GU2496" s="29"/>
      <c r="GV2496" s="29"/>
      <c r="GW2496" s="29"/>
      <c r="GX2496" s="29"/>
      <c r="GY2496" s="29"/>
      <c r="GZ2496" s="29"/>
      <c r="HA2496" s="29"/>
      <c r="HB2496" s="29"/>
      <c r="HC2496" s="29"/>
      <c r="HD2496" s="29"/>
      <c r="HE2496" s="29"/>
      <c r="HF2496" s="29"/>
      <c r="HG2496" s="29"/>
      <c r="HH2496" s="29"/>
      <c r="HI2496" s="29"/>
      <c r="HJ2496" s="29"/>
      <c r="HK2496" s="29"/>
      <c r="HL2496" s="29"/>
      <c r="HM2496" s="29"/>
      <c r="HN2496" s="29"/>
      <c r="HO2496" s="29"/>
      <c r="HP2496" s="29"/>
      <c r="HQ2496" s="29"/>
    </row>
    <row r="2497" spans="1:225" ht="15.75" customHeight="1" x14ac:dyDescent="0.35">
      <c r="A2497" s="256">
        <f>A2495+1</f>
        <v>21</v>
      </c>
      <c r="B2497" s="256">
        <v>5778</v>
      </c>
      <c r="C2497" s="259" t="s">
        <v>636</v>
      </c>
      <c r="D2497" s="262">
        <v>1280</v>
      </c>
      <c r="E2497" s="262" t="s">
        <v>75</v>
      </c>
      <c r="F2497" s="265">
        <v>3</v>
      </c>
      <c r="G2497" s="256" t="s">
        <v>72</v>
      </c>
      <c r="H2497" s="159" t="s">
        <v>73</v>
      </c>
      <c r="I2497" s="158">
        <f>I2498</f>
        <v>213760</v>
      </c>
      <c r="J2497" s="158">
        <f>J2498</f>
        <v>167</v>
      </c>
      <c r="K2497" s="158">
        <f>K2498</f>
        <v>167</v>
      </c>
      <c r="L2497" s="1"/>
      <c r="M2497" s="1"/>
      <c r="N2497" s="1"/>
      <c r="O2497" s="1"/>
      <c r="P2497" s="1"/>
      <c r="Q2497" s="1"/>
      <c r="R2497" s="1"/>
      <c r="S2497" s="1"/>
      <c r="T2497" s="1"/>
      <c r="U2497" s="1"/>
      <c r="V2497" s="1"/>
      <c r="W2497" s="1"/>
      <c r="X2497" s="1"/>
      <c r="Y2497" s="1"/>
      <c r="Z2497" s="1"/>
      <c r="AA2497" s="1"/>
      <c r="AB2497" s="1"/>
      <c r="AC2497" s="1"/>
      <c r="AD2497" s="1"/>
      <c r="AE2497" s="1"/>
      <c r="AF2497" s="1"/>
      <c r="AG2497" s="1"/>
      <c r="AH2497" s="1"/>
      <c r="AI2497" s="1"/>
      <c r="AJ2497" s="1"/>
      <c r="AK2497" s="1"/>
      <c r="AL2497" s="1"/>
      <c r="AM2497" s="1"/>
      <c r="AN2497" s="1"/>
      <c r="AO2497" s="1"/>
      <c r="AP2497" s="1"/>
      <c r="AQ2497" s="1"/>
      <c r="AR2497" s="1"/>
      <c r="AS2497" s="1"/>
      <c r="AT2497" s="1"/>
      <c r="AU2497" s="1"/>
      <c r="AV2497" s="1"/>
      <c r="AW2497" s="1"/>
      <c r="AX2497" s="1"/>
      <c r="AY2497" s="1"/>
      <c r="AZ2497" s="1"/>
      <c r="BA2497" s="1"/>
      <c r="BB2497" s="1"/>
      <c r="BC2497" s="1"/>
      <c r="BD2497" s="1"/>
      <c r="BE2497" s="1"/>
      <c r="BF2497" s="1"/>
      <c r="BG2497" s="1"/>
      <c r="BH2497" s="1"/>
      <c r="BI2497" s="1"/>
      <c r="BJ2497" s="1"/>
      <c r="BK2497" s="1"/>
      <c r="BL2497" s="1"/>
      <c r="BM2497" s="1"/>
      <c r="BN2497" s="1"/>
      <c r="BO2497" s="1"/>
      <c r="BP2497" s="1"/>
      <c r="BQ2497" s="1"/>
      <c r="BR2497" s="1"/>
      <c r="BS2497" s="1"/>
      <c r="BT2497" s="1"/>
      <c r="BU2497" s="1"/>
      <c r="BV2497" s="1"/>
      <c r="BW2497" s="1"/>
      <c r="BX2497" s="1"/>
      <c r="BY2497" s="1"/>
      <c r="BZ2497" s="1"/>
      <c r="CA2497" s="1"/>
      <c r="CB2497" s="1"/>
      <c r="CC2497" s="1"/>
      <c r="CD2497" s="1"/>
      <c r="CE2497" s="1"/>
      <c r="CF2497" s="1"/>
      <c r="CG2497" s="1"/>
      <c r="CH2497" s="1"/>
      <c r="CI2497" s="1"/>
      <c r="CJ2497" s="1"/>
      <c r="CK2497" s="1"/>
      <c r="CL2497" s="1"/>
      <c r="CM2497" s="1"/>
      <c r="CN2497" s="1"/>
      <c r="CO2497" s="1"/>
      <c r="CP2497" s="1"/>
      <c r="CQ2497" s="1"/>
      <c r="CR2497" s="1"/>
      <c r="CS2497" s="1"/>
      <c r="CT2497" s="1"/>
      <c r="CU2497" s="1"/>
      <c r="CV2497" s="1"/>
      <c r="CW2497" s="1"/>
      <c r="CX2497" s="1"/>
      <c r="CY2497" s="1"/>
      <c r="CZ2497" s="1"/>
      <c r="DA2497" s="1"/>
      <c r="DB2497" s="1"/>
      <c r="DC2497" s="1"/>
      <c r="DD2497" s="1"/>
      <c r="DE2497" s="1"/>
      <c r="DF2497" s="1"/>
      <c r="DG2497" s="1"/>
      <c r="DH2497" s="1"/>
      <c r="DI2497" s="1"/>
      <c r="DJ2497" s="1"/>
      <c r="DK2497" s="1"/>
      <c r="DL2497" s="1"/>
      <c r="DM2497" s="1"/>
      <c r="DN2497" s="1"/>
      <c r="DO2497" s="1"/>
      <c r="DP2497" s="1"/>
      <c r="DQ2497" s="1"/>
      <c r="DR2497" s="1"/>
      <c r="DS2497" s="1"/>
      <c r="DT2497" s="1"/>
      <c r="DU2497" s="1"/>
      <c r="DV2497" s="1"/>
      <c r="DW2497" s="1"/>
      <c r="DX2497" s="1"/>
      <c r="DY2497" s="1"/>
      <c r="DZ2497" s="1"/>
      <c r="EA2497" s="1"/>
      <c r="EB2497" s="1"/>
      <c r="EC2497" s="1"/>
      <c r="ED2497" s="1"/>
      <c r="EE2497" s="1"/>
      <c r="EF2497" s="1"/>
      <c r="EG2497" s="1"/>
      <c r="EH2497" s="1"/>
      <c r="EI2497" s="1"/>
      <c r="EJ2497" s="1"/>
      <c r="EK2497" s="1"/>
      <c r="EL2497" s="1"/>
      <c r="EM2497" s="1"/>
      <c r="EN2497" s="1"/>
      <c r="EO2497" s="1"/>
      <c r="EP2497" s="1"/>
      <c r="EQ2497" s="1"/>
      <c r="ER2497" s="1"/>
      <c r="ES2497" s="1"/>
      <c r="ET2497" s="1"/>
      <c r="EU2497" s="1"/>
      <c r="EV2497" s="1"/>
      <c r="EW2497" s="1"/>
      <c r="EX2497" s="1"/>
      <c r="EY2497" s="1"/>
      <c r="EZ2497" s="1"/>
      <c r="FA2497" s="1"/>
      <c r="FB2497" s="1"/>
      <c r="FC2497" s="1"/>
      <c r="FD2497" s="1"/>
      <c r="FE2497" s="1"/>
      <c r="FF2497" s="1"/>
      <c r="FG2497" s="1"/>
      <c r="FH2497" s="1"/>
      <c r="FI2497" s="1"/>
      <c r="FJ2497" s="1"/>
      <c r="FK2497" s="1"/>
      <c r="FL2497" s="1"/>
      <c r="FM2497" s="1"/>
      <c r="FN2497" s="1"/>
      <c r="FO2497" s="1"/>
      <c r="FP2497" s="1"/>
      <c r="FQ2497" s="1"/>
      <c r="FR2497" s="1"/>
      <c r="FS2497" s="1"/>
      <c r="FT2497" s="1"/>
      <c r="FU2497" s="1"/>
      <c r="FV2497" s="1"/>
      <c r="FW2497" s="1"/>
      <c r="FX2497" s="1"/>
      <c r="FY2497" s="1"/>
      <c r="FZ2497" s="1"/>
      <c r="GA2497" s="1"/>
      <c r="GB2497" s="1"/>
      <c r="GC2497" s="1"/>
      <c r="GD2497" s="1"/>
      <c r="GE2497" s="1"/>
      <c r="GF2497" s="1"/>
      <c r="GG2497" s="1"/>
      <c r="GH2497" s="1"/>
      <c r="GI2497" s="1"/>
      <c r="GJ2497" s="1"/>
      <c r="GK2497" s="1"/>
      <c r="GL2497" s="1"/>
      <c r="GM2497" s="1"/>
      <c r="GN2497" s="1"/>
      <c r="GO2497" s="1"/>
      <c r="GP2497" s="1"/>
      <c r="GQ2497" s="1"/>
      <c r="GR2497" s="1"/>
      <c r="GS2497" s="1"/>
      <c r="GT2497" s="1"/>
      <c r="GU2497" s="1"/>
      <c r="GV2497" s="1"/>
      <c r="GW2497" s="1"/>
      <c r="GX2497" s="1"/>
      <c r="GY2497" s="1"/>
      <c r="GZ2497" s="1"/>
      <c r="HA2497" s="1"/>
      <c r="HB2497" s="1"/>
      <c r="HC2497" s="1"/>
      <c r="HD2497" s="1"/>
      <c r="HE2497" s="1"/>
      <c r="HF2497" s="1"/>
      <c r="HG2497" s="1"/>
      <c r="HH2497" s="1"/>
      <c r="HI2497" s="1"/>
      <c r="HJ2497" s="1"/>
      <c r="HK2497" s="1"/>
      <c r="HL2497" s="1"/>
      <c r="HM2497" s="1"/>
      <c r="HN2497" s="1"/>
      <c r="HO2497" s="1"/>
      <c r="HP2497" s="1"/>
      <c r="HQ2497" s="1"/>
    </row>
    <row r="2498" spans="1:225" ht="46.5" x14ac:dyDescent="0.35">
      <c r="A2498" s="257">
        <v>1128</v>
      </c>
      <c r="B2498" s="258"/>
      <c r="C2498" s="260"/>
      <c r="D2498" s="263"/>
      <c r="E2498" s="263"/>
      <c r="F2498" s="266"/>
      <c r="G2498" s="257"/>
      <c r="H2498" s="159" t="s">
        <v>705</v>
      </c>
      <c r="I2498" s="158">
        <f>K2498*D2497</f>
        <v>213760</v>
      </c>
      <c r="J2498" s="158">
        <f>I2498/D2497</f>
        <v>167</v>
      </c>
      <c r="K2498" s="158">
        <v>167</v>
      </c>
      <c r="L2498" s="1"/>
      <c r="M2498" s="1"/>
      <c r="N2498" s="1"/>
      <c r="O2498" s="1"/>
      <c r="P2498" s="1"/>
      <c r="Q2498" s="1"/>
      <c r="R2498" s="1"/>
      <c r="S2498" s="1"/>
      <c r="T2498" s="1"/>
      <c r="U2498" s="1"/>
      <c r="V2498" s="1"/>
      <c r="W2498" s="1"/>
      <c r="X2498" s="1"/>
      <c r="Y2498" s="1"/>
      <c r="Z2498" s="1"/>
      <c r="AA2498" s="1"/>
      <c r="AB2498" s="1"/>
      <c r="AC2498" s="1"/>
      <c r="AD2498" s="1"/>
      <c r="AE2498" s="1"/>
      <c r="AF2498" s="1"/>
      <c r="AG2498" s="1"/>
      <c r="AH2498" s="1"/>
      <c r="AI2498" s="1"/>
      <c r="AJ2498" s="1"/>
      <c r="AK2498" s="1"/>
      <c r="AL2498" s="1"/>
      <c r="AM2498" s="1"/>
      <c r="AN2498" s="1"/>
      <c r="AO2498" s="1"/>
      <c r="AP2498" s="1"/>
      <c r="AQ2498" s="1"/>
      <c r="AR2498" s="1"/>
      <c r="AS2498" s="1"/>
      <c r="AT2498" s="1"/>
      <c r="AU2498" s="1"/>
      <c r="AV2498" s="1"/>
      <c r="AW2498" s="1"/>
      <c r="AX2498" s="1"/>
      <c r="AY2498" s="1"/>
      <c r="AZ2498" s="1"/>
      <c r="BA2498" s="1"/>
      <c r="BB2498" s="1"/>
      <c r="BC2498" s="1"/>
      <c r="BD2498" s="1"/>
      <c r="BE2498" s="1"/>
      <c r="BF2498" s="1"/>
      <c r="BG2498" s="1"/>
      <c r="BH2498" s="1"/>
      <c r="BI2498" s="1"/>
      <c r="BJ2498" s="1"/>
      <c r="BK2498" s="1"/>
      <c r="BL2498" s="1"/>
      <c r="BM2498" s="1"/>
      <c r="BN2498" s="1"/>
      <c r="BO2498" s="1"/>
      <c r="BP2498" s="1"/>
      <c r="BQ2498" s="1"/>
      <c r="BR2498" s="1"/>
      <c r="BS2498" s="1"/>
      <c r="BT2498" s="1"/>
      <c r="BU2498" s="1"/>
      <c r="BV2498" s="1"/>
      <c r="BW2498" s="1"/>
      <c r="BX2498" s="1"/>
      <c r="BY2498" s="1"/>
      <c r="BZ2498" s="1"/>
      <c r="CA2498" s="1"/>
      <c r="CB2498" s="1"/>
      <c r="CC2498" s="1"/>
      <c r="CD2498" s="1"/>
      <c r="CE2498" s="1"/>
      <c r="CF2498" s="1"/>
      <c r="CG2498" s="1"/>
      <c r="CH2498" s="1"/>
      <c r="CI2498" s="1"/>
      <c r="CJ2498" s="1"/>
      <c r="CK2498" s="1"/>
      <c r="CL2498" s="1"/>
      <c r="CM2498" s="1"/>
      <c r="CN2498" s="1"/>
      <c r="CO2498" s="1"/>
      <c r="CP2498" s="1"/>
      <c r="CQ2498" s="1"/>
      <c r="CR2498" s="1"/>
      <c r="CS2498" s="1"/>
      <c r="CT2498" s="1"/>
      <c r="CU2498" s="1"/>
      <c r="CV2498" s="1"/>
      <c r="CW2498" s="1"/>
      <c r="CX2498" s="1"/>
      <c r="CY2498" s="1"/>
      <c r="CZ2498" s="1"/>
      <c r="DA2498" s="1"/>
      <c r="DB2498" s="1"/>
      <c r="DC2498" s="1"/>
      <c r="DD2498" s="1"/>
      <c r="DE2498" s="1"/>
      <c r="DF2498" s="1"/>
      <c r="DG2498" s="1"/>
      <c r="DH2498" s="1"/>
      <c r="DI2498" s="1"/>
      <c r="DJ2498" s="1"/>
      <c r="DK2498" s="1"/>
      <c r="DL2498" s="1"/>
      <c r="DM2498" s="1"/>
      <c r="DN2498" s="1"/>
      <c r="DO2498" s="1"/>
      <c r="DP2498" s="1"/>
      <c r="DQ2498" s="1"/>
      <c r="DR2498" s="1"/>
      <c r="DS2498" s="1"/>
      <c r="DT2498" s="1"/>
      <c r="DU2498" s="1"/>
      <c r="DV2498" s="1"/>
      <c r="DW2498" s="1"/>
      <c r="DX2498" s="1"/>
      <c r="DY2498" s="1"/>
      <c r="DZ2498" s="1"/>
      <c r="EA2498" s="1"/>
      <c r="EB2498" s="1"/>
      <c r="EC2498" s="1"/>
      <c r="ED2498" s="1"/>
      <c r="EE2498" s="1"/>
      <c r="EF2498" s="1"/>
      <c r="EG2498" s="1"/>
      <c r="EH2498" s="1"/>
      <c r="EI2498" s="1"/>
      <c r="EJ2498" s="1"/>
      <c r="EK2498" s="1"/>
      <c r="EL2498" s="1"/>
      <c r="EM2498" s="1"/>
      <c r="EN2498" s="1"/>
      <c r="EO2498" s="1"/>
      <c r="EP2498" s="1"/>
      <c r="EQ2498" s="1"/>
      <c r="ER2498" s="1"/>
      <c r="ES2498" s="1"/>
      <c r="ET2498" s="1"/>
      <c r="EU2498" s="1"/>
      <c r="EV2498" s="1"/>
      <c r="EW2498" s="1"/>
      <c r="EX2498" s="1"/>
      <c r="EY2498" s="1"/>
      <c r="EZ2498" s="1"/>
      <c r="FA2498" s="1"/>
      <c r="FB2498" s="1"/>
      <c r="FC2498" s="1"/>
      <c r="FD2498" s="1"/>
      <c r="FE2498" s="1"/>
      <c r="FF2498" s="1"/>
      <c r="FG2498" s="1"/>
      <c r="FH2498" s="1"/>
      <c r="FI2498" s="1"/>
      <c r="FJ2498" s="1"/>
      <c r="FK2498" s="1"/>
      <c r="FL2498" s="1"/>
      <c r="FM2498" s="1"/>
      <c r="FN2498" s="1"/>
      <c r="FO2498" s="1"/>
      <c r="FP2498" s="1"/>
      <c r="FQ2498" s="1"/>
      <c r="FR2498" s="1"/>
      <c r="FS2498" s="1"/>
      <c r="FT2498" s="1"/>
      <c r="FU2498" s="1"/>
      <c r="FV2498" s="1"/>
      <c r="FW2498" s="1"/>
      <c r="FX2498" s="1"/>
      <c r="FY2498" s="1"/>
      <c r="FZ2498" s="1"/>
      <c r="GA2498" s="1"/>
      <c r="GB2498" s="1"/>
      <c r="GC2498" s="1"/>
      <c r="GD2498" s="1"/>
      <c r="GE2498" s="1"/>
      <c r="GF2498" s="1"/>
      <c r="GG2498" s="1"/>
      <c r="GH2498" s="1"/>
      <c r="GI2498" s="1"/>
      <c r="GJ2498" s="1"/>
      <c r="GK2498" s="1"/>
      <c r="GL2498" s="1"/>
      <c r="GM2498" s="1"/>
      <c r="GN2498" s="1"/>
      <c r="GO2498" s="1"/>
      <c r="GP2498" s="1"/>
      <c r="GQ2498" s="1"/>
      <c r="GR2498" s="1"/>
      <c r="GS2498" s="1"/>
      <c r="GT2498" s="1"/>
      <c r="GU2498" s="1"/>
      <c r="GV2498" s="1"/>
      <c r="GW2498" s="1"/>
      <c r="GX2498" s="1"/>
      <c r="GY2498" s="1"/>
      <c r="GZ2498" s="1"/>
      <c r="HA2498" s="1"/>
      <c r="HB2498" s="1"/>
      <c r="HC2498" s="1"/>
      <c r="HD2498" s="1"/>
      <c r="HE2498" s="1"/>
      <c r="HF2498" s="1"/>
      <c r="HG2498" s="1"/>
      <c r="HH2498" s="1"/>
      <c r="HI2498" s="1"/>
      <c r="HJ2498" s="1"/>
      <c r="HK2498" s="1"/>
      <c r="HL2498" s="1"/>
      <c r="HM2498" s="1"/>
      <c r="HN2498" s="1"/>
      <c r="HO2498" s="1"/>
      <c r="HP2498" s="1"/>
      <c r="HQ2498" s="1"/>
    </row>
    <row r="2499" spans="1:225" ht="15.75" customHeight="1" x14ac:dyDescent="0.35">
      <c r="A2499" s="256">
        <f>A2497+1</f>
        <v>22</v>
      </c>
      <c r="B2499" s="256">
        <v>5796</v>
      </c>
      <c r="C2499" s="259" t="s">
        <v>458</v>
      </c>
      <c r="D2499" s="262">
        <v>354.2</v>
      </c>
      <c r="E2499" s="262" t="s">
        <v>75</v>
      </c>
      <c r="F2499" s="265">
        <v>2</v>
      </c>
      <c r="G2499" s="256" t="s">
        <v>72</v>
      </c>
      <c r="H2499" s="159" t="s">
        <v>73</v>
      </c>
      <c r="I2499" s="158">
        <f>I2500+I2501</f>
        <v>1886008.74</v>
      </c>
      <c r="J2499" s="158">
        <f>J2500+J2501</f>
        <v>5324.7</v>
      </c>
      <c r="K2499" s="158">
        <f>K2500+K2501</f>
        <v>7539</v>
      </c>
      <c r="L2499" s="1"/>
      <c r="M2499" s="1"/>
      <c r="N2499" s="1"/>
      <c r="O2499" s="1"/>
      <c r="P2499" s="1"/>
      <c r="Q2499" s="1"/>
      <c r="R2499" s="1"/>
      <c r="S2499" s="1"/>
      <c r="T2499" s="1"/>
      <c r="U2499" s="1"/>
      <c r="V2499" s="1"/>
      <c r="W2499" s="1"/>
      <c r="X2499" s="1"/>
      <c r="Y2499" s="1"/>
      <c r="Z2499" s="1"/>
      <c r="AA2499" s="1"/>
      <c r="AB2499" s="1"/>
      <c r="AC2499" s="1"/>
      <c r="AD2499" s="1"/>
      <c r="AE2499" s="1"/>
      <c r="AF2499" s="1"/>
      <c r="AG2499" s="1"/>
      <c r="AH2499" s="1"/>
      <c r="AI2499" s="1"/>
      <c r="AJ2499" s="1"/>
      <c r="AK2499" s="1"/>
      <c r="AL2499" s="1"/>
      <c r="AM2499" s="1"/>
      <c r="AN2499" s="1"/>
      <c r="AO2499" s="1"/>
      <c r="AP2499" s="1"/>
      <c r="AQ2499" s="1"/>
      <c r="AR2499" s="1"/>
      <c r="AS2499" s="1"/>
      <c r="AT2499" s="1"/>
      <c r="AU2499" s="1"/>
      <c r="AV2499" s="1"/>
      <c r="AW2499" s="1"/>
      <c r="AX2499" s="1"/>
      <c r="AY2499" s="1"/>
      <c r="AZ2499" s="1"/>
      <c r="BA2499" s="1"/>
      <c r="BB2499" s="1"/>
      <c r="BC2499" s="1"/>
      <c r="BD2499" s="1"/>
      <c r="BE2499" s="1"/>
      <c r="BF2499" s="1"/>
      <c r="BG2499" s="1"/>
      <c r="BH2499" s="1"/>
      <c r="BI2499" s="1"/>
      <c r="BJ2499" s="1"/>
      <c r="BK2499" s="1"/>
      <c r="BL2499" s="1"/>
      <c r="BM2499" s="1"/>
      <c r="BN2499" s="1"/>
      <c r="BO2499" s="1"/>
      <c r="BP2499" s="1"/>
      <c r="BQ2499" s="1"/>
      <c r="BR2499" s="1"/>
      <c r="BS2499" s="1"/>
      <c r="BT2499" s="1"/>
      <c r="BU2499" s="1"/>
      <c r="BV2499" s="1"/>
      <c r="BW2499" s="1"/>
      <c r="BX2499" s="1"/>
      <c r="BY2499" s="1"/>
      <c r="BZ2499" s="1"/>
      <c r="CA2499" s="1"/>
      <c r="CB2499" s="1"/>
      <c r="CC2499" s="1"/>
      <c r="CD2499" s="1"/>
      <c r="CE2499" s="1"/>
      <c r="CF2499" s="1"/>
      <c r="CG2499" s="1"/>
      <c r="CH2499" s="1"/>
      <c r="CI2499" s="1"/>
      <c r="CJ2499" s="1"/>
      <c r="CK2499" s="1"/>
      <c r="CL2499" s="1"/>
      <c r="CM2499" s="1"/>
      <c r="CN2499" s="1"/>
      <c r="CO2499" s="1"/>
      <c r="CP2499" s="1"/>
      <c r="CQ2499" s="1"/>
      <c r="CR2499" s="1"/>
      <c r="CS2499" s="1"/>
      <c r="CT2499" s="1"/>
      <c r="CU2499" s="1"/>
      <c r="CV2499" s="1"/>
      <c r="CW2499" s="1"/>
      <c r="CX2499" s="1"/>
      <c r="CY2499" s="1"/>
      <c r="CZ2499" s="1"/>
      <c r="DA2499" s="1"/>
      <c r="DB2499" s="1"/>
      <c r="DC2499" s="1"/>
      <c r="DD2499" s="1"/>
      <c r="DE2499" s="1"/>
      <c r="DF2499" s="1"/>
      <c r="DG2499" s="1"/>
      <c r="DH2499" s="1"/>
      <c r="DI2499" s="1"/>
      <c r="DJ2499" s="1"/>
      <c r="DK2499" s="1"/>
      <c r="DL2499" s="1"/>
      <c r="DM2499" s="1"/>
      <c r="DN2499" s="1"/>
      <c r="DO2499" s="1"/>
      <c r="DP2499" s="1"/>
      <c r="DQ2499" s="1"/>
      <c r="DR2499" s="1"/>
      <c r="DS2499" s="1"/>
      <c r="DT2499" s="1"/>
      <c r="DU2499" s="1"/>
      <c r="DV2499" s="1"/>
      <c r="DW2499" s="1"/>
      <c r="DX2499" s="1"/>
      <c r="DY2499" s="1"/>
      <c r="DZ2499" s="1"/>
      <c r="EA2499" s="1"/>
      <c r="EB2499" s="1"/>
      <c r="EC2499" s="1"/>
      <c r="ED2499" s="1"/>
      <c r="EE2499" s="1"/>
      <c r="EF2499" s="1"/>
      <c r="EG2499" s="1"/>
      <c r="EH2499" s="1"/>
      <c r="EI2499" s="1"/>
      <c r="EJ2499" s="1"/>
      <c r="EK2499" s="1"/>
      <c r="EL2499" s="1"/>
      <c r="EM2499" s="1"/>
      <c r="EN2499" s="1"/>
      <c r="EO2499" s="1"/>
      <c r="EP2499" s="1"/>
      <c r="EQ2499" s="1"/>
      <c r="ER2499" s="1"/>
      <c r="ES2499" s="1"/>
      <c r="ET2499" s="1"/>
      <c r="EU2499" s="1"/>
      <c r="EV2499" s="1"/>
      <c r="EW2499" s="1"/>
      <c r="EX2499" s="1"/>
      <c r="EY2499" s="1"/>
      <c r="EZ2499" s="1"/>
      <c r="FA2499" s="1"/>
      <c r="FB2499" s="1"/>
      <c r="FC2499" s="1"/>
      <c r="FD2499" s="1"/>
      <c r="FE2499" s="1"/>
      <c r="FF2499" s="1"/>
      <c r="FG2499" s="1"/>
      <c r="FH2499" s="1"/>
      <c r="FI2499" s="1"/>
      <c r="FJ2499" s="1"/>
      <c r="FK2499" s="1"/>
      <c r="FL2499" s="1"/>
      <c r="FM2499" s="1"/>
      <c r="FN2499" s="1"/>
      <c r="FO2499" s="1"/>
      <c r="FP2499" s="1"/>
      <c r="FQ2499" s="1"/>
      <c r="FR2499" s="1"/>
      <c r="FS2499" s="1"/>
      <c r="FT2499" s="1"/>
      <c r="FU2499" s="1"/>
      <c r="FV2499" s="1"/>
      <c r="FW2499" s="1"/>
      <c r="FX2499" s="1"/>
      <c r="FY2499" s="1"/>
      <c r="FZ2499" s="1"/>
      <c r="GA2499" s="1"/>
      <c r="GB2499" s="1"/>
      <c r="GC2499" s="1"/>
      <c r="GD2499" s="1"/>
      <c r="GE2499" s="1"/>
      <c r="GF2499" s="1"/>
      <c r="GG2499" s="1"/>
      <c r="GH2499" s="1"/>
      <c r="GI2499" s="1"/>
      <c r="GJ2499" s="1"/>
      <c r="GK2499" s="1"/>
      <c r="GL2499" s="1"/>
      <c r="GM2499" s="1"/>
      <c r="GN2499" s="1"/>
      <c r="GO2499" s="1"/>
      <c r="GP2499" s="1"/>
      <c r="GQ2499" s="1"/>
      <c r="GR2499" s="1"/>
      <c r="GS2499" s="1"/>
      <c r="GT2499" s="1"/>
      <c r="GU2499" s="1"/>
      <c r="GV2499" s="1"/>
      <c r="GW2499" s="1"/>
      <c r="GX2499" s="1"/>
      <c r="GY2499" s="1"/>
      <c r="GZ2499" s="1"/>
      <c r="HA2499" s="1"/>
      <c r="HB2499" s="1"/>
      <c r="HC2499" s="1"/>
      <c r="HD2499" s="1"/>
      <c r="HE2499" s="1"/>
      <c r="HF2499" s="1"/>
      <c r="HG2499" s="1"/>
      <c r="HH2499" s="1"/>
      <c r="HI2499" s="1"/>
      <c r="HJ2499" s="1"/>
      <c r="HK2499" s="1"/>
      <c r="HL2499" s="1"/>
      <c r="HM2499" s="1"/>
      <c r="HN2499" s="1"/>
      <c r="HO2499" s="1"/>
      <c r="HP2499" s="1"/>
      <c r="HQ2499" s="1"/>
    </row>
    <row r="2500" spans="1:225" ht="15.75" customHeight="1" x14ac:dyDescent="0.35">
      <c r="A2500" s="257"/>
      <c r="B2500" s="257"/>
      <c r="C2500" s="260"/>
      <c r="D2500" s="263"/>
      <c r="E2500" s="263"/>
      <c r="F2500" s="266"/>
      <c r="G2500" s="257"/>
      <c r="H2500" s="159" t="s">
        <v>74</v>
      </c>
      <c r="I2500" s="158">
        <f>K2500*D2499*70/100</f>
        <v>1830045.14</v>
      </c>
      <c r="J2500" s="158">
        <f>I2500/D2499</f>
        <v>5166.7</v>
      </c>
      <c r="K2500" s="158">
        <v>7381</v>
      </c>
      <c r="L2500" s="1"/>
      <c r="M2500" s="1"/>
      <c r="N2500" s="1"/>
      <c r="O2500" s="1"/>
      <c r="P2500" s="1"/>
      <c r="Q2500" s="1"/>
      <c r="R2500" s="1"/>
      <c r="S2500" s="1"/>
      <c r="T2500" s="1"/>
      <c r="U2500" s="1"/>
      <c r="V2500" s="1"/>
      <c r="W2500" s="1"/>
      <c r="X2500" s="1"/>
      <c r="Y2500" s="1"/>
      <c r="Z2500" s="1"/>
      <c r="AA2500" s="1"/>
      <c r="AB2500" s="1"/>
      <c r="AC2500" s="1"/>
      <c r="AD2500" s="1"/>
      <c r="AE2500" s="1"/>
      <c r="AF2500" s="1"/>
      <c r="AG2500" s="1"/>
      <c r="AH2500" s="1"/>
      <c r="AI2500" s="1"/>
      <c r="AJ2500" s="1"/>
      <c r="AK2500" s="1"/>
      <c r="AL2500" s="1"/>
      <c r="AM2500" s="1"/>
      <c r="AN2500" s="1"/>
      <c r="AO2500" s="1"/>
      <c r="AP2500" s="1"/>
      <c r="AQ2500" s="1"/>
      <c r="AR2500" s="1"/>
      <c r="AS2500" s="1"/>
      <c r="AT2500" s="1"/>
      <c r="AU2500" s="1"/>
      <c r="AV2500" s="1"/>
      <c r="AW2500" s="1"/>
      <c r="AX2500" s="1"/>
      <c r="AY2500" s="1"/>
      <c r="AZ2500" s="1"/>
      <c r="BA2500" s="1"/>
      <c r="BB2500" s="1"/>
      <c r="BC2500" s="1"/>
      <c r="BD2500" s="1"/>
      <c r="BE2500" s="1"/>
      <c r="BF2500" s="1"/>
      <c r="BG2500" s="1"/>
      <c r="BH2500" s="1"/>
      <c r="BI2500" s="1"/>
      <c r="BJ2500" s="1"/>
      <c r="BK2500" s="1"/>
      <c r="BL2500" s="1"/>
      <c r="BM2500" s="1"/>
      <c r="BN2500" s="1"/>
      <c r="BO2500" s="1"/>
      <c r="BP2500" s="1"/>
      <c r="BQ2500" s="1"/>
      <c r="BR2500" s="1"/>
      <c r="BS2500" s="1"/>
      <c r="BT2500" s="1"/>
      <c r="BU2500" s="1"/>
      <c r="BV2500" s="1"/>
      <c r="BW2500" s="1"/>
      <c r="BX2500" s="1"/>
      <c r="BY2500" s="1"/>
      <c r="BZ2500" s="1"/>
      <c r="CA2500" s="1"/>
      <c r="CB2500" s="1"/>
      <c r="CC2500" s="1"/>
      <c r="CD2500" s="1"/>
      <c r="CE2500" s="1"/>
      <c r="CF2500" s="1"/>
      <c r="CG2500" s="1"/>
      <c r="CH2500" s="1"/>
      <c r="CI2500" s="1"/>
      <c r="CJ2500" s="1"/>
      <c r="CK2500" s="1"/>
      <c r="CL2500" s="1"/>
      <c r="CM2500" s="1"/>
      <c r="CN2500" s="1"/>
      <c r="CO2500" s="1"/>
      <c r="CP2500" s="1"/>
      <c r="CQ2500" s="1"/>
      <c r="CR2500" s="1"/>
      <c r="CS2500" s="1"/>
      <c r="CT2500" s="1"/>
      <c r="CU2500" s="1"/>
      <c r="CV2500" s="1"/>
      <c r="CW2500" s="1"/>
      <c r="CX2500" s="1"/>
      <c r="CY2500" s="1"/>
      <c r="CZ2500" s="1"/>
      <c r="DA2500" s="1"/>
      <c r="DB2500" s="1"/>
      <c r="DC2500" s="1"/>
      <c r="DD2500" s="1"/>
      <c r="DE2500" s="1"/>
      <c r="DF2500" s="1"/>
      <c r="DG2500" s="1"/>
      <c r="DH2500" s="1"/>
      <c r="DI2500" s="1"/>
      <c r="DJ2500" s="1"/>
      <c r="DK2500" s="1"/>
      <c r="DL2500" s="1"/>
      <c r="DM2500" s="1"/>
      <c r="DN2500" s="1"/>
      <c r="DO2500" s="1"/>
      <c r="DP2500" s="1"/>
      <c r="DQ2500" s="1"/>
      <c r="DR2500" s="1"/>
      <c r="DS2500" s="1"/>
      <c r="DT2500" s="1"/>
      <c r="DU2500" s="1"/>
      <c r="DV2500" s="1"/>
      <c r="DW2500" s="1"/>
      <c r="DX2500" s="1"/>
      <c r="DY2500" s="1"/>
      <c r="DZ2500" s="1"/>
      <c r="EA2500" s="1"/>
      <c r="EB2500" s="1"/>
      <c r="EC2500" s="1"/>
      <c r="ED2500" s="1"/>
      <c r="EE2500" s="1"/>
      <c r="EF2500" s="1"/>
      <c r="EG2500" s="1"/>
      <c r="EH2500" s="1"/>
      <c r="EI2500" s="1"/>
      <c r="EJ2500" s="1"/>
      <c r="EK2500" s="1"/>
      <c r="EL2500" s="1"/>
      <c r="EM2500" s="1"/>
      <c r="EN2500" s="1"/>
      <c r="EO2500" s="1"/>
      <c r="EP2500" s="1"/>
      <c r="EQ2500" s="1"/>
      <c r="ER2500" s="1"/>
      <c r="ES2500" s="1"/>
      <c r="ET2500" s="1"/>
      <c r="EU2500" s="1"/>
      <c r="EV2500" s="1"/>
      <c r="EW2500" s="1"/>
      <c r="EX2500" s="1"/>
      <c r="EY2500" s="1"/>
      <c r="EZ2500" s="1"/>
      <c r="FA2500" s="1"/>
      <c r="FB2500" s="1"/>
      <c r="FC2500" s="1"/>
      <c r="FD2500" s="1"/>
      <c r="FE2500" s="1"/>
      <c r="FF2500" s="1"/>
      <c r="FG2500" s="1"/>
      <c r="FH2500" s="1"/>
      <c r="FI2500" s="1"/>
      <c r="FJ2500" s="1"/>
      <c r="FK2500" s="1"/>
      <c r="FL2500" s="1"/>
      <c r="FM2500" s="1"/>
      <c r="FN2500" s="1"/>
      <c r="FO2500" s="1"/>
      <c r="FP2500" s="1"/>
      <c r="FQ2500" s="1"/>
      <c r="FR2500" s="1"/>
      <c r="FS2500" s="1"/>
      <c r="FT2500" s="1"/>
      <c r="FU2500" s="1"/>
      <c r="FV2500" s="1"/>
      <c r="FW2500" s="1"/>
      <c r="FX2500" s="1"/>
      <c r="FY2500" s="1"/>
      <c r="FZ2500" s="1"/>
      <c r="GA2500" s="1"/>
      <c r="GB2500" s="1"/>
      <c r="GC2500" s="1"/>
      <c r="GD2500" s="1"/>
      <c r="GE2500" s="1"/>
      <c r="GF2500" s="1"/>
      <c r="GG2500" s="1"/>
      <c r="GH2500" s="1"/>
      <c r="GI2500" s="1"/>
      <c r="GJ2500" s="1"/>
      <c r="GK2500" s="1"/>
      <c r="GL2500" s="1"/>
      <c r="GM2500" s="1"/>
      <c r="GN2500" s="1"/>
      <c r="GO2500" s="1"/>
      <c r="GP2500" s="1"/>
      <c r="GQ2500" s="1"/>
      <c r="GR2500" s="1"/>
      <c r="GS2500" s="1"/>
      <c r="GT2500" s="1"/>
      <c r="GU2500" s="1"/>
      <c r="GV2500" s="1"/>
      <c r="GW2500" s="1"/>
      <c r="GX2500" s="1"/>
      <c r="GY2500" s="1"/>
      <c r="GZ2500" s="1"/>
      <c r="HA2500" s="1"/>
      <c r="HB2500" s="1"/>
      <c r="HC2500" s="1"/>
      <c r="HD2500" s="1"/>
      <c r="HE2500" s="1"/>
      <c r="HF2500" s="1"/>
      <c r="HG2500" s="1"/>
      <c r="HH2500" s="1"/>
      <c r="HI2500" s="1"/>
      <c r="HJ2500" s="1"/>
      <c r="HK2500" s="1"/>
      <c r="HL2500" s="1"/>
      <c r="HM2500" s="1"/>
      <c r="HN2500" s="1"/>
      <c r="HO2500" s="1"/>
      <c r="HP2500" s="1"/>
      <c r="HQ2500" s="1"/>
    </row>
    <row r="2501" spans="1:225" ht="15.75" customHeight="1" x14ac:dyDescent="0.35">
      <c r="A2501" s="258"/>
      <c r="B2501" s="258"/>
      <c r="C2501" s="261"/>
      <c r="D2501" s="264"/>
      <c r="E2501" s="264"/>
      <c r="F2501" s="267"/>
      <c r="G2501" s="258"/>
      <c r="H2501" s="159" t="s">
        <v>76</v>
      </c>
      <c r="I2501" s="158">
        <f>K2501*D2499</f>
        <v>55963.6</v>
      </c>
      <c r="J2501" s="158">
        <f>I2501/D2499</f>
        <v>158</v>
      </c>
      <c r="K2501" s="158">
        <v>158</v>
      </c>
      <c r="L2501" s="1"/>
      <c r="M2501" s="1"/>
      <c r="N2501" s="1"/>
      <c r="O2501" s="1"/>
      <c r="P2501" s="1"/>
      <c r="Q2501" s="1"/>
      <c r="R2501" s="1"/>
      <c r="S2501" s="1"/>
      <c r="T2501" s="1"/>
      <c r="U2501" s="1"/>
      <c r="V2501" s="1"/>
      <c r="W2501" s="1"/>
      <c r="X2501" s="1"/>
      <c r="Y2501" s="1"/>
      <c r="Z2501" s="1"/>
      <c r="AA2501" s="1"/>
      <c r="AB2501" s="1"/>
      <c r="AC2501" s="1"/>
      <c r="AD2501" s="1"/>
      <c r="AE2501" s="1"/>
      <c r="AF2501" s="1"/>
      <c r="AG2501" s="1"/>
      <c r="AH2501" s="1"/>
      <c r="AI2501" s="1"/>
      <c r="AJ2501" s="1"/>
      <c r="AK2501" s="1"/>
      <c r="AL2501" s="1"/>
      <c r="AM2501" s="1"/>
      <c r="AN2501" s="1"/>
      <c r="AO2501" s="1"/>
      <c r="AP2501" s="1"/>
      <c r="AQ2501" s="1"/>
      <c r="AR2501" s="1"/>
      <c r="AS2501" s="1"/>
      <c r="AT2501" s="1"/>
      <c r="AU2501" s="1"/>
      <c r="AV2501" s="1"/>
      <c r="AW2501" s="1"/>
      <c r="AX2501" s="1"/>
      <c r="AY2501" s="1"/>
      <c r="AZ2501" s="1"/>
      <c r="BA2501" s="1"/>
      <c r="BB2501" s="1"/>
      <c r="BC2501" s="1"/>
      <c r="BD2501" s="1"/>
      <c r="BE2501" s="1"/>
      <c r="BF2501" s="1"/>
      <c r="BG2501" s="1"/>
      <c r="BH2501" s="1"/>
      <c r="BI2501" s="1"/>
      <c r="BJ2501" s="1"/>
      <c r="BK2501" s="1"/>
      <c r="BL2501" s="1"/>
      <c r="BM2501" s="1"/>
      <c r="BN2501" s="1"/>
      <c r="BO2501" s="1"/>
      <c r="BP2501" s="1"/>
      <c r="BQ2501" s="1"/>
      <c r="BR2501" s="1"/>
      <c r="BS2501" s="1"/>
      <c r="BT2501" s="1"/>
      <c r="BU2501" s="1"/>
      <c r="BV2501" s="1"/>
      <c r="BW2501" s="1"/>
      <c r="BX2501" s="1"/>
      <c r="BY2501" s="1"/>
      <c r="BZ2501" s="1"/>
      <c r="CA2501" s="1"/>
      <c r="CB2501" s="1"/>
      <c r="CC2501" s="1"/>
      <c r="CD2501" s="1"/>
      <c r="CE2501" s="1"/>
      <c r="CF2501" s="1"/>
      <c r="CG2501" s="1"/>
      <c r="CH2501" s="1"/>
      <c r="CI2501" s="1"/>
      <c r="CJ2501" s="1"/>
      <c r="CK2501" s="1"/>
      <c r="CL2501" s="1"/>
      <c r="CM2501" s="1"/>
      <c r="CN2501" s="1"/>
      <c r="CO2501" s="1"/>
      <c r="CP2501" s="1"/>
      <c r="CQ2501" s="1"/>
      <c r="CR2501" s="1"/>
      <c r="CS2501" s="1"/>
      <c r="CT2501" s="1"/>
      <c r="CU2501" s="1"/>
      <c r="CV2501" s="1"/>
      <c r="CW2501" s="1"/>
      <c r="CX2501" s="1"/>
      <c r="CY2501" s="1"/>
      <c r="CZ2501" s="1"/>
      <c r="DA2501" s="1"/>
      <c r="DB2501" s="1"/>
      <c r="DC2501" s="1"/>
      <c r="DD2501" s="1"/>
      <c r="DE2501" s="1"/>
      <c r="DF2501" s="1"/>
      <c r="DG2501" s="1"/>
      <c r="DH2501" s="1"/>
      <c r="DI2501" s="1"/>
      <c r="DJ2501" s="1"/>
      <c r="DK2501" s="1"/>
      <c r="DL2501" s="1"/>
      <c r="DM2501" s="1"/>
      <c r="DN2501" s="1"/>
      <c r="DO2501" s="1"/>
      <c r="DP2501" s="1"/>
      <c r="DQ2501" s="1"/>
      <c r="DR2501" s="1"/>
      <c r="DS2501" s="1"/>
      <c r="DT2501" s="1"/>
      <c r="DU2501" s="1"/>
      <c r="DV2501" s="1"/>
      <c r="DW2501" s="1"/>
      <c r="DX2501" s="1"/>
      <c r="DY2501" s="1"/>
      <c r="DZ2501" s="1"/>
      <c r="EA2501" s="1"/>
      <c r="EB2501" s="1"/>
      <c r="EC2501" s="1"/>
      <c r="ED2501" s="1"/>
      <c r="EE2501" s="1"/>
      <c r="EF2501" s="1"/>
      <c r="EG2501" s="1"/>
      <c r="EH2501" s="1"/>
      <c r="EI2501" s="1"/>
      <c r="EJ2501" s="1"/>
      <c r="EK2501" s="1"/>
      <c r="EL2501" s="1"/>
      <c r="EM2501" s="1"/>
      <c r="EN2501" s="1"/>
      <c r="EO2501" s="1"/>
      <c r="EP2501" s="1"/>
      <c r="EQ2501" s="1"/>
      <c r="ER2501" s="1"/>
      <c r="ES2501" s="1"/>
      <c r="ET2501" s="1"/>
      <c r="EU2501" s="1"/>
      <c r="EV2501" s="1"/>
      <c r="EW2501" s="1"/>
      <c r="EX2501" s="1"/>
      <c r="EY2501" s="1"/>
      <c r="EZ2501" s="1"/>
      <c r="FA2501" s="1"/>
      <c r="FB2501" s="1"/>
      <c r="FC2501" s="1"/>
      <c r="FD2501" s="1"/>
      <c r="FE2501" s="1"/>
      <c r="FF2501" s="1"/>
      <c r="FG2501" s="1"/>
      <c r="FH2501" s="1"/>
      <c r="FI2501" s="1"/>
      <c r="FJ2501" s="1"/>
      <c r="FK2501" s="1"/>
      <c r="FL2501" s="1"/>
      <c r="FM2501" s="1"/>
      <c r="FN2501" s="1"/>
      <c r="FO2501" s="1"/>
      <c r="FP2501" s="1"/>
      <c r="FQ2501" s="1"/>
      <c r="FR2501" s="1"/>
      <c r="FS2501" s="1"/>
      <c r="FT2501" s="1"/>
      <c r="FU2501" s="1"/>
      <c r="FV2501" s="1"/>
      <c r="FW2501" s="1"/>
      <c r="FX2501" s="1"/>
      <c r="FY2501" s="1"/>
      <c r="FZ2501" s="1"/>
      <c r="GA2501" s="1"/>
      <c r="GB2501" s="1"/>
      <c r="GC2501" s="1"/>
      <c r="GD2501" s="1"/>
      <c r="GE2501" s="1"/>
      <c r="GF2501" s="1"/>
      <c r="GG2501" s="1"/>
      <c r="GH2501" s="1"/>
      <c r="GI2501" s="1"/>
      <c r="GJ2501" s="1"/>
      <c r="GK2501" s="1"/>
      <c r="GL2501" s="1"/>
      <c r="GM2501" s="1"/>
      <c r="GN2501" s="1"/>
      <c r="GO2501" s="1"/>
      <c r="GP2501" s="1"/>
      <c r="GQ2501" s="1"/>
      <c r="GR2501" s="1"/>
      <c r="GS2501" s="1"/>
      <c r="GT2501" s="1"/>
      <c r="GU2501" s="1"/>
      <c r="GV2501" s="1"/>
      <c r="GW2501" s="1"/>
      <c r="GX2501" s="1"/>
      <c r="GY2501" s="1"/>
      <c r="GZ2501" s="1"/>
      <c r="HA2501" s="1"/>
      <c r="HB2501" s="1"/>
      <c r="HC2501" s="1"/>
      <c r="HD2501" s="1"/>
      <c r="HE2501" s="1"/>
      <c r="HF2501" s="1"/>
      <c r="HG2501" s="1"/>
      <c r="HH2501" s="1"/>
      <c r="HI2501" s="1"/>
      <c r="HJ2501" s="1"/>
      <c r="HK2501" s="1"/>
      <c r="HL2501" s="1"/>
      <c r="HM2501" s="1"/>
      <c r="HN2501" s="1"/>
      <c r="HO2501" s="1"/>
      <c r="HP2501" s="1"/>
      <c r="HQ2501" s="1"/>
    </row>
    <row r="2502" spans="1:225" ht="15.75" customHeight="1" x14ac:dyDescent="0.35">
      <c r="A2502" s="256">
        <f>A2499+1</f>
        <v>23</v>
      </c>
      <c r="B2502" s="256">
        <v>5800</v>
      </c>
      <c r="C2502" s="259" t="s">
        <v>460</v>
      </c>
      <c r="D2502" s="262">
        <v>347.9</v>
      </c>
      <c r="E2502" s="262" t="s">
        <v>75</v>
      </c>
      <c r="F2502" s="265">
        <v>2</v>
      </c>
      <c r="G2502" s="256" t="s">
        <v>72</v>
      </c>
      <c r="H2502" s="159" t="s">
        <v>73</v>
      </c>
      <c r="I2502" s="158">
        <f>I2503+I2504</f>
        <v>1852463.13</v>
      </c>
      <c r="J2502" s="158">
        <f>J2503+J2504</f>
        <v>5324.7</v>
      </c>
      <c r="K2502" s="158">
        <f>K2503+K2504</f>
        <v>7539</v>
      </c>
      <c r="L2502" s="1"/>
      <c r="M2502" s="1"/>
      <c r="N2502" s="1"/>
      <c r="O2502" s="1"/>
      <c r="P2502" s="1"/>
      <c r="Q2502" s="1"/>
      <c r="R2502" s="1"/>
      <c r="S2502" s="1"/>
      <c r="T2502" s="1"/>
      <c r="U2502" s="1"/>
      <c r="V2502" s="1"/>
      <c r="W2502" s="1"/>
      <c r="X2502" s="1"/>
      <c r="Y2502" s="1"/>
      <c r="Z2502" s="1"/>
      <c r="AA2502" s="1"/>
      <c r="AB2502" s="1"/>
      <c r="AC2502" s="1"/>
      <c r="AD2502" s="1"/>
      <c r="AE2502" s="1"/>
      <c r="AF2502" s="1"/>
      <c r="AG2502" s="1"/>
      <c r="AH2502" s="1"/>
      <c r="AI2502" s="1"/>
      <c r="AJ2502" s="1"/>
      <c r="AK2502" s="1"/>
      <c r="AL2502" s="1"/>
      <c r="AM2502" s="1"/>
      <c r="AN2502" s="1"/>
      <c r="AO2502" s="1"/>
      <c r="AP2502" s="1"/>
      <c r="AQ2502" s="1"/>
      <c r="AR2502" s="1"/>
      <c r="AS2502" s="1"/>
      <c r="AT2502" s="1"/>
      <c r="AU2502" s="1"/>
      <c r="AV2502" s="1"/>
      <c r="AW2502" s="1"/>
      <c r="AX2502" s="1"/>
      <c r="AY2502" s="1"/>
      <c r="AZ2502" s="1"/>
      <c r="BA2502" s="1"/>
      <c r="BB2502" s="1"/>
      <c r="BC2502" s="1"/>
      <c r="BD2502" s="1"/>
      <c r="BE2502" s="1"/>
      <c r="BF2502" s="1"/>
      <c r="BG2502" s="1"/>
      <c r="BH2502" s="1"/>
      <c r="BI2502" s="1"/>
      <c r="BJ2502" s="1"/>
      <c r="BK2502" s="1"/>
      <c r="BL2502" s="1"/>
      <c r="BM2502" s="1"/>
      <c r="BN2502" s="1"/>
      <c r="BO2502" s="1"/>
      <c r="BP2502" s="1"/>
      <c r="BQ2502" s="1"/>
      <c r="BR2502" s="1"/>
      <c r="BS2502" s="1"/>
      <c r="BT2502" s="1"/>
      <c r="BU2502" s="1"/>
      <c r="BV2502" s="1"/>
      <c r="BW2502" s="1"/>
      <c r="BX2502" s="1"/>
      <c r="BY2502" s="1"/>
      <c r="BZ2502" s="1"/>
      <c r="CA2502" s="1"/>
      <c r="CB2502" s="1"/>
      <c r="CC2502" s="1"/>
      <c r="CD2502" s="1"/>
      <c r="CE2502" s="1"/>
      <c r="CF2502" s="1"/>
      <c r="CG2502" s="1"/>
      <c r="CH2502" s="1"/>
      <c r="CI2502" s="1"/>
      <c r="CJ2502" s="1"/>
      <c r="CK2502" s="1"/>
      <c r="CL2502" s="1"/>
      <c r="CM2502" s="1"/>
      <c r="CN2502" s="1"/>
      <c r="CO2502" s="1"/>
      <c r="CP2502" s="1"/>
      <c r="CQ2502" s="1"/>
      <c r="CR2502" s="1"/>
      <c r="CS2502" s="1"/>
      <c r="CT2502" s="1"/>
      <c r="CU2502" s="1"/>
      <c r="CV2502" s="1"/>
      <c r="CW2502" s="1"/>
      <c r="CX2502" s="1"/>
      <c r="CY2502" s="1"/>
      <c r="CZ2502" s="1"/>
      <c r="DA2502" s="1"/>
      <c r="DB2502" s="1"/>
      <c r="DC2502" s="1"/>
      <c r="DD2502" s="1"/>
      <c r="DE2502" s="1"/>
      <c r="DF2502" s="1"/>
      <c r="DG2502" s="1"/>
      <c r="DH2502" s="1"/>
      <c r="DI2502" s="1"/>
      <c r="DJ2502" s="1"/>
      <c r="DK2502" s="1"/>
      <c r="DL2502" s="1"/>
      <c r="DM2502" s="1"/>
      <c r="DN2502" s="1"/>
      <c r="DO2502" s="1"/>
      <c r="DP2502" s="1"/>
      <c r="DQ2502" s="1"/>
      <c r="DR2502" s="1"/>
      <c r="DS2502" s="1"/>
      <c r="DT2502" s="1"/>
      <c r="DU2502" s="1"/>
      <c r="DV2502" s="1"/>
      <c r="DW2502" s="1"/>
      <c r="DX2502" s="1"/>
      <c r="DY2502" s="1"/>
      <c r="DZ2502" s="1"/>
      <c r="EA2502" s="1"/>
      <c r="EB2502" s="1"/>
      <c r="EC2502" s="1"/>
      <c r="ED2502" s="1"/>
      <c r="EE2502" s="1"/>
      <c r="EF2502" s="1"/>
      <c r="EG2502" s="1"/>
      <c r="EH2502" s="1"/>
      <c r="EI2502" s="1"/>
      <c r="EJ2502" s="1"/>
      <c r="EK2502" s="1"/>
      <c r="EL2502" s="1"/>
      <c r="EM2502" s="1"/>
      <c r="EN2502" s="1"/>
      <c r="EO2502" s="1"/>
      <c r="EP2502" s="1"/>
      <c r="EQ2502" s="1"/>
      <c r="ER2502" s="1"/>
      <c r="ES2502" s="1"/>
      <c r="ET2502" s="1"/>
      <c r="EU2502" s="1"/>
      <c r="EV2502" s="1"/>
      <c r="EW2502" s="1"/>
      <c r="EX2502" s="1"/>
      <c r="EY2502" s="1"/>
      <c r="EZ2502" s="1"/>
      <c r="FA2502" s="1"/>
      <c r="FB2502" s="1"/>
      <c r="FC2502" s="1"/>
      <c r="FD2502" s="1"/>
      <c r="FE2502" s="1"/>
      <c r="FF2502" s="1"/>
      <c r="FG2502" s="1"/>
      <c r="FH2502" s="1"/>
      <c r="FI2502" s="1"/>
      <c r="FJ2502" s="1"/>
      <c r="FK2502" s="1"/>
      <c r="FL2502" s="1"/>
      <c r="FM2502" s="1"/>
      <c r="FN2502" s="1"/>
      <c r="FO2502" s="1"/>
      <c r="FP2502" s="1"/>
      <c r="FQ2502" s="1"/>
      <c r="FR2502" s="1"/>
      <c r="FS2502" s="1"/>
      <c r="FT2502" s="1"/>
      <c r="FU2502" s="1"/>
      <c r="FV2502" s="1"/>
      <c r="FW2502" s="1"/>
      <c r="FX2502" s="1"/>
      <c r="FY2502" s="1"/>
      <c r="FZ2502" s="1"/>
      <c r="GA2502" s="1"/>
      <c r="GB2502" s="1"/>
      <c r="GC2502" s="1"/>
      <c r="GD2502" s="1"/>
      <c r="GE2502" s="1"/>
      <c r="GF2502" s="1"/>
      <c r="GG2502" s="1"/>
      <c r="GH2502" s="1"/>
      <c r="GI2502" s="1"/>
      <c r="GJ2502" s="1"/>
      <c r="GK2502" s="1"/>
      <c r="GL2502" s="1"/>
      <c r="GM2502" s="1"/>
      <c r="GN2502" s="1"/>
      <c r="GO2502" s="1"/>
      <c r="GP2502" s="1"/>
      <c r="GQ2502" s="1"/>
      <c r="GR2502" s="1"/>
      <c r="GS2502" s="1"/>
      <c r="GT2502" s="1"/>
      <c r="GU2502" s="1"/>
      <c r="GV2502" s="1"/>
      <c r="GW2502" s="1"/>
      <c r="GX2502" s="1"/>
      <c r="GY2502" s="1"/>
      <c r="GZ2502" s="1"/>
      <c r="HA2502" s="1"/>
      <c r="HB2502" s="1"/>
      <c r="HC2502" s="1"/>
      <c r="HD2502" s="1"/>
      <c r="HE2502" s="1"/>
      <c r="HF2502" s="1"/>
      <c r="HG2502" s="1"/>
      <c r="HH2502" s="1"/>
      <c r="HI2502" s="1"/>
      <c r="HJ2502" s="1"/>
      <c r="HK2502" s="1"/>
      <c r="HL2502" s="1"/>
      <c r="HM2502" s="1"/>
      <c r="HN2502" s="1"/>
      <c r="HO2502" s="1"/>
      <c r="HP2502" s="1"/>
      <c r="HQ2502" s="1"/>
    </row>
    <row r="2503" spans="1:225" ht="15.75" customHeight="1" x14ac:dyDescent="0.35">
      <c r="A2503" s="257"/>
      <c r="B2503" s="257"/>
      <c r="C2503" s="260"/>
      <c r="D2503" s="263"/>
      <c r="E2503" s="263"/>
      <c r="F2503" s="266"/>
      <c r="G2503" s="257"/>
      <c r="H2503" s="159" t="s">
        <v>74</v>
      </c>
      <c r="I2503" s="158">
        <f>K2503*D2502*70/100</f>
        <v>1797494.93</v>
      </c>
      <c r="J2503" s="158">
        <f>I2503/D2502</f>
        <v>5166.7</v>
      </c>
      <c r="K2503" s="158">
        <v>7381</v>
      </c>
      <c r="L2503" s="1"/>
      <c r="M2503" s="1"/>
      <c r="N2503" s="1"/>
      <c r="O2503" s="1"/>
      <c r="P2503" s="1"/>
      <c r="Q2503" s="1"/>
      <c r="R2503" s="1"/>
      <c r="S2503" s="1"/>
      <c r="T2503" s="1"/>
      <c r="U2503" s="1"/>
      <c r="V2503" s="1"/>
      <c r="W2503" s="1"/>
      <c r="X2503" s="1"/>
      <c r="Y2503" s="1"/>
      <c r="Z2503" s="1"/>
      <c r="AA2503" s="1"/>
      <c r="AB2503" s="1"/>
      <c r="AC2503" s="1"/>
      <c r="AD2503" s="1"/>
      <c r="AE2503" s="1"/>
      <c r="AF2503" s="1"/>
      <c r="AG2503" s="1"/>
      <c r="AH2503" s="1"/>
      <c r="AI2503" s="1"/>
      <c r="AJ2503" s="1"/>
      <c r="AK2503" s="1"/>
      <c r="AL2503" s="1"/>
      <c r="AM2503" s="1"/>
      <c r="AN2503" s="1"/>
      <c r="AO2503" s="1"/>
      <c r="AP2503" s="1"/>
      <c r="AQ2503" s="1"/>
      <c r="AR2503" s="1"/>
      <c r="AS2503" s="1"/>
      <c r="AT2503" s="1"/>
      <c r="AU2503" s="1"/>
      <c r="AV2503" s="1"/>
      <c r="AW2503" s="1"/>
      <c r="AX2503" s="1"/>
      <c r="AY2503" s="1"/>
      <c r="AZ2503" s="1"/>
      <c r="BA2503" s="1"/>
      <c r="BB2503" s="1"/>
      <c r="BC2503" s="1"/>
      <c r="BD2503" s="1"/>
      <c r="BE2503" s="1"/>
      <c r="BF2503" s="1"/>
      <c r="BG2503" s="1"/>
      <c r="BH2503" s="1"/>
      <c r="BI2503" s="1"/>
      <c r="BJ2503" s="1"/>
      <c r="BK2503" s="1"/>
      <c r="BL2503" s="1"/>
      <c r="BM2503" s="1"/>
      <c r="BN2503" s="1"/>
      <c r="BO2503" s="1"/>
      <c r="BP2503" s="1"/>
      <c r="BQ2503" s="1"/>
      <c r="BR2503" s="1"/>
      <c r="BS2503" s="1"/>
      <c r="BT2503" s="1"/>
      <c r="BU2503" s="1"/>
      <c r="BV2503" s="1"/>
      <c r="BW2503" s="1"/>
      <c r="BX2503" s="1"/>
      <c r="BY2503" s="1"/>
      <c r="BZ2503" s="1"/>
      <c r="CA2503" s="1"/>
      <c r="CB2503" s="1"/>
      <c r="CC2503" s="1"/>
      <c r="CD2503" s="1"/>
      <c r="CE2503" s="1"/>
      <c r="CF2503" s="1"/>
      <c r="CG2503" s="1"/>
      <c r="CH2503" s="1"/>
      <c r="CI2503" s="1"/>
      <c r="CJ2503" s="1"/>
      <c r="CK2503" s="1"/>
      <c r="CL2503" s="1"/>
      <c r="CM2503" s="1"/>
      <c r="CN2503" s="1"/>
      <c r="CO2503" s="1"/>
      <c r="CP2503" s="1"/>
      <c r="CQ2503" s="1"/>
      <c r="CR2503" s="1"/>
      <c r="CS2503" s="1"/>
      <c r="CT2503" s="1"/>
      <c r="CU2503" s="1"/>
      <c r="CV2503" s="1"/>
      <c r="CW2503" s="1"/>
      <c r="CX2503" s="1"/>
      <c r="CY2503" s="1"/>
      <c r="CZ2503" s="1"/>
      <c r="DA2503" s="1"/>
      <c r="DB2503" s="1"/>
      <c r="DC2503" s="1"/>
      <c r="DD2503" s="1"/>
      <c r="DE2503" s="1"/>
      <c r="DF2503" s="1"/>
      <c r="DG2503" s="1"/>
      <c r="DH2503" s="1"/>
      <c r="DI2503" s="1"/>
      <c r="DJ2503" s="1"/>
      <c r="DK2503" s="1"/>
      <c r="DL2503" s="1"/>
      <c r="DM2503" s="1"/>
      <c r="DN2503" s="1"/>
      <c r="DO2503" s="1"/>
      <c r="DP2503" s="1"/>
      <c r="DQ2503" s="1"/>
      <c r="DR2503" s="1"/>
      <c r="DS2503" s="1"/>
      <c r="DT2503" s="1"/>
      <c r="DU2503" s="1"/>
      <c r="DV2503" s="1"/>
      <c r="DW2503" s="1"/>
      <c r="DX2503" s="1"/>
      <c r="DY2503" s="1"/>
      <c r="DZ2503" s="1"/>
      <c r="EA2503" s="1"/>
      <c r="EB2503" s="1"/>
      <c r="EC2503" s="1"/>
      <c r="ED2503" s="1"/>
      <c r="EE2503" s="1"/>
      <c r="EF2503" s="1"/>
      <c r="EG2503" s="1"/>
      <c r="EH2503" s="1"/>
      <c r="EI2503" s="1"/>
      <c r="EJ2503" s="1"/>
      <c r="EK2503" s="1"/>
      <c r="EL2503" s="1"/>
      <c r="EM2503" s="1"/>
      <c r="EN2503" s="1"/>
      <c r="EO2503" s="1"/>
      <c r="EP2503" s="1"/>
      <c r="EQ2503" s="1"/>
      <c r="ER2503" s="1"/>
      <c r="ES2503" s="1"/>
      <c r="ET2503" s="1"/>
      <c r="EU2503" s="1"/>
      <c r="EV2503" s="1"/>
      <c r="EW2503" s="1"/>
      <c r="EX2503" s="1"/>
      <c r="EY2503" s="1"/>
      <c r="EZ2503" s="1"/>
      <c r="FA2503" s="1"/>
      <c r="FB2503" s="1"/>
      <c r="FC2503" s="1"/>
      <c r="FD2503" s="1"/>
      <c r="FE2503" s="1"/>
      <c r="FF2503" s="1"/>
      <c r="FG2503" s="1"/>
      <c r="FH2503" s="1"/>
      <c r="FI2503" s="1"/>
      <c r="FJ2503" s="1"/>
      <c r="FK2503" s="1"/>
      <c r="FL2503" s="1"/>
      <c r="FM2503" s="1"/>
      <c r="FN2503" s="1"/>
      <c r="FO2503" s="1"/>
      <c r="FP2503" s="1"/>
      <c r="FQ2503" s="1"/>
      <c r="FR2503" s="1"/>
      <c r="FS2503" s="1"/>
      <c r="FT2503" s="1"/>
      <c r="FU2503" s="1"/>
      <c r="FV2503" s="1"/>
      <c r="FW2503" s="1"/>
      <c r="FX2503" s="1"/>
      <c r="FY2503" s="1"/>
      <c r="FZ2503" s="1"/>
      <c r="GA2503" s="1"/>
      <c r="GB2503" s="1"/>
      <c r="GC2503" s="1"/>
      <c r="GD2503" s="1"/>
      <c r="GE2503" s="1"/>
      <c r="GF2503" s="1"/>
      <c r="GG2503" s="1"/>
      <c r="GH2503" s="1"/>
      <c r="GI2503" s="1"/>
      <c r="GJ2503" s="1"/>
      <c r="GK2503" s="1"/>
      <c r="GL2503" s="1"/>
      <c r="GM2503" s="1"/>
      <c r="GN2503" s="1"/>
      <c r="GO2503" s="1"/>
      <c r="GP2503" s="1"/>
      <c r="GQ2503" s="1"/>
      <c r="GR2503" s="1"/>
      <c r="GS2503" s="1"/>
      <c r="GT2503" s="1"/>
      <c r="GU2503" s="1"/>
      <c r="GV2503" s="1"/>
      <c r="GW2503" s="1"/>
      <c r="GX2503" s="1"/>
      <c r="GY2503" s="1"/>
      <c r="GZ2503" s="1"/>
      <c r="HA2503" s="1"/>
      <c r="HB2503" s="1"/>
      <c r="HC2503" s="1"/>
      <c r="HD2503" s="1"/>
      <c r="HE2503" s="1"/>
      <c r="HF2503" s="1"/>
      <c r="HG2503" s="1"/>
      <c r="HH2503" s="1"/>
      <c r="HI2503" s="1"/>
      <c r="HJ2503" s="1"/>
      <c r="HK2503" s="1"/>
      <c r="HL2503" s="1"/>
      <c r="HM2503" s="1"/>
      <c r="HN2503" s="1"/>
      <c r="HO2503" s="1"/>
      <c r="HP2503" s="1"/>
      <c r="HQ2503" s="1"/>
    </row>
    <row r="2504" spans="1:225" ht="15.75" customHeight="1" x14ac:dyDescent="0.35">
      <c r="A2504" s="258"/>
      <c r="B2504" s="258"/>
      <c r="C2504" s="261"/>
      <c r="D2504" s="264"/>
      <c r="E2504" s="264"/>
      <c r="F2504" s="267"/>
      <c r="G2504" s="258"/>
      <c r="H2504" s="159" t="s">
        <v>76</v>
      </c>
      <c r="I2504" s="158">
        <f>K2504*D2502</f>
        <v>54968.2</v>
      </c>
      <c r="J2504" s="158">
        <f>I2504/D2502</f>
        <v>158</v>
      </c>
      <c r="K2504" s="158">
        <v>158</v>
      </c>
      <c r="L2504" s="1"/>
      <c r="M2504" s="1"/>
      <c r="N2504" s="1"/>
      <c r="O2504" s="1"/>
      <c r="P2504" s="1"/>
      <c r="Q2504" s="1"/>
      <c r="R2504" s="1"/>
      <c r="S2504" s="1"/>
      <c r="T2504" s="1"/>
      <c r="U2504" s="1"/>
      <c r="V2504" s="1"/>
      <c r="W2504" s="1"/>
      <c r="X2504" s="1"/>
      <c r="Y2504" s="1"/>
      <c r="Z2504" s="1"/>
      <c r="AA2504" s="1"/>
      <c r="AB2504" s="1"/>
      <c r="AC2504" s="1"/>
      <c r="AD2504" s="1"/>
      <c r="AE2504" s="1"/>
      <c r="AF2504" s="1"/>
      <c r="AG2504" s="1"/>
      <c r="AH2504" s="1"/>
      <c r="AI2504" s="1"/>
      <c r="AJ2504" s="1"/>
      <c r="AK2504" s="1"/>
      <c r="AL2504" s="1"/>
      <c r="AM2504" s="1"/>
      <c r="AN2504" s="1"/>
      <c r="AO2504" s="1"/>
      <c r="AP2504" s="1"/>
      <c r="AQ2504" s="1"/>
      <c r="AR2504" s="1"/>
      <c r="AS2504" s="1"/>
      <c r="AT2504" s="1"/>
      <c r="AU2504" s="1"/>
      <c r="AV2504" s="1"/>
      <c r="AW2504" s="1"/>
      <c r="AX2504" s="1"/>
      <c r="AY2504" s="1"/>
      <c r="AZ2504" s="1"/>
      <c r="BA2504" s="1"/>
      <c r="BB2504" s="1"/>
      <c r="BC2504" s="1"/>
      <c r="BD2504" s="1"/>
      <c r="BE2504" s="1"/>
      <c r="BF2504" s="1"/>
      <c r="BG2504" s="1"/>
      <c r="BH2504" s="1"/>
      <c r="BI2504" s="1"/>
      <c r="BJ2504" s="1"/>
      <c r="BK2504" s="1"/>
      <c r="BL2504" s="1"/>
      <c r="BM2504" s="1"/>
      <c r="BN2504" s="1"/>
      <c r="BO2504" s="1"/>
      <c r="BP2504" s="1"/>
      <c r="BQ2504" s="1"/>
      <c r="BR2504" s="1"/>
      <c r="BS2504" s="1"/>
      <c r="BT2504" s="1"/>
      <c r="BU2504" s="1"/>
      <c r="BV2504" s="1"/>
      <c r="BW2504" s="1"/>
      <c r="BX2504" s="1"/>
      <c r="BY2504" s="1"/>
      <c r="BZ2504" s="1"/>
      <c r="CA2504" s="1"/>
      <c r="CB2504" s="1"/>
      <c r="CC2504" s="1"/>
      <c r="CD2504" s="1"/>
      <c r="CE2504" s="1"/>
      <c r="CF2504" s="1"/>
      <c r="CG2504" s="1"/>
      <c r="CH2504" s="1"/>
      <c r="CI2504" s="1"/>
      <c r="CJ2504" s="1"/>
      <c r="CK2504" s="1"/>
      <c r="CL2504" s="1"/>
      <c r="CM2504" s="1"/>
      <c r="CN2504" s="1"/>
      <c r="CO2504" s="1"/>
      <c r="CP2504" s="1"/>
      <c r="CQ2504" s="1"/>
      <c r="CR2504" s="1"/>
      <c r="CS2504" s="1"/>
      <c r="CT2504" s="1"/>
      <c r="CU2504" s="1"/>
      <c r="CV2504" s="1"/>
      <c r="CW2504" s="1"/>
      <c r="CX2504" s="1"/>
      <c r="CY2504" s="1"/>
      <c r="CZ2504" s="1"/>
      <c r="DA2504" s="1"/>
      <c r="DB2504" s="1"/>
      <c r="DC2504" s="1"/>
      <c r="DD2504" s="1"/>
      <c r="DE2504" s="1"/>
      <c r="DF2504" s="1"/>
      <c r="DG2504" s="1"/>
      <c r="DH2504" s="1"/>
      <c r="DI2504" s="1"/>
      <c r="DJ2504" s="1"/>
      <c r="DK2504" s="1"/>
      <c r="DL2504" s="1"/>
      <c r="DM2504" s="1"/>
      <c r="DN2504" s="1"/>
      <c r="DO2504" s="1"/>
      <c r="DP2504" s="1"/>
      <c r="DQ2504" s="1"/>
      <c r="DR2504" s="1"/>
      <c r="DS2504" s="1"/>
      <c r="DT2504" s="1"/>
      <c r="DU2504" s="1"/>
      <c r="DV2504" s="1"/>
      <c r="DW2504" s="1"/>
      <c r="DX2504" s="1"/>
      <c r="DY2504" s="1"/>
      <c r="DZ2504" s="1"/>
      <c r="EA2504" s="1"/>
      <c r="EB2504" s="1"/>
      <c r="EC2504" s="1"/>
      <c r="ED2504" s="1"/>
      <c r="EE2504" s="1"/>
      <c r="EF2504" s="1"/>
      <c r="EG2504" s="1"/>
      <c r="EH2504" s="1"/>
      <c r="EI2504" s="1"/>
      <c r="EJ2504" s="1"/>
      <c r="EK2504" s="1"/>
      <c r="EL2504" s="1"/>
      <c r="EM2504" s="1"/>
      <c r="EN2504" s="1"/>
      <c r="EO2504" s="1"/>
      <c r="EP2504" s="1"/>
      <c r="EQ2504" s="1"/>
      <c r="ER2504" s="1"/>
      <c r="ES2504" s="1"/>
      <c r="ET2504" s="1"/>
      <c r="EU2504" s="1"/>
      <c r="EV2504" s="1"/>
      <c r="EW2504" s="1"/>
      <c r="EX2504" s="1"/>
      <c r="EY2504" s="1"/>
      <c r="EZ2504" s="1"/>
      <c r="FA2504" s="1"/>
      <c r="FB2504" s="1"/>
      <c r="FC2504" s="1"/>
      <c r="FD2504" s="1"/>
      <c r="FE2504" s="1"/>
      <c r="FF2504" s="1"/>
      <c r="FG2504" s="1"/>
      <c r="FH2504" s="1"/>
      <c r="FI2504" s="1"/>
      <c r="FJ2504" s="1"/>
      <c r="FK2504" s="1"/>
      <c r="FL2504" s="1"/>
      <c r="FM2504" s="1"/>
      <c r="FN2504" s="1"/>
      <c r="FO2504" s="1"/>
      <c r="FP2504" s="1"/>
      <c r="FQ2504" s="1"/>
      <c r="FR2504" s="1"/>
      <c r="FS2504" s="1"/>
      <c r="FT2504" s="1"/>
      <c r="FU2504" s="1"/>
      <c r="FV2504" s="1"/>
      <c r="FW2504" s="1"/>
      <c r="FX2504" s="1"/>
      <c r="FY2504" s="1"/>
      <c r="FZ2504" s="1"/>
      <c r="GA2504" s="1"/>
      <c r="GB2504" s="1"/>
      <c r="GC2504" s="1"/>
      <c r="GD2504" s="1"/>
      <c r="GE2504" s="1"/>
      <c r="GF2504" s="1"/>
      <c r="GG2504" s="1"/>
      <c r="GH2504" s="1"/>
      <c r="GI2504" s="1"/>
      <c r="GJ2504" s="1"/>
      <c r="GK2504" s="1"/>
      <c r="GL2504" s="1"/>
      <c r="GM2504" s="1"/>
      <c r="GN2504" s="1"/>
      <c r="GO2504" s="1"/>
      <c r="GP2504" s="1"/>
      <c r="GQ2504" s="1"/>
      <c r="GR2504" s="1"/>
      <c r="GS2504" s="1"/>
      <c r="GT2504" s="1"/>
      <c r="GU2504" s="1"/>
      <c r="GV2504" s="1"/>
      <c r="GW2504" s="1"/>
      <c r="GX2504" s="1"/>
      <c r="GY2504" s="1"/>
      <c r="GZ2504" s="1"/>
      <c r="HA2504" s="1"/>
      <c r="HB2504" s="1"/>
      <c r="HC2504" s="1"/>
      <c r="HD2504" s="1"/>
      <c r="HE2504" s="1"/>
      <c r="HF2504" s="1"/>
      <c r="HG2504" s="1"/>
      <c r="HH2504" s="1"/>
      <c r="HI2504" s="1"/>
      <c r="HJ2504" s="1"/>
      <c r="HK2504" s="1"/>
      <c r="HL2504" s="1"/>
      <c r="HM2504" s="1"/>
      <c r="HN2504" s="1"/>
      <c r="HO2504" s="1"/>
      <c r="HP2504" s="1"/>
      <c r="HQ2504" s="1"/>
    </row>
    <row r="2505" spans="1:225" ht="15.75" customHeight="1" x14ac:dyDescent="0.35">
      <c r="A2505" s="153" t="s">
        <v>41</v>
      </c>
      <c r="B2505" s="147"/>
      <c r="C2505" s="73"/>
      <c r="D2505" s="125">
        <f>D2506</f>
        <v>482.1</v>
      </c>
      <c r="E2505" s="133"/>
      <c r="F2505" s="133"/>
      <c r="G2505" s="125"/>
      <c r="H2505" s="162"/>
      <c r="I2505" s="158">
        <f>I2506</f>
        <v>3634551.9</v>
      </c>
      <c r="J2505" s="158"/>
      <c r="K2505" s="158"/>
      <c r="L2505" s="8"/>
      <c r="M2505" s="8"/>
      <c r="N2505" s="8"/>
      <c r="O2505" s="8"/>
      <c r="P2505" s="8"/>
      <c r="Q2505" s="8"/>
      <c r="R2505" s="8"/>
      <c r="S2505" s="8"/>
      <c r="T2505" s="8"/>
      <c r="U2505" s="8"/>
      <c r="V2505" s="8"/>
      <c r="W2505" s="8"/>
      <c r="X2505" s="1"/>
      <c r="Y2505" s="1"/>
      <c r="Z2505" s="1"/>
      <c r="AA2505" s="1"/>
      <c r="AB2505" s="1"/>
      <c r="AC2505" s="1"/>
      <c r="AD2505" s="1"/>
      <c r="AE2505" s="1"/>
      <c r="AF2505" s="1"/>
      <c r="AG2505" s="1"/>
      <c r="AH2505" s="1"/>
      <c r="AI2505" s="1"/>
      <c r="AJ2505" s="1"/>
      <c r="AK2505" s="1"/>
      <c r="AL2505" s="1"/>
      <c r="AM2505" s="1"/>
      <c r="AN2505" s="1"/>
      <c r="AO2505" s="1"/>
      <c r="AP2505" s="1"/>
      <c r="AQ2505" s="1"/>
      <c r="AR2505" s="1"/>
      <c r="AS2505" s="1"/>
      <c r="AT2505" s="1"/>
      <c r="AU2505" s="1"/>
      <c r="AV2505" s="1"/>
      <c r="AW2505" s="1"/>
      <c r="AX2505" s="1"/>
      <c r="AY2505" s="1"/>
      <c r="AZ2505" s="1"/>
      <c r="BA2505" s="1"/>
      <c r="BB2505" s="1"/>
      <c r="BC2505" s="1"/>
      <c r="BD2505" s="1"/>
      <c r="BE2505" s="1"/>
      <c r="BF2505" s="1"/>
      <c r="BG2505" s="1"/>
      <c r="BH2505" s="1"/>
      <c r="BI2505" s="1"/>
      <c r="BJ2505" s="1"/>
      <c r="BK2505" s="1"/>
      <c r="BL2505" s="1"/>
      <c r="BM2505" s="1"/>
      <c r="BN2505" s="1"/>
      <c r="BO2505" s="1"/>
      <c r="BP2505" s="1"/>
      <c r="BQ2505" s="1"/>
      <c r="BR2505" s="1"/>
      <c r="BS2505" s="1"/>
      <c r="BT2505" s="1"/>
      <c r="BU2505" s="1"/>
      <c r="BV2505" s="1"/>
      <c r="BW2505" s="1"/>
      <c r="BX2505" s="1"/>
      <c r="BY2505" s="1"/>
      <c r="BZ2505" s="1"/>
      <c r="CA2505" s="1"/>
      <c r="CB2505" s="1"/>
      <c r="CC2505" s="1"/>
      <c r="CD2505" s="1"/>
      <c r="CE2505" s="1"/>
      <c r="CF2505" s="1"/>
      <c r="CG2505" s="1"/>
      <c r="CH2505" s="1"/>
      <c r="CI2505" s="1"/>
      <c r="CJ2505" s="1"/>
      <c r="CK2505" s="1"/>
      <c r="CL2505" s="1"/>
      <c r="CM2505" s="1"/>
      <c r="CN2505" s="1"/>
      <c r="CO2505" s="1"/>
      <c r="CP2505" s="1"/>
      <c r="CQ2505" s="1"/>
      <c r="CR2505" s="1"/>
      <c r="CS2505" s="1"/>
      <c r="CT2505" s="1"/>
      <c r="CU2505" s="1"/>
      <c r="CV2505" s="1"/>
      <c r="CW2505" s="1"/>
      <c r="CX2505" s="1"/>
      <c r="CY2505" s="1"/>
      <c r="CZ2505" s="1"/>
      <c r="DA2505" s="1"/>
      <c r="DB2505" s="1"/>
      <c r="DC2505" s="1"/>
      <c r="DD2505" s="1"/>
      <c r="DE2505" s="1"/>
      <c r="DF2505" s="1"/>
      <c r="DG2505" s="1"/>
      <c r="DH2505" s="1"/>
      <c r="DI2505" s="1"/>
      <c r="DJ2505" s="1"/>
      <c r="DK2505" s="1"/>
      <c r="DL2505" s="1"/>
      <c r="DM2505" s="1"/>
      <c r="DN2505" s="1"/>
      <c r="DO2505" s="1"/>
      <c r="DP2505" s="1"/>
      <c r="DQ2505" s="1"/>
      <c r="DR2505" s="1"/>
      <c r="DS2505" s="1"/>
      <c r="DT2505" s="1"/>
      <c r="DU2505" s="1"/>
      <c r="DV2505" s="1"/>
      <c r="DW2505" s="1"/>
      <c r="DX2505" s="1"/>
      <c r="DY2505" s="1"/>
      <c r="DZ2505" s="1"/>
      <c r="EA2505" s="1"/>
      <c r="EB2505" s="1"/>
      <c r="EC2505" s="1"/>
      <c r="ED2505" s="1"/>
      <c r="EE2505" s="1"/>
      <c r="EF2505" s="1"/>
      <c r="EG2505" s="1"/>
      <c r="EH2505" s="1"/>
      <c r="EI2505" s="1"/>
      <c r="EJ2505" s="1"/>
      <c r="EK2505" s="1"/>
      <c r="EL2505" s="1"/>
      <c r="EM2505" s="1"/>
      <c r="EN2505" s="1"/>
      <c r="EO2505" s="1"/>
      <c r="EP2505" s="1"/>
      <c r="EQ2505" s="1"/>
      <c r="ER2505" s="1"/>
      <c r="ES2505" s="1"/>
      <c r="ET2505" s="1"/>
      <c r="EU2505" s="1"/>
      <c r="EV2505" s="1"/>
      <c r="EW2505" s="1"/>
      <c r="EX2505" s="1"/>
      <c r="EY2505" s="1"/>
      <c r="EZ2505" s="1"/>
      <c r="FA2505" s="1"/>
      <c r="FB2505" s="1"/>
      <c r="FC2505" s="1"/>
      <c r="FD2505" s="1"/>
      <c r="FE2505" s="1"/>
      <c r="FF2505" s="1"/>
      <c r="FG2505" s="1"/>
      <c r="FH2505" s="1"/>
      <c r="FI2505" s="1"/>
      <c r="FJ2505" s="1"/>
      <c r="FK2505" s="1"/>
      <c r="FL2505" s="1"/>
      <c r="FM2505" s="1"/>
      <c r="FN2505" s="1"/>
      <c r="FO2505" s="1"/>
      <c r="FP2505" s="1"/>
      <c r="FQ2505" s="1"/>
      <c r="FR2505" s="1"/>
      <c r="FS2505" s="1"/>
      <c r="FT2505" s="1"/>
      <c r="FU2505" s="1"/>
      <c r="FV2505" s="1"/>
      <c r="FW2505" s="1"/>
      <c r="FX2505" s="1"/>
      <c r="FY2505" s="1"/>
      <c r="FZ2505" s="1"/>
      <c r="GA2505" s="1"/>
      <c r="GB2505" s="1"/>
      <c r="GC2505" s="1"/>
      <c r="GD2505" s="1"/>
      <c r="GE2505" s="1"/>
      <c r="GF2505" s="1"/>
      <c r="GG2505" s="1"/>
      <c r="GH2505" s="1"/>
      <c r="GI2505" s="1"/>
      <c r="GJ2505" s="1"/>
      <c r="GK2505" s="1"/>
      <c r="GL2505" s="1"/>
      <c r="GM2505" s="1"/>
      <c r="GN2505" s="1"/>
      <c r="GO2505" s="1"/>
      <c r="GP2505" s="1"/>
      <c r="GQ2505" s="1"/>
      <c r="GR2505" s="1"/>
      <c r="GS2505" s="1"/>
      <c r="GT2505" s="1"/>
      <c r="GU2505" s="1"/>
      <c r="GV2505" s="1"/>
      <c r="GW2505" s="1"/>
      <c r="GX2505" s="1"/>
      <c r="GY2505" s="1"/>
      <c r="GZ2505" s="1"/>
      <c r="HA2505" s="1"/>
      <c r="HB2505" s="1"/>
      <c r="HC2505" s="1"/>
      <c r="HD2505" s="1"/>
      <c r="HE2505" s="1"/>
      <c r="HF2505" s="1"/>
      <c r="HG2505" s="1"/>
      <c r="HH2505" s="1"/>
      <c r="HI2505" s="1"/>
      <c r="HJ2505" s="1"/>
      <c r="HK2505" s="1"/>
      <c r="HL2505" s="1"/>
      <c r="HM2505" s="1"/>
      <c r="HN2505" s="1"/>
      <c r="HO2505" s="1"/>
      <c r="HP2505" s="92"/>
      <c r="HQ2505" s="92"/>
    </row>
    <row r="2506" spans="1:225" ht="15.75" customHeight="1" x14ac:dyDescent="0.35">
      <c r="A2506" s="256">
        <v>1</v>
      </c>
      <c r="B2506" s="256">
        <v>4886</v>
      </c>
      <c r="C2506" s="259" t="s">
        <v>461</v>
      </c>
      <c r="D2506" s="262">
        <v>482.1</v>
      </c>
      <c r="E2506" s="265" t="s">
        <v>75</v>
      </c>
      <c r="F2506" s="265">
        <v>2</v>
      </c>
      <c r="G2506" s="256" t="s">
        <v>72</v>
      </c>
      <c r="H2506" s="159" t="s">
        <v>704</v>
      </c>
      <c r="I2506" s="158">
        <f>I2507+I2508</f>
        <v>3634551.9</v>
      </c>
      <c r="J2506" s="158">
        <f>J2507+J2508</f>
        <v>7539</v>
      </c>
      <c r="K2506" s="158">
        <f>K2507+K2508</f>
        <v>7539</v>
      </c>
      <c r="L2506" s="1"/>
      <c r="M2506" s="1"/>
      <c r="N2506" s="1"/>
      <c r="O2506" s="1"/>
      <c r="P2506" s="1"/>
      <c r="Q2506" s="1"/>
      <c r="R2506" s="1"/>
      <c r="S2506" s="1"/>
      <c r="T2506" s="1"/>
      <c r="U2506" s="1"/>
      <c r="V2506" s="1"/>
      <c r="W2506" s="1"/>
      <c r="X2506" s="1"/>
      <c r="Y2506" s="1"/>
      <c r="Z2506" s="1"/>
      <c r="AA2506" s="1"/>
      <c r="AB2506" s="1"/>
      <c r="AC2506" s="1"/>
      <c r="AD2506" s="1"/>
      <c r="AE2506" s="1"/>
      <c r="AF2506" s="1"/>
      <c r="AG2506" s="1"/>
      <c r="AH2506" s="1"/>
      <c r="AI2506" s="1"/>
      <c r="AJ2506" s="1"/>
      <c r="AK2506" s="1"/>
      <c r="AL2506" s="1"/>
      <c r="AM2506" s="1"/>
      <c r="AN2506" s="1"/>
      <c r="AO2506" s="1"/>
      <c r="AP2506" s="1"/>
      <c r="AQ2506" s="1"/>
      <c r="AR2506" s="1"/>
      <c r="AS2506" s="1"/>
      <c r="AT2506" s="1"/>
      <c r="AU2506" s="1"/>
      <c r="AV2506" s="1"/>
      <c r="AW2506" s="1"/>
      <c r="AX2506" s="1"/>
      <c r="AY2506" s="1"/>
      <c r="AZ2506" s="1"/>
      <c r="BA2506" s="1"/>
      <c r="BB2506" s="1"/>
      <c r="BC2506" s="1"/>
      <c r="BD2506" s="1"/>
      <c r="BE2506" s="1"/>
      <c r="BF2506" s="1"/>
      <c r="BG2506" s="1"/>
      <c r="BH2506" s="1"/>
      <c r="BI2506" s="1"/>
      <c r="BJ2506" s="1"/>
      <c r="BK2506" s="1"/>
      <c r="BL2506" s="1"/>
      <c r="BM2506" s="1"/>
      <c r="BN2506" s="1"/>
      <c r="BO2506" s="1"/>
      <c r="BP2506" s="1"/>
      <c r="BQ2506" s="1"/>
      <c r="BR2506" s="1"/>
      <c r="BS2506" s="1"/>
      <c r="BT2506" s="1"/>
      <c r="BU2506" s="1"/>
      <c r="BV2506" s="1"/>
      <c r="BW2506" s="1"/>
      <c r="BX2506" s="1"/>
      <c r="BY2506" s="1"/>
      <c r="BZ2506" s="1"/>
      <c r="CA2506" s="1"/>
      <c r="CB2506" s="1"/>
      <c r="CC2506" s="1"/>
      <c r="CD2506" s="1"/>
      <c r="CE2506" s="1"/>
      <c r="CF2506" s="1"/>
      <c r="CG2506" s="1"/>
      <c r="CH2506" s="1"/>
      <c r="CI2506" s="1"/>
      <c r="CJ2506" s="1"/>
      <c r="CK2506" s="1"/>
      <c r="CL2506" s="1"/>
      <c r="CM2506" s="1"/>
      <c r="CN2506" s="1"/>
      <c r="CO2506" s="1"/>
      <c r="CP2506" s="1"/>
      <c r="CQ2506" s="1"/>
      <c r="CR2506" s="1"/>
      <c r="CS2506" s="1"/>
      <c r="CT2506" s="1"/>
      <c r="CU2506" s="1"/>
      <c r="CV2506" s="1"/>
      <c r="CW2506" s="1"/>
      <c r="CX2506" s="1"/>
      <c r="CY2506" s="1"/>
      <c r="CZ2506" s="1"/>
      <c r="DA2506" s="1"/>
      <c r="DB2506" s="1"/>
      <c r="DC2506" s="1"/>
      <c r="DD2506" s="1"/>
      <c r="DE2506" s="1"/>
      <c r="DF2506" s="1"/>
      <c r="DG2506" s="1"/>
      <c r="DH2506" s="1"/>
      <c r="DI2506" s="1"/>
      <c r="DJ2506" s="1"/>
      <c r="DK2506" s="1"/>
      <c r="DL2506" s="1"/>
      <c r="DM2506" s="1"/>
      <c r="DN2506" s="1"/>
      <c r="DO2506" s="1"/>
      <c r="DP2506" s="1"/>
      <c r="DQ2506" s="1"/>
      <c r="DR2506" s="1"/>
      <c r="DS2506" s="1"/>
      <c r="DT2506" s="1"/>
      <c r="DU2506" s="1"/>
      <c r="DV2506" s="1"/>
      <c r="DW2506" s="1"/>
      <c r="DX2506" s="1"/>
      <c r="DY2506" s="1"/>
      <c r="DZ2506" s="1"/>
      <c r="EA2506" s="1"/>
      <c r="EB2506" s="1"/>
      <c r="EC2506" s="1"/>
      <c r="ED2506" s="1"/>
      <c r="EE2506" s="1"/>
      <c r="EF2506" s="1"/>
      <c r="EG2506" s="1"/>
      <c r="EH2506" s="1"/>
      <c r="EI2506" s="1"/>
      <c r="EJ2506" s="1"/>
      <c r="EK2506" s="1"/>
      <c r="EL2506" s="1"/>
      <c r="EM2506" s="1"/>
      <c r="EN2506" s="1"/>
      <c r="EO2506" s="1"/>
      <c r="EP2506" s="1"/>
      <c r="EQ2506" s="1"/>
      <c r="ER2506" s="1"/>
      <c r="ES2506" s="1"/>
      <c r="ET2506" s="1"/>
      <c r="EU2506" s="1"/>
      <c r="EV2506" s="1"/>
      <c r="EW2506" s="1"/>
      <c r="EX2506" s="1"/>
      <c r="EY2506" s="1"/>
      <c r="EZ2506" s="1"/>
      <c r="FA2506" s="1"/>
      <c r="FB2506" s="1"/>
      <c r="FC2506" s="1"/>
      <c r="FD2506" s="1"/>
      <c r="FE2506" s="1"/>
      <c r="FF2506" s="1"/>
      <c r="FG2506" s="1"/>
      <c r="FH2506" s="1"/>
      <c r="FI2506" s="1"/>
      <c r="FJ2506" s="1"/>
      <c r="FK2506" s="1"/>
      <c r="FL2506" s="1"/>
      <c r="FM2506" s="1"/>
      <c r="FN2506" s="1"/>
      <c r="FO2506" s="1"/>
      <c r="FP2506" s="1"/>
      <c r="FQ2506" s="1"/>
      <c r="FR2506" s="1"/>
      <c r="FS2506" s="1"/>
      <c r="FT2506" s="1"/>
      <c r="FU2506" s="1"/>
      <c r="FV2506" s="1"/>
      <c r="FW2506" s="1"/>
      <c r="FX2506" s="1"/>
      <c r="FY2506" s="1"/>
      <c r="FZ2506" s="1"/>
      <c r="GA2506" s="1"/>
      <c r="GB2506" s="1"/>
      <c r="GC2506" s="1"/>
      <c r="GD2506" s="1"/>
      <c r="GE2506" s="1"/>
      <c r="GF2506" s="1"/>
      <c r="GG2506" s="1"/>
      <c r="GH2506" s="1"/>
      <c r="GI2506" s="1"/>
      <c r="GJ2506" s="1"/>
      <c r="GK2506" s="1"/>
      <c r="GL2506" s="1"/>
      <c r="GM2506" s="1"/>
      <c r="GN2506" s="1"/>
      <c r="GO2506" s="1"/>
      <c r="GP2506" s="1"/>
      <c r="GQ2506" s="1"/>
      <c r="GR2506" s="1"/>
      <c r="GS2506" s="1"/>
      <c r="GT2506" s="1"/>
      <c r="GU2506" s="1"/>
      <c r="GV2506" s="1"/>
      <c r="GW2506" s="1"/>
      <c r="GX2506" s="1"/>
      <c r="GY2506" s="1"/>
      <c r="GZ2506" s="1"/>
      <c r="HA2506" s="1"/>
      <c r="HB2506" s="1"/>
      <c r="HC2506" s="1"/>
      <c r="HD2506" s="1"/>
      <c r="HE2506" s="1"/>
      <c r="HF2506" s="1"/>
      <c r="HG2506" s="1"/>
      <c r="HH2506" s="1"/>
      <c r="HI2506" s="1"/>
      <c r="HJ2506" s="1"/>
      <c r="HK2506" s="1"/>
      <c r="HL2506" s="1"/>
      <c r="HM2506" s="1"/>
      <c r="HN2506" s="1"/>
      <c r="HO2506" s="1"/>
      <c r="HP2506" s="1"/>
      <c r="HQ2506" s="1"/>
    </row>
    <row r="2507" spans="1:225" ht="15.75" customHeight="1" x14ac:dyDescent="0.35">
      <c r="A2507" s="257">
        <v>2457.6666666666702</v>
      </c>
      <c r="B2507" s="257"/>
      <c r="C2507" s="260"/>
      <c r="D2507" s="263"/>
      <c r="E2507" s="266"/>
      <c r="F2507" s="266"/>
      <c r="G2507" s="257"/>
      <c r="H2507" s="159" t="s">
        <v>74</v>
      </c>
      <c r="I2507" s="158">
        <f>K2507*D2506</f>
        <v>3558380.1</v>
      </c>
      <c r="J2507" s="158">
        <f>I2507/D2506</f>
        <v>7381</v>
      </c>
      <c r="K2507" s="158">
        <v>7381</v>
      </c>
      <c r="L2507" s="1"/>
      <c r="M2507" s="1"/>
      <c r="N2507" s="1"/>
      <c r="O2507" s="1"/>
      <c r="P2507" s="1"/>
      <c r="Q2507" s="1"/>
      <c r="R2507" s="1"/>
      <c r="S2507" s="1"/>
      <c r="T2507" s="1"/>
      <c r="U2507" s="1"/>
      <c r="V2507" s="1"/>
      <c r="W2507" s="1"/>
      <c r="X2507" s="1"/>
      <c r="Y2507" s="1"/>
      <c r="Z2507" s="1"/>
      <c r="AA2507" s="1"/>
      <c r="AB2507" s="1"/>
      <c r="AC2507" s="1"/>
      <c r="AD2507" s="1"/>
      <c r="AE2507" s="1"/>
      <c r="AF2507" s="1"/>
      <c r="AG2507" s="1"/>
      <c r="AH2507" s="1"/>
      <c r="AI2507" s="1"/>
      <c r="AJ2507" s="1"/>
      <c r="AK2507" s="1"/>
      <c r="AL2507" s="1"/>
      <c r="AM2507" s="1"/>
      <c r="AN2507" s="1"/>
      <c r="AO2507" s="1"/>
      <c r="AP2507" s="1"/>
      <c r="AQ2507" s="1"/>
      <c r="AR2507" s="1"/>
      <c r="AS2507" s="1"/>
      <c r="AT2507" s="1"/>
      <c r="AU2507" s="1"/>
      <c r="AV2507" s="1"/>
      <c r="AW2507" s="1"/>
      <c r="AX2507" s="1"/>
      <c r="AY2507" s="1"/>
      <c r="AZ2507" s="1"/>
      <c r="BA2507" s="1"/>
      <c r="BB2507" s="1"/>
      <c r="BC2507" s="1"/>
      <c r="BD2507" s="1"/>
      <c r="BE2507" s="1"/>
      <c r="BF2507" s="1"/>
      <c r="BG2507" s="1"/>
      <c r="BH2507" s="1"/>
      <c r="BI2507" s="1"/>
      <c r="BJ2507" s="1"/>
      <c r="BK2507" s="1"/>
      <c r="BL2507" s="1"/>
      <c r="BM2507" s="1"/>
      <c r="BN2507" s="1"/>
      <c r="BO2507" s="1"/>
      <c r="BP2507" s="1"/>
      <c r="BQ2507" s="1"/>
      <c r="BR2507" s="1"/>
      <c r="BS2507" s="1"/>
      <c r="BT2507" s="1"/>
      <c r="BU2507" s="1"/>
      <c r="BV2507" s="1"/>
      <c r="BW2507" s="1"/>
      <c r="BX2507" s="1"/>
      <c r="BY2507" s="1"/>
      <c r="BZ2507" s="1"/>
      <c r="CA2507" s="1"/>
      <c r="CB2507" s="1"/>
      <c r="CC2507" s="1"/>
      <c r="CD2507" s="1"/>
      <c r="CE2507" s="1"/>
      <c r="CF2507" s="1"/>
      <c r="CG2507" s="1"/>
      <c r="CH2507" s="1"/>
      <c r="CI2507" s="1"/>
      <c r="CJ2507" s="1"/>
      <c r="CK2507" s="1"/>
      <c r="CL2507" s="1"/>
      <c r="CM2507" s="1"/>
      <c r="CN2507" s="1"/>
      <c r="CO2507" s="1"/>
      <c r="CP2507" s="1"/>
      <c r="CQ2507" s="1"/>
      <c r="CR2507" s="1"/>
      <c r="CS2507" s="1"/>
      <c r="CT2507" s="1"/>
      <c r="CU2507" s="1"/>
      <c r="CV2507" s="1"/>
      <c r="CW2507" s="1"/>
      <c r="CX2507" s="1"/>
      <c r="CY2507" s="1"/>
      <c r="CZ2507" s="1"/>
      <c r="DA2507" s="1"/>
      <c r="DB2507" s="1"/>
      <c r="DC2507" s="1"/>
      <c r="DD2507" s="1"/>
      <c r="DE2507" s="1"/>
      <c r="DF2507" s="1"/>
      <c r="DG2507" s="1"/>
      <c r="DH2507" s="1"/>
      <c r="DI2507" s="1"/>
      <c r="DJ2507" s="1"/>
      <c r="DK2507" s="1"/>
      <c r="DL2507" s="1"/>
      <c r="DM2507" s="1"/>
      <c r="DN2507" s="1"/>
      <c r="DO2507" s="1"/>
      <c r="DP2507" s="1"/>
      <c r="DQ2507" s="1"/>
      <c r="DR2507" s="1"/>
      <c r="DS2507" s="1"/>
      <c r="DT2507" s="1"/>
      <c r="DU2507" s="1"/>
      <c r="DV2507" s="1"/>
      <c r="DW2507" s="1"/>
      <c r="DX2507" s="1"/>
      <c r="DY2507" s="1"/>
      <c r="DZ2507" s="1"/>
      <c r="EA2507" s="1"/>
      <c r="EB2507" s="1"/>
      <c r="EC2507" s="1"/>
      <c r="ED2507" s="1"/>
      <c r="EE2507" s="1"/>
      <c r="EF2507" s="1"/>
      <c r="EG2507" s="1"/>
      <c r="EH2507" s="1"/>
      <c r="EI2507" s="1"/>
      <c r="EJ2507" s="1"/>
      <c r="EK2507" s="1"/>
      <c r="EL2507" s="1"/>
      <c r="EM2507" s="1"/>
      <c r="EN2507" s="1"/>
      <c r="EO2507" s="1"/>
      <c r="EP2507" s="1"/>
      <c r="EQ2507" s="1"/>
      <c r="ER2507" s="1"/>
      <c r="ES2507" s="1"/>
      <c r="ET2507" s="1"/>
      <c r="EU2507" s="1"/>
      <c r="EV2507" s="1"/>
      <c r="EW2507" s="1"/>
      <c r="EX2507" s="1"/>
      <c r="EY2507" s="1"/>
      <c r="EZ2507" s="1"/>
      <c r="FA2507" s="1"/>
      <c r="FB2507" s="1"/>
      <c r="FC2507" s="1"/>
      <c r="FD2507" s="1"/>
      <c r="FE2507" s="1"/>
      <c r="FF2507" s="1"/>
      <c r="FG2507" s="1"/>
      <c r="FH2507" s="1"/>
      <c r="FI2507" s="1"/>
      <c r="FJ2507" s="1"/>
      <c r="FK2507" s="1"/>
      <c r="FL2507" s="1"/>
      <c r="FM2507" s="1"/>
      <c r="FN2507" s="1"/>
      <c r="FO2507" s="1"/>
      <c r="FP2507" s="1"/>
      <c r="FQ2507" s="1"/>
      <c r="FR2507" s="1"/>
      <c r="FS2507" s="1"/>
      <c r="FT2507" s="1"/>
      <c r="FU2507" s="1"/>
      <c r="FV2507" s="1"/>
      <c r="FW2507" s="1"/>
      <c r="FX2507" s="1"/>
      <c r="FY2507" s="1"/>
      <c r="FZ2507" s="1"/>
      <c r="GA2507" s="1"/>
      <c r="GB2507" s="1"/>
      <c r="GC2507" s="1"/>
      <c r="GD2507" s="1"/>
      <c r="GE2507" s="1"/>
      <c r="GF2507" s="1"/>
      <c r="GG2507" s="1"/>
      <c r="GH2507" s="1"/>
      <c r="GI2507" s="1"/>
      <c r="GJ2507" s="1"/>
      <c r="GK2507" s="1"/>
      <c r="GL2507" s="1"/>
      <c r="GM2507" s="1"/>
      <c r="GN2507" s="1"/>
      <c r="GO2507" s="1"/>
      <c r="GP2507" s="1"/>
      <c r="GQ2507" s="1"/>
      <c r="GR2507" s="1"/>
      <c r="GS2507" s="1"/>
      <c r="GT2507" s="1"/>
      <c r="GU2507" s="1"/>
      <c r="GV2507" s="1"/>
      <c r="GW2507" s="1"/>
      <c r="GX2507" s="1"/>
      <c r="GY2507" s="1"/>
      <c r="GZ2507" s="1"/>
      <c r="HA2507" s="1"/>
      <c r="HB2507" s="1"/>
      <c r="HC2507" s="1"/>
      <c r="HD2507" s="1"/>
      <c r="HE2507" s="1"/>
      <c r="HF2507" s="1"/>
      <c r="HG2507" s="1"/>
      <c r="HH2507" s="1"/>
      <c r="HI2507" s="1"/>
      <c r="HJ2507" s="1"/>
      <c r="HK2507" s="1"/>
      <c r="HL2507" s="1"/>
      <c r="HM2507" s="1"/>
      <c r="HN2507" s="1"/>
      <c r="HO2507" s="1"/>
      <c r="HP2507" s="1"/>
      <c r="HQ2507" s="1"/>
    </row>
    <row r="2508" spans="1:225" ht="15.75" customHeight="1" x14ac:dyDescent="0.35">
      <c r="A2508" s="258">
        <v>3024.6666666666702</v>
      </c>
      <c r="B2508" s="258"/>
      <c r="C2508" s="261"/>
      <c r="D2508" s="264"/>
      <c r="E2508" s="267"/>
      <c r="F2508" s="267"/>
      <c r="G2508" s="258"/>
      <c r="H2508" s="159" t="s">
        <v>76</v>
      </c>
      <c r="I2508" s="158">
        <f>K2508*D2506</f>
        <v>76171.8</v>
      </c>
      <c r="J2508" s="158">
        <f>I2508/D2506</f>
        <v>158</v>
      </c>
      <c r="K2508" s="158">
        <v>158</v>
      </c>
      <c r="L2508" s="1"/>
      <c r="M2508" s="1"/>
      <c r="N2508" s="1"/>
      <c r="O2508" s="1"/>
      <c r="P2508" s="1"/>
      <c r="Q2508" s="1"/>
      <c r="R2508" s="1"/>
      <c r="S2508" s="1"/>
      <c r="T2508" s="1"/>
      <c r="U2508" s="1"/>
      <c r="V2508" s="1"/>
      <c r="W2508" s="1"/>
      <c r="X2508" s="1"/>
      <c r="Y2508" s="1"/>
      <c r="Z2508" s="1"/>
      <c r="AA2508" s="1"/>
      <c r="AB2508" s="1"/>
      <c r="AC2508" s="1"/>
      <c r="AD2508" s="1"/>
      <c r="AE2508" s="1"/>
      <c r="AF2508" s="1"/>
      <c r="AG2508" s="1"/>
      <c r="AH2508" s="1"/>
      <c r="AI2508" s="1"/>
      <c r="AJ2508" s="1"/>
      <c r="AK2508" s="1"/>
      <c r="AL2508" s="1"/>
      <c r="AM2508" s="1"/>
      <c r="AN2508" s="1"/>
      <c r="AO2508" s="1"/>
      <c r="AP2508" s="1"/>
      <c r="AQ2508" s="1"/>
      <c r="AR2508" s="1"/>
      <c r="AS2508" s="1"/>
      <c r="AT2508" s="1"/>
      <c r="AU2508" s="1"/>
      <c r="AV2508" s="1"/>
      <c r="AW2508" s="1"/>
      <c r="AX2508" s="1"/>
      <c r="AY2508" s="1"/>
      <c r="AZ2508" s="1"/>
      <c r="BA2508" s="1"/>
      <c r="BB2508" s="1"/>
      <c r="BC2508" s="1"/>
      <c r="BD2508" s="1"/>
      <c r="BE2508" s="1"/>
      <c r="BF2508" s="1"/>
      <c r="BG2508" s="1"/>
      <c r="BH2508" s="1"/>
      <c r="BI2508" s="1"/>
      <c r="BJ2508" s="1"/>
      <c r="BK2508" s="1"/>
      <c r="BL2508" s="1"/>
      <c r="BM2508" s="1"/>
      <c r="BN2508" s="1"/>
      <c r="BO2508" s="1"/>
      <c r="BP2508" s="1"/>
      <c r="BQ2508" s="1"/>
      <c r="BR2508" s="1"/>
      <c r="BS2508" s="1"/>
      <c r="BT2508" s="1"/>
      <c r="BU2508" s="1"/>
      <c r="BV2508" s="1"/>
      <c r="BW2508" s="1"/>
      <c r="BX2508" s="1"/>
      <c r="BY2508" s="1"/>
      <c r="BZ2508" s="1"/>
      <c r="CA2508" s="1"/>
      <c r="CB2508" s="1"/>
      <c r="CC2508" s="1"/>
      <c r="CD2508" s="1"/>
      <c r="CE2508" s="1"/>
      <c r="CF2508" s="1"/>
      <c r="CG2508" s="1"/>
      <c r="CH2508" s="1"/>
      <c r="CI2508" s="1"/>
      <c r="CJ2508" s="1"/>
      <c r="CK2508" s="1"/>
      <c r="CL2508" s="1"/>
      <c r="CM2508" s="1"/>
      <c r="CN2508" s="1"/>
      <c r="CO2508" s="1"/>
      <c r="CP2508" s="1"/>
      <c r="CQ2508" s="1"/>
      <c r="CR2508" s="1"/>
      <c r="CS2508" s="1"/>
      <c r="CT2508" s="1"/>
      <c r="CU2508" s="1"/>
      <c r="CV2508" s="1"/>
      <c r="CW2508" s="1"/>
      <c r="CX2508" s="1"/>
      <c r="CY2508" s="1"/>
      <c r="CZ2508" s="1"/>
      <c r="DA2508" s="1"/>
      <c r="DB2508" s="1"/>
      <c r="DC2508" s="1"/>
      <c r="DD2508" s="1"/>
      <c r="DE2508" s="1"/>
      <c r="DF2508" s="1"/>
      <c r="DG2508" s="1"/>
      <c r="DH2508" s="1"/>
      <c r="DI2508" s="1"/>
      <c r="DJ2508" s="1"/>
      <c r="DK2508" s="1"/>
      <c r="DL2508" s="1"/>
      <c r="DM2508" s="1"/>
      <c r="DN2508" s="1"/>
      <c r="DO2508" s="1"/>
      <c r="DP2508" s="1"/>
      <c r="DQ2508" s="1"/>
      <c r="DR2508" s="1"/>
      <c r="DS2508" s="1"/>
      <c r="DT2508" s="1"/>
      <c r="DU2508" s="1"/>
      <c r="DV2508" s="1"/>
      <c r="DW2508" s="1"/>
      <c r="DX2508" s="1"/>
      <c r="DY2508" s="1"/>
      <c r="DZ2508" s="1"/>
      <c r="EA2508" s="1"/>
      <c r="EB2508" s="1"/>
      <c r="EC2508" s="1"/>
      <c r="ED2508" s="1"/>
      <c r="EE2508" s="1"/>
      <c r="EF2508" s="1"/>
      <c r="EG2508" s="1"/>
      <c r="EH2508" s="1"/>
      <c r="EI2508" s="1"/>
      <c r="EJ2508" s="1"/>
      <c r="EK2508" s="1"/>
      <c r="EL2508" s="1"/>
      <c r="EM2508" s="1"/>
      <c r="EN2508" s="1"/>
      <c r="EO2508" s="1"/>
      <c r="EP2508" s="1"/>
      <c r="EQ2508" s="1"/>
      <c r="ER2508" s="1"/>
      <c r="ES2508" s="1"/>
      <c r="ET2508" s="1"/>
      <c r="EU2508" s="1"/>
      <c r="EV2508" s="1"/>
      <c r="EW2508" s="1"/>
      <c r="EX2508" s="1"/>
      <c r="EY2508" s="1"/>
      <c r="EZ2508" s="1"/>
      <c r="FA2508" s="1"/>
      <c r="FB2508" s="1"/>
      <c r="FC2508" s="1"/>
      <c r="FD2508" s="1"/>
      <c r="FE2508" s="1"/>
      <c r="FF2508" s="1"/>
      <c r="FG2508" s="1"/>
      <c r="FH2508" s="1"/>
      <c r="FI2508" s="1"/>
      <c r="FJ2508" s="1"/>
      <c r="FK2508" s="1"/>
      <c r="FL2508" s="1"/>
      <c r="FM2508" s="1"/>
      <c r="FN2508" s="1"/>
      <c r="FO2508" s="1"/>
      <c r="FP2508" s="1"/>
      <c r="FQ2508" s="1"/>
      <c r="FR2508" s="1"/>
      <c r="FS2508" s="1"/>
      <c r="FT2508" s="1"/>
      <c r="FU2508" s="1"/>
      <c r="FV2508" s="1"/>
      <c r="FW2508" s="1"/>
      <c r="FX2508" s="1"/>
      <c r="FY2508" s="1"/>
      <c r="FZ2508" s="1"/>
      <c r="GA2508" s="1"/>
      <c r="GB2508" s="1"/>
      <c r="GC2508" s="1"/>
      <c r="GD2508" s="1"/>
      <c r="GE2508" s="1"/>
      <c r="GF2508" s="1"/>
      <c r="GG2508" s="1"/>
      <c r="GH2508" s="1"/>
      <c r="GI2508" s="1"/>
      <c r="GJ2508" s="1"/>
      <c r="GK2508" s="1"/>
      <c r="GL2508" s="1"/>
      <c r="GM2508" s="1"/>
      <c r="GN2508" s="1"/>
      <c r="GO2508" s="1"/>
      <c r="GP2508" s="1"/>
      <c r="GQ2508" s="1"/>
      <c r="GR2508" s="1"/>
      <c r="GS2508" s="1"/>
      <c r="GT2508" s="1"/>
      <c r="GU2508" s="1"/>
      <c r="GV2508" s="1"/>
      <c r="GW2508" s="1"/>
      <c r="GX2508" s="1"/>
      <c r="GY2508" s="1"/>
      <c r="GZ2508" s="1"/>
      <c r="HA2508" s="1"/>
      <c r="HB2508" s="1"/>
      <c r="HC2508" s="1"/>
      <c r="HD2508" s="1"/>
      <c r="HE2508" s="1"/>
      <c r="HF2508" s="1"/>
      <c r="HG2508" s="1"/>
      <c r="HH2508" s="1"/>
      <c r="HI2508" s="1"/>
      <c r="HJ2508" s="1"/>
      <c r="HK2508" s="1"/>
      <c r="HL2508" s="1"/>
      <c r="HM2508" s="1"/>
      <c r="HN2508" s="1"/>
      <c r="HO2508" s="1"/>
      <c r="HP2508" s="1"/>
      <c r="HQ2508" s="1"/>
    </row>
    <row r="2509" spans="1:225" ht="15.75" customHeight="1" x14ac:dyDescent="0.35">
      <c r="A2509" s="153" t="s">
        <v>42</v>
      </c>
      <c r="B2509" s="147"/>
      <c r="C2509" s="73"/>
      <c r="D2509" s="142">
        <f>D2510+D2512+D2515</f>
        <v>1199.4000000000001</v>
      </c>
      <c r="E2509" s="51"/>
      <c r="F2509" s="51"/>
      <c r="G2509" s="70"/>
      <c r="H2509" s="70"/>
      <c r="I2509" s="158">
        <f>I2510+I2512+I2515</f>
        <v>3157093.8</v>
      </c>
      <c r="J2509" s="158"/>
      <c r="K2509" s="158"/>
      <c r="L2509" s="8"/>
      <c r="M2509" s="8"/>
      <c r="N2509" s="8"/>
      <c r="O2509" s="8"/>
      <c r="P2509" s="8"/>
      <c r="Q2509" s="8"/>
      <c r="R2509" s="8"/>
      <c r="S2509" s="8"/>
      <c r="T2509" s="8"/>
      <c r="U2509" s="8"/>
      <c r="V2509" s="8"/>
      <c r="W2509" s="8"/>
      <c r="X2509" s="29"/>
      <c r="Y2509" s="29"/>
      <c r="Z2509" s="29"/>
      <c r="AA2509" s="29"/>
      <c r="AB2509" s="29"/>
      <c r="AC2509" s="29"/>
      <c r="AD2509" s="29"/>
      <c r="AE2509" s="29"/>
      <c r="AF2509" s="29"/>
      <c r="AG2509" s="29"/>
      <c r="AH2509" s="29"/>
      <c r="AI2509" s="29"/>
      <c r="AJ2509" s="29"/>
      <c r="AK2509" s="29"/>
      <c r="AL2509" s="29"/>
      <c r="AM2509" s="29"/>
      <c r="AN2509" s="29"/>
      <c r="AO2509" s="29"/>
      <c r="AP2509" s="29"/>
      <c r="AQ2509" s="29"/>
      <c r="AR2509" s="29"/>
      <c r="AS2509" s="29"/>
      <c r="AT2509" s="29"/>
      <c r="AU2509" s="29"/>
      <c r="AV2509" s="29"/>
      <c r="AW2509" s="29"/>
      <c r="AX2509" s="29"/>
      <c r="AY2509" s="29"/>
      <c r="AZ2509" s="29"/>
      <c r="BA2509" s="29"/>
      <c r="BB2509" s="29"/>
      <c r="BC2509" s="29"/>
      <c r="BD2509" s="29"/>
      <c r="BE2509" s="29"/>
      <c r="BF2509" s="29"/>
      <c r="BG2509" s="29"/>
      <c r="BH2509" s="29"/>
      <c r="BI2509" s="29"/>
      <c r="BJ2509" s="29"/>
      <c r="BK2509" s="29"/>
      <c r="BL2509" s="29"/>
      <c r="BM2509" s="29"/>
      <c r="BN2509" s="29"/>
      <c r="BO2509" s="29"/>
      <c r="BP2509" s="29"/>
      <c r="BQ2509" s="29"/>
      <c r="BR2509" s="29"/>
      <c r="BS2509" s="29"/>
      <c r="BT2509" s="29"/>
      <c r="BU2509" s="29"/>
      <c r="BV2509" s="29"/>
      <c r="BW2509" s="29"/>
      <c r="BX2509" s="29"/>
      <c r="BY2509" s="29"/>
      <c r="BZ2509" s="29"/>
      <c r="CA2509" s="29"/>
      <c r="CB2509" s="29"/>
      <c r="CC2509" s="29"/>
      <c r="CD2509" s="29"/>
      <c r="CE2509" s="29"/>
      <c r="CF2509" s="29"/>
      <c r="CG2509" s="29"/>
      <c r="CH2509" s="29"/>
      <c r="CI2509" s="29"/>
      <c r="CJ2509" s="29"/>
      <c r="CK2509" s="29"/>
      <c r="CL2509" s="29"/>
      <c r="CM2509" s="29"/>
      <c r="CN2509" s="29"/>
      <c r="CO2509" s="29"/>
      <c r="CP2509" s="29"/>
      <c r="CQ2509" s="29"/>
      <c r="CR2509" s="29"/>
      <c r="CS2509" s="29"/>
      <c r="CT2509" s="29"/>
      <c r="CU2509" s="29"/>
      <c r="CV2509" s="29"/>
      <c r="CW2509" s="29"/>
      <c r="CX2509" s="29"/>
      <c r="CY2509" s="29"/>
      <c r="CZ2509" s="29"/>
      <c r="DA2509" s="29"/>
      <c r="DB2509" s="29"/>
      <c r="DC2509" s="29"/>
      <c r="DD2509" s="29"/>
      <c r="DE2509" s="29"/>
      <c r="DF2509" s="29"/>
      <c r="DG2509" s="29"/>
      <c r="DH2509" s="29"/>
      <c r="DI2509" s="29"/>
      <c r="DJ2509" s="29"/>
      <c r="DK2509" s="29"/>
      <c r="DL2509" s="29"/>
      <c r="DM2509" s="29"/>
      <c r="DN2509" s="29"/>
      <c r="DO2509" s="29"/>
      <c r="DP2509" s="29"/>
      <c r="DQ2509" s="29"/>
      <c r="DR2509" s="29"/>
      <c r="DS2509" s="29"/>
      <c r="DT2509" s="29"/>
      <c r="DU2509" s="29"/>
      <c r="DV2509" s="29"/>
      <c r="DW2509" s="29"/>
      <c r="DX2509" s="29"/>
      <c r="DY2509" s="29"/>
      <c r="DZ2509" s="29"/>
      <c r="EA2509" s="29"/>
      <c r="EB2509" s="29"/>
      <c r="EC2509" s="29"/>
      <c r="ED2509" s="29"/>
      <c r="EE2509" s="29"/>
      <c r="EF2509" s="29"/>
      <c r="EG2509" s="29"/>
      <c r="EH2509" s="29"/>
      <c r="EI2509" s="29"/>
      <c r="EJ2509" s="29"/>
      <c r="EK2509" s="29"/>
      <c r="EL2509" s="29"/>
      <c r="EM2509" s="29"/>
      <c r="EN2509" s="29"/>
      <c r="EO2509" s="29"/>
      <c r="EP2509" s="29"/>
      <c r="EQ2509" s="29"/>
      <c r="ER2509" s="29"/>
      <c r="ES2509" s="29"/>
      <c r="ET2509" s="29"/>
      <c r="EU2509" s="29"/>
      <c r="EV2509" s="29"/>
      <c r="EW2509" s="29"/>
      <c r="EX2509" s="29"/>
      <c r="EY2509" s="29"/>
      <c r="EZ2509" s="29"/>
      <c r="FA2509" s="29"/>
      <c r="FB2509" s="29"/>
      <c r="FC2509" s="29"/>
      <c r="FD2509" s="29"/>
      <c r="FE2509" s="29"/>
      <c r="FF2509" s="29"/>
      <c r="FG2509" s="29"/>
      <c r="FH2509" s="29"/>
      <c r="FI2509" s="29"/>
      <c r="FJ2509" s="29"/>
      <c r="FK2509" s="29"/>
      <c r="FL2509" s="29"/>
      <c r="FM2509" s="29"/>
      <c r="FN2509" s="29"/>
      <c r="FO2509" s="29"/>
      <c r="FP2509" s="29"/>
      <c r="FQ2509" s="29"/>
      <c r="FR2509" s="29"/>
      <c r="FS2509" s="29"/>
      <c r="FT2509" s="29"/>
      <c r="FU2509" s="29"/>
      <c r="FV2509" s="29"/>
      <c r="FW2509" s="29"/>
      <c r="FX2509" s="29"/>
      <c r="FY2509" s="29"/>
      <c r="FZ2509" s="29"/>
      <c r="GA2509" s="29"/>
      <c r="GB2509" s="29"/>
      <c r="GC2509" s="29"/>
      <c r="GD2509" s="29"/>
      <c r="GE2509" s="29"/>
      <c r="GF2509" s="29"/>
      <c r="GG2509" s="29"/>
      <c r="GH2509" s="29"/>
      <c r="GI2509" s="29"/>
      <c r="GJ2509" s="29"/>
      <c r="GK2509" s="29"/>
      <c r="GL2509" s="29"/>
      <c r="GM2509" s="29"/>
      <c r="GN2509" s="29"/>
      <c r="GO2509" s="29"/>
      <c r="GP2509" s="29"/>
      <c r="GQ2509" s="29"/>
      <c r="GR2509" s="29"/>
      <c r="GS2509" s="29"/>
      <c r="GT2509" s="29"/>
      <c r="GU2509" s="29"/>
      <c r="GV2509" s="29"/>
      <c r="GW2509" s="29"/>
      <c r="GX2509" s="29"/>
      <c r="GY2509" s="29"/>
      <c r="GZ2509" s="29"/>
      <c r="HA2509" s="29"/>
      <c r="HB2509" s="29"/>
      <c r="HC2509" s="29"/>
      <c r="HD2509" s="29"/>
      <c r="HE2509" s="29"/>
      <c r="HF2509" s="29"/>
      <c r="HG2509" s="29"/>
      <c r="HH2509" s="29"/>
      <c r="HI2509" s="29"/>
      <c r="HJ2509" s="29"/>
      <c r="HK2509" s="29"/>
      <c r="HL2509" s="29"/>
      <c r="HM2509" s="29"/>
      <c r="HN2509" s="29"/>
      <c r="HO2509" s="29"/>
      <c r="HP2509" s="92"/>
      <c r="HQ2509" s="92"/>
    </row>
    <row r="2510" spans="1:225" ht="15.75" customHeight="1" x14ac:dyDescent="0.35">
      <c r="A2510" s="256">
        <v>1</v>
      </c>
      <c r="B2510" s="302">
        <v>6812</v>
      </c>
      <c r="C2510" s="259" t="s">
        <v>637</v>
      </c>
      <c r="D2510" s="262">
        <v>400</v>
      </c>
      <c r="E2510" s="265" t="s">
        <v>665</v>
      </c>
      <c r="F2510" s="265">
        <v>2</v>
      </c>
      <c r="G2510" s="256" t="s">
        <v>72</v>
      </c>
      <c r="H2510" s="159" t="s">
        <v>73</v>
      </c>
      <c r="I2510" s="158">
        <f>I2511</f>
        <v>70800</v>
      </c>
      <c r="J2510" s="158">
        <f>J2511</f>
        <v>177</v>
      </c>
      <c r="K2510" s="158">
        <f>K2511</f>
        <v>177</v>
      </c>
      <c r="L2510" s="1"/>
      <c r="M2510" s="1"/>
      <c r="N2510" s="1"/>
      <c r="O2510" s="1"/>
      <c r="P2510" s="1"/>
      <c r="Q2510" s="1"/>
      <c r="R2510" s="1"/>
      <c r="S2510" s="1"/>
      <c r="T2510" s="1"/>
      <c r="U2510" s="1"/>
      <c r="V2510" s="1"/>
      <c r="W2510" s="1"/>
      <c r="X2510" s="1"/>
      <c r="Y2510" s="1"/>
      <c r="Z2510" s="1"/>
      <c r="AA2510" s="1"/>
      <c r="AB2510" s="1"/>
      <c r="AC2510" s="1"/>
      <c r="AD2510" s="1"/>
      <c r="AE2510" s="1"/>
      <c r="AF2510" s="1"/>
      <c r="AG2510" s="1"/>
      <c r="AH2510" s="1"/>
      <c r="AI2510" s="1"/>
      <c r="AJ2510" s="1"/>
      <c r="AK2510" s="1"/>
      <c r="AL2510" s="1"/>
      <c r="AM2510" s="1"/>
      <c r="AN2510" s="1"/>
      <c r="AO2510" s="1"/>
      <c r="AP2510" s="1"/>
      <c r="AQ2510" s="1"/>
      <c r="AR2510" s="1"/>
      <c r="AS2510" s="1"/>
      <c r="AT2510" s="1"/>
      <c r="AU2510" s="1"/>
      <c r="AV2510" s="1"/>
      <c r="AW2510" s="1"/>
      <c r="AX2510" s="1"/>
      <c r="AY2510" s="1"/>
      <c r="AZ2510" s="1"/>
      <c r="BA2510" s="1"/>
      <c r="BB2510" s="1"/>
      <c r="BC2510" s="1"/>
      <c r="BD2510" s="1"/>
      <c r="BE2510" s="1"/>
      <c r="BF2510" s="1"/>
      <c r="BG2510" s="1"/>
      <c r="BH2510" s="1"/>
      <c r="BI2510" s="1"/>
      <c r="BJ2510" s="1"/>
      <c r="BK2510" s="1"/>
      <c r="BL2510" s="1"/>
      <c r="BM2510" s="1"/>
      <c r="BN2510" s="1"/>
      <c r="BO2510" s="1"/>
      <c r="BP2510" s="1"/>
      <c r="BQ2510" s="1"/>
      <c r="BR2510" s="1"/>
      <c r="BS2510" s="1"/>
      <c r="BT2510" s="1"/>
      <c r="BU2510" s="1"/>
      <c r="BV2510" s="1"/>
      <c r="BW2510" s="1"/>
      <c r="BX2510" s="1"/>
      <c r="BY2510" s="1"/>
      <c r="BZ2510" s="1"/>
      <c r="CA2510" s="1"/>
      <c r="CB2510" s="1"/>
      <c r="CC2510" s="1"/>
      <c r="CD2510" s="1"/>
      <c r="CE2510" s="1"/>
      <c r="CF2510" s="1"/>
      <c r="CG2510" s="1"/>
      <c r="CH2510" s="1"/>
      <c r="CI2510" s="1"/>
      <c r="CJ2510" s="1"/>
      <c r="CK2510" s="1"/>
      <c r="CL2510" s="1"/>
      <c r="CM2510" s="1"/>
      <c r="CN2510" s="1"/>
      <c r="CO2510" s="1"/>
      <c r="CP2510" s="1"/>
      <c r="CQ2510" s="1"/>
      <c r="CR2510" s="1"/>
      <c r="CS2510" s="1"/>
      <c r="CT2510" s="1"/>
      <c r="CU2510" s="1"/>
      <c r="CV2510" s="1"/>
      <c r="CW2510" s="1"/>
      <c r="CX2510" s="1"/>
      <c r="CY2510" s="1"/>
      <c r="CZ2510" s="1"/>
      <c r="DA2510" s="1"/>
      <c r="DB2510" s="1"/>
      <c r="DC2510" s="1"/>
      <c r="DD2510" s="1"/>
      <c r="DE2510" s="1"/>
      <c r="DF2510" s="1"/>
      <c r="DG2510" s="1"/>
      <c r="DH2510" s="1"/>
      <c r="DI2510" s="1"/>
      <c r="DJ2510" s="1"/>
      <c r="DK2510" s="1"/>
      <c r="DL2510" s="1"/>
      <c r="DM2510" s="1"/>
      <c r="DN2510" s="1"/>
      <c r="DO2510" s="1"/>
      <c r="DP2510" s="1"/>
      <c r="DQ2510" s="1"/>
      <c r="DR2510" s="1"/>
      <c r="DS2510" s="1"/>
      <c r="DT2510" s="1"/>
      <c r="DU2510" s="1"/>
      <c r="DV2510" s="1"/>
      <c r="DW2510" s="1"/>
      <c r="DX2510" s="1"/>
      <c r="DY2510" s="1"/>
      <c r="DZ2510" s="1"/>
      <c r="EA2510" s="1"/>
      <c r="EB2510" s="1"/>
      <c r="EC2510" s="1"/>
      <c r="ED2510" s="1"/>
      <c r="EE2510" s="1"/>
      <c r="EF2510" s="1"/>
      <c r="EG2510" s="1"/>
      <c r="EH2510" s="1"/>
      <c r="EI2510" s="1"/>
      <c r="EJ2510" s="1"/>
      <c r="EK2510" s="1"/>
      <c r="EL2510" s="1"/>
      <c r="EM2510" s="1"/>
      <c r="EN2510" s="1"/>
      <c r="EO2510" s="1"/>
      <c r="EP2510" s="1"/>
      <c r="EQ2510" s="1"/>
      <c r="ER2510" s="1"/>
      <c r="ES2510" s="1"/>
      <c r="ET2510" s="1"/>
      <c r="EU2510" s="1"/>
      <c r="EV2510" s="1"/>
      <c r="EW2510" s="1"/>
      <c r="EX2510" s="1"/>
      <c r="EY2510" s="1"/>
      <c r="EZ2510" s="1"/>
      <c r="FA2510" s="1"/>
      <c r="FB2510" s="1"/>
      <c r="FC2510" s="1"/>
      <c r="FD2510" s="1"/>
      <c r="FE2510" s="1"/>
      <c r="FF2510" s="1"/>
      <c r="FG2510" s="1"/>
      <c r="FH2510" s="1"/>
      <c r="FI2510" s="1"/>
      <c r="FJ2510" s="1"/>
      <c r="FK2510" s="1"/>
      <c r="FL2510" s="1"/>
      <c r="FM2510" s="1"/>
      <c r="FN2510" s="1"/>
      <c r="FO2510" s="1"/>
      <c r="FP2510" s="1"/>
      <c r="FQ2510" s="1"/>
      <c r="FR2510" s="1"/>
      <c r="FS2510" s="1"/>
      <c r="FT2510" s="1"/>
      <c r="FU2510" s="1"/>
      <c r="FV2510" s="1"/>
      <c r="FW2510" s="1"/>
      <c r="FX2510" s="1"/>
      <c r="FY2510" s="1"/>
      <c r="FZ2510" s="1"/>
      <c r="GA2510" s="1"/>
      <c r="GB2510" s="1"/>
      <c r="GC2510" s="1"/>
      <c r="GD2510" s="1"/>
      <c r="GE2510" s="1"/>
      <c r="GF2510" s="1"/>
      <c r="GG2510" s="1"/>
      <c r="GH2510" s="1"/>
      <c r="GI2510" s="1"/>
      <c r="GJ2510" s="1"/>
      <c r="GK2510" s="1"/>
      <c r="GL2510" s="1"/>
      <c r="GM2510" s="1"/>
      <c r="GN2510" s="1"/>
      <c r="GO2510" s="1"/>
      <c r="GP2510" s="1"/>
      <c r="GQ2510" s="1"/>
      <c r="GR2510" s="1"/>
      <c r="GS2510" s="1"/>
      <c r="GT2510" s="1"/>
      <c r="GU2510" s="1"/>
      <c r="GV2510" s="1"/>
      <c r="GW2510" s="1"/>
      <c r="GX2510" s="1"/>
      <c r="GY2510" s="1"/>
      <c r="GZ2510" s="1"/>
      <c r="HA2510" s="1"/>
      <c r="HB2510" s="1"/>
      <c r="HC2510" s="1"/>
      <c r="HD2510" s="1"/>
      <c r="HE2510" s="1"/>
      <c r="HF2510" s="1"/>
      <c r="HG2510" s="1"/>
      <c r="HH2510" s="1"/>
      <c r="HI2510" s="1"/>
      <c r="HJ2510" s="1"/>
      <c r="HK2510" s="1"/>
      <c r="HL2510" s="1"/>
      <c r="HM2510" s="1"/>
      <c r="HN2510" s="1"/>
      <c r="HO2510" s="1"/>
      <c r="HP2510" s="1"/>
      <c r="HQ2510" s="1"/>
    </row>
    <row r="2511" spans="1:225" ht="46.5" x14ac:dyDescent="0.35">
      <c r="A2511" s="257">
        <v>1134</v>
      </c>
      <c r="B2511" s="303"/>
      <c r="C2511" s="260"/>
      <c r="D2511" s="263"/>
      <c r="E2511" s="266"/>
      <c r="F2511" s="266"/>
      <c r="G2511" s="257"/>
      <c r="H2511" s="159" t="s">
        <v>705</v>
      </c>
      <c r="I2511" s="158">
        <f>K2511*D2510</f>
        <v>70800</v>
      </c>
      <c r="J2511" s="158">
        <f>I2511/D2510</f>
        <v>177</v>
      </c>
      <c r="K2511" s="158">
        <f>163+14</f>
        <v>177</v>
      </c>
      <c r="L2511" s="1"/>
      <c r="M2511" s="1"/>
      <c r="N2511" s="1"/>
      <c r="O2511" s="1"/>
      <c r="P2511" s="1"/>
      <c r="Q2511" s="1"/>
      <c r="R2511" s="1"/>
      <c r="S2511" s="1"/>
      <c r="T2511" s="1"/>
      <c r="U2511" s="1"/>
      <c r="V2511" s="1"/>
      <c r="W2511" s="1"/>
      <c r="X2511" s="1"/>
      <c r="Y2511" s="1"/>
      <c r="Z2511" s="1"/>
      <c r="AA2511" s="1"/>
      <c r="AB2511" s="1"/>
      <c r="AC2511" s="1"/>
      <c r="AD2511" s="1"/>
      <c r="AE2511" s="1"/>
      <c r="AF2511" s="1"/>
      <c r="AG2511" s="1"/>
      <c r="AH2511" s="1"/>
      <c r="AI2511" s="1"/>
      <c r="AJ2511" s="1"/>
      <c r="AK2511" s="1"/>
      <c r="AL2511" s="1"/>
      <c r="AM2511" s="1"/>
      <c r="AN2511" s="1"/>
      <c r="AO2511" s="1"/>
      <c r="AP2511" s="1"/>
      <c r="AQ2511" s="1"/>
      <c r="AR2511" s="1"/>
      <c r="AS2511" s="1"/>
      <c r="AT2511" s="1"/>
      <c r="AU2511" s="1"/>
      <c r="AV2511" s="1"/>
      <c r="AW2511" s="1"/>
      <c r="AX2511" s="1"/>
      <c r="AY2511" s="1"/>
      <c r="AZ2511" s="1"/>
      <c r="BA2511" s="1"/>
      <c r="BB2511" s="1"/>
      <c r="BC2511" s="1"/>
      <c r="BD2511" s="1"/>
      <c r="BE2511" s="1"/>
      <c r="BF2511" s="1"/>
      <c r="BG2511" s="1"/>
      <c r="BH2511" s="1"/>
      <c r="BI2511" s="1"/>
      <c r="BJ2511" s="1"/>
      <c r="BK2511" s="1"/>
      <c r="BL2511" s="1"/>
      <c r="BM2511" s="1"/>
      <c r="BN2511" s="1"/>
      <c r="BO2511" s="1"/>
      <c r="BP2511" s="1"/>
      <c r="BQ2511" s="1"/>
      <c r="BR2511" s="1"/>
      <c r="BS2511" s="1"/>
      <c r="BT2511" s="1"/>
      <c r="BU2511" s="1"/>
      <c r="BV2511" s="1"/>
      <c r="BW2511" s="1"/>
      <c r="BX2511" s="1"/>
      <c r="BY2511" s="1"/>
      <c r="BZ2511" s="1"/>
      <c r="CA2511" s="1"/>
      <c r="CB2511" s="1"/>
      <c r="CC2511" s="1"/>
      <c r="CD2511" s="1"/>
      <c r="CE2511" s="1"/>
      <c r="CF2511" s="1"/>
      <c r="CG2511" s="1"/>
      <c r="CH2511" s="1"/>
      <c r="CI2511" s="1"/>
      <c r="CJ2511" s="1"/>
      <c r="CK2511" s="1"/>
      <c r="CL2511" s="1"/>
      <c r="CM2511" s="1"/>
      <c r="CN2511" s="1"/>
      <c r="CO2511" s="1"/>
      <c r="CP2511" s="1"/>
      <c r="CQ2511" s="1"/>
      <c r="CR2511" s="1"/>
      <c r="CS2511" s="1"/>
      <c r="CT2511" s="1"/>
      <c r="CU2511" s="1"/>
      <c r="CV2511" s="1"/>
      <c r="CW2511" s="1"/>
      <c r="CX2511" s="1"/>
      <c r="CY2511" s="1"/>
      <c r="CZ2511" s="1"/>
      <c r="DA2511" s="1"/>
      <c r="DB2511" s="1"/>
      <c r="DC2511" s="1"/>
      <c r="DD2511" s="1"/>
      <c r="DE2511" s="1"/>
      <c r="DF2511" s="1"/>
      <c r="DG2511" s="1"/>
      <c r="DH2511" s="1"/>
      <c r="DI2511" s="1"/>
      <c r="DJ2511" s="1"/>
      <c r="DK2511" s="1"/>
      <c r="DL2511" s="1"/>
      <c r="DM2511" s="1"/>
      <c r="DN2511" s="1"/>
      <c r="DO2511" s="1"/>
      <c r="DP2511" s="1"/>
      <c r="DQ2511" s="1"/>
      <c r="DR2511" s="1"/>
      <c r="DS2511" s="1"/>
      <c r="DT2511" s="1"/>
      <c r="DU2511" s="1"/>
      <c r="DV2511" s="1"/>
      <c r="DW2511" s="1"/>
      <c r="DX2511" s="1"/>
      <c r="DY2511" s="1"/>
      <c r="DZ2511" s="1"/>
      <c r="EA2511" s="1"/>
      <c r="EB2511" s="1"/>
      <c r="EC2511" s="1"/>
      <c r="ED2511" s="1"/>
      <c r="EE2511" s="1"/>
      <c r="EF2511" s="1"/>
      <c r="EG2511" s="1"/>
      <c r="EH2511" s="1"/>
      <c r="EI2511" s="1"/>
      <c r="EJ2511" s="1"/>
      <c r="EK2511" s="1"/>
      <c r="EL2511" s="1"/>
      <c r="EM2511" s="1"/>
      <c r="EN2511" s="1"/>
      <c r="EO2511" s="1"/>
      <c r="EP2511" s="1"/>
      <c r="EQ2511" s="1"/>
      <c r="ER2511" s="1"/>
      <c r="ES2511" s="1"/>
      <c r="ET2511" s="1"/>
      <c r="EU2511" s="1"/>
      <c r="EV2511" s="1"/>
      <c r="EW2511" s="1"/>
      <c r="EX2511" s="1"/>
      <c r="EY2511" s="1"/>
      <c r="EZ2511" s="1"/>
      <c r="FA2511" s="1"/>
      <c r="FB2511" s="1"/>
      <c r="FC2511" s="1"/>
      <c r="FD2511" s="1"/>
      <c r="FE2511" s="1"/>
      <c r="FF2511" s="1"/>
      <c r="FG2511" s="1"/>
      <c r="FH2511" s="1"/>
      <c r="FI2511" s="1"/>
      <c r="FJ2511" s="1"/>
      <c r="FK2511" s="1"/>
      <c r="FL2511" s="1"/>
      <c r="FM2511" s="1"/>
      <c r="FN2511" s="1"/>
      <c r="FO2511" s="1"/>
      <c r="FP2511" s="1"/>
      <c r="FQ2511" s="1"/>
      <c r="FR2511" s="1"/>
      <c r="FS2511" s="1"/>
      <c r="FT2511" s="1"/>
      <c r="FU2511" s="1"/>
      <c r="FV2511" s="1"/>
      <c r="FW2511" s="1"/>
      <c r="FX2511" s="1"/>
      <c r="FY2511" s="1"/>
      <c r="FZ2511" s="1"/>
      <c r="GA2511" s="1"/>
      <c r="GB2511" s="1"/>
      <c r="GC2511" s="1"/>
      <c r="GD2511" s="1"/>
      <c r="GE2511" s="1"/>
      <c r="GF2511" s="1"/>
      <c r="GG2511" s="1"/>
      <c r="GH2511" s="1"/>
      <c r="GI2511" s="1"/>
      <c r="GJ2511" s="1"/>
      <c r="GK2511" s="1"/>
      <c r="GL2511" s="1"/>
      <c r="GM2511" s="1"/>
      <c r="GN2511" s="1"/>
      <c r="GO2511" s="1"/>
      <c r="GP2511" s="1"/>
      <c r="GQ2511" s="1"/>
      <c r="GR2511" s="1"/>
      <c r="GS2511" s="1"/>
      <c r="GT2511" s="1"/>
      <c r="GU2511" s="1"/>
      <c r="GV2511" s="1"/>
      <c r="GW2511" s="1"/>
      <c r="GX2511" s="1"/>
      <c r="GY2511" s="1"/>
      <c r="GZ2511" s="1"/>
      <c r="HA2511" s="1"/>
      <c r="HB2511" s="1"/>
      <c r="HC2511" s="1"/>
      <c r="HD2511" s="1"/>
      <c r="HE2511" s="1"/>
      <c r="HF2511" s="1"/>
      <c r="HG2511" s="1"/>
      <c r="HH2511" s="1"/>
      <c r="HI2511" s="1"/>
      <c r="HJ2511" s="1"/>
      <c r="HK2511" s="1"/>
      <c r="HL2511" s="1"/>
      <c r="HM2511" s="1"/>
      <c r="HN2511" s="1"/>
      <c r="HO2511" s="1"/>
      <c r="HP2511" s="1"/>
      <c r="HQ2511" s="1"/>
    </row>
    <row r="2512" spans="1:225" ht="15.75" customHeight="1" x14ac:dyDescent="0.35">
      <c r="A2512" s="256">
        <f>A2510+1</f>
        <v>2</v>
      </c>
      <c r="B2512" s="302">
        <v>6813</v>
      </c>
      <c r="C2512" s="259" t="s">
        <v>711</v>
      </c>
      <c r="D2512" s="262">
        <v>400</v>
      </c>
      <c r="E2512" s="265" t="s">
        <v>665</v>
      </c>
      <c r="F2512" s="265">
        <v>2</v>
      </c>
      <c r="G2512" s="256" t="s">
        <v>72</v>
      </c>
      <c r="H2512" s="159" t="s">
        <v>73</v>
      </c>
      <c r="I2512" s="158">
        <f>I2513+I2514</f>
        <v>3015600</v>
      </c>
      <c r="J2512" s="158">
        <f>J2513+J2514</f>
        <v>7539</v>
      </c>
      <c r="K2512" s="158">
        <f>K2513+K2514</f>
        <v>7539</v>
      </c>
      <c r="L2512" s="1"/>
      <c r="M2512" s="1"/>
      <c r="N2512" s="1"/>
      <c r="O2512" s="1"/>
      <c r="P2512" s="1"/>
      <c r="Q2512" s="1"/>
      <c r="R2512" s="1"/>
      <c r="S2512" s="1"/>
      <c r="T2512" s="1"/>
      <c r="U2512" s="1"/>
      <c r="V2512" s="1"/>
      <c r="W2512" s="1"/>
      <c r="X2512" s="1"/>
      <c r="Y2512" s="1"/>
      <c r="Z2512" s="1"/>
      <c r="AA2512" s="1"/>
      <c r="AB2512" s="1"/>
      <c r="AC2512" s="1"/>
      <c r="AD2512" s="1"/>
      <c r="AE2512" s="1"/>
      <c r="AF2512" s="1"/>
      <c r="AG2512" s="1"/>
      <c r="AH2512" s="1"/>
      <c r="AI2512" s="1"/>
      <c r="AJ2512" s="1"/>
      <c r="AK2512" s="1"/>
      <c r="AL2512" s="1"/>
      <c r="AM2512" s="1"/>
      <c r="AN2512" s="1"/>
      <c r="AO2512" s="1"/>
      <c r="AP2512" s="1"/>
      <c r="AQ2512" s="1"/>
      <c r="AR2512" s="1"/>
      <c r="AS2512" s="1"/>
      <c r="AT2512" s="1"/>
      <c r="AU2512" s="1"/>
      <c r="AV2512" s="1"/>
      <c r="AW2512" s="1"/>
      <c r="AX2512" s="1"/>
      <c r="AY2512" s="1"/>
      <c r="AZ2512" s="1"/>
      <c r="BA2512" s="1"/>
      <c r="BB2512" s="1"/>
      <c r="BC2512" s="1"/>
      <c r="BD2512" s="1"/>
      <c r="BE2512" s="1"/>
      <c r="BF2512" s="1"/>
      <c r="BG2512" s="1"/>
      <c r="BH2512" s="1"/>
      <c r="BI2512" s="1"/>
      <c r="BJ2512" s="1"/>
      <c r="BK2512" s="1"/>
      <c r="BL2512" s="1"/>
      <c r="BM2512" s="1"/>
      <c r="BN2512" s="1"/>
      <c r="BO2512" s="1"/>
      <c r="BP2512" s="1"/>
      <c r="BQ2512" s="1"/>
      <c r="BR2512" s="1"/>
      <c r="BS2512" s="1"/>
      <c r="BT2512" s="1"/>
      <c r="BU2512" s="1"/>
      <c r="BV2512" s="1"/>
      <c r="BW2512" s="1"/>
      <c r="BX2512" s="1"/>
      <c r="BY2512" s="1"/>
      <c r="BZ2512" s="1"/>
      <c r="CA2512" s="1"/>
      <c r="CB2512" s="1"/>
      <c r="CC2512" s="1"/>
      <c r="CD2512" s="1"/>
      <c r="CE2512" s="1"/>
      <c r="CF2512" s="1"/>
      <c r="CG2512" s="1"/>
      <c r="CH2512" s="1"/>
      <c r="CI2512" s="1"/>
      <c r="CJ2512" s="1"/>
      <c r="CK2512" s="1"/>
      <c r="CL2512" s="1"/>
      <c r="CM2512" s="1"/>
      <c r="CN2512" s="1"/>
      <c r="CO2512" s="1"/>
      <c r="CP2512" s="1"/>
      <c r="CQ2512" s="1"/>
      <c r="CR2512" s="1"/>
      <c r="CS2512" s="1"/>
      <c r="CT2512" s="1"/>
      <c r="CU2512" s="1"/>
      <c r="CV2512" s="1"/>
      <c r="CW2512" s="1"/>
      <c r="CX2512" s="1"/>
      <c r="CY2512" s="1"/>
      <c r="CZ2512" s="1"/>
      <c r="DA2512" s="1"/>
      <c r="DB2512" s="1"/>
      <c r="DC2512" s="1"/>
      <c r="DD2512" s="1"/>
      <c r="DE2512" s="1"/>
      <c r="DF2512" s="1"/>
      <c r="DG2512" s="1"/>
      <c r="DH2512" s="1"/>
      <c r="DI2512" s="1"/>
      <c r="DJ2512" s="1"/>
      <c r="DK2512" s="1"/>
      <c r="DL2512" s="1"/>
      <c r="DM2512" s="1"/>
      <c r="DN2512" s="1"/>
      <c r="DO2512" s="1"/>
      <c r="DP2512" s="1"/>
      <c r="DQ2512" s="1"/>
      <c r="DR2512" s="1"/>
      <c r="DS2512" s="1"/>
      <c r="DT2512" s="1"/>
      <c r="DU2512" s="1"/>
      <c r="DV2512" s="1"/>
      <c r="DW2512" s="1"/>
      <c r="DX2512" s="1"/>
      <c r="DY2512" s="1"/>
      <c r="DZ2512" s="1"/>
      <c r="EA2512" s="1"/>
      <c r="EB2512" s="1"/>
      <c r="EC2512" s="1"/>
      <c r="ED2512" s="1"/>
      <c r="EE2512" s="1"/>
      <c r="EF2512" s="1"/>
      <c r="EG2512" s="1"/>
      <c r="EH2512" s="1"/>
      <c r="EI2512" s="1"/>
      <c r="EJ2512" s="1"/>
      <c r="EK2512" s="1"/>
      <c r="EL2512" s="1"/>
      <c r="EM2512" s="1"/>
      <c r="EN2512" s="1"/>
      <c r="EO2512" s="1"/>
      <c r="EP2512" s="1"/>
      <c r="EQ2512" s="1"/>
      <c r="ER2512" s="1"/>
      <c r="ES2512" s="1"/>
      <c r="ET2512" s="1"/>
      <c r="EU2512" s="1"/>
      <c r="EV2512" s="1"/>
      <c r="EW2512" s="1"/>
      <c r="EX2512" s="1"/>
      <c r="EY2512" s="1"/>
      <c r="EZ2512" s="1"/>
      <c r="FA2512" s="1"/>
      <c r="FB2512" s="1"/>
      <c r="FC2512" s="1"/>
      <c r="FD2512" s="1"/>
      <c r="FE2512" s="1"/>
      <c r="FF2512" s="1"/>
      <c r="FG2512" s="1"/>
      <c r="FH2512" s="1"/>
      <c r="FI2512" s="1"/>
      <c r="FJ2512" s="1"/>
      <c r="FK2512" s="1"/>
      <c r="FL2512" s="1"/>
      <c r="FM2512" s="1"/>
      <c r="FN2512" s="1"/>
      <c r="FO2512" s="1"/>
      <c r="FP2512" s="1"/>
      <c r="FQ2512" s="1"/>
      <c r="FR2512" s="1"/>
      <c r="FS2512" s="1"/>
      <c r="FT2512" s="1"/>
      <c r="FU2512" s="1"/>
      <c r="FV2512" s="1"/>
      <c r="FW2512" s="1"/>
      <c r="FX2512" s="1"/>
      <c r="FY2512" s="1"/>
      <c r="FZ2512" s="1"/>
      <c r="GA2512" s="1"/>
      <c r="GB2512" s="1"/>
      <c r="GC2512" s="1"/>
      <c r="GD2512" s="1"/>
      <c r="GE2512" s="1"/>
      <c r="GF2512" s="1"/>
      <c r="GG2512" s="1"/>
      <c r="GH2512" s="1"/>
      <c r="GI2512" s="1"/>
      <c r="GJ2512" s="1"/>
      <c r="GK2512" s="1"/>
      <c r="GL2512" s="1"/>
      <c r="GM2512" s="1"/>
      <c r="GN2512" s="1"/>
      <c r="GO2512" s="1"/>
      <c r="GP2512" s="1"/>
      <c r="GQ2512" s="1"/>
      <c r="GR2512" s="1"/>
      <c r="GS2512" s="1"/>
      <c r="GT2512" s="1"/>
      <c r="GU2512" s="1"/>
      <c r="GV2512" s="1"/>
      <c r="GW2512" s="1"/>
      <c r="GX2512" s="1"/>
      <c r="GY2512" s="1"/>
      <c r="GZ2512" s="1"/>
      <c r="HA2512" s="1"/>
      <c r="HB2512" s="1"/>
      <c r="HC2512" s="1"/>
      <c r="HD2512" s="1"/>
      <c r="HE2512" s="1"/>
      <c r="HF2512" s="1"/>
      <c r="HG2512" s="1"/>
      <c r="HH2512" s="1"/>
      <c r="HI2512" s="1"/>
      <c r="HJ2512" s="1"/>
      <c r="HK2512" s="1"/>
      <c r="HL2512" s="1"/>
      <c r="HM2512" s="1"/>
      <c r="HN2512" s="1"/>
      <c r="HO2512" s="1"/>
      <c r="HP2512" s="1"/>
      <c r="HQ2512" s="1"/>
    </row>
    <row r="2513" spans="1:225" ht="15.75" customHeight="1" x14ac:dyDescent="0.35">
      <c r="A2513" s="257">
        <v>1134</v>
      </c>
      <c r="B2513" s="303"/>
      <c r="C2513" s="260"/>
      <c r="D2513" s="263"/>
      <c r="E2513" s="266"/>
      <c r="F2513" s="266"/>
      <c r="G2513" s="257"/>
      <c r="H2513" s="159" t="s">
        <v>74</v>
      </c>
      <c r="I2513" s="158">
        <f>K2513*D2512</f>
        <v>2952400</v>
      </c>
      <c r="J2513" s="158">
        <f>I2513/D2512</f>
        <v>7381</v>
      </c>
      <c r="K2513" s="158">
        <v>7381</v>
      </c>
      <c r="L2513" s="1"/>
      <c r="M2513" s="1"/>
      <c r="N2513" s="1"/>
      <c r="O2513" s="1"/>
      <c r="P2513" s="1"/>
      <c r="Q2513" s="1"/>
      <c r="R2513" s="1"/>
      <c r="S2513" s="1"/>
      <c r="T2513" s="1"/>
      <c r="U2513" s="1"/>
      <c r="V2513" s="1"/>
      <c r="W2513" s="1"/>
      <c r="X2513" s="1"/>
      <c r="Y2513" s="1"/>
      <c r="Z2513" s="1"/>
      <c r="AA2513" s="1"/>
      <c r="AB2513" s="1"/>
      <c r="AC2513" s="1"/>
      <c r="AD2513" s="1"/>
      <c r="AE2513" s="1"/>
      <c r="AF2513" s="1"/>
      <c r="AG2513" s="1"/>
      <c r="AH2513" s="1"/>
      <c r="AI2513" s="1"/>
      <c r="AJ2513" s="1"/>
      <c r="AK2513" s="1"/>
      <c r="AL2513" s="1"/>
      <c r="AM2513" s="1"/>
      <c r="AN2513" s="1"/>
      <c r="AO2513" s="1"/>
      <c r="AP2513" s="1"/>
      <c r="AQ2513" s="1"/>
      <c r="AR2513" s="1"/>
      <c r="AS2513" s="1"/>
      <c r="AT2513" s="1"/>
      <c r="AU2513" s="1"/>
      <c r="AV2513" s="1"/>
      <c r="AW2513" s="1"/>
      <c r="AX2513" s="1"/>
      <c r="AY2513" s="1"/>
      <c r="AZ2513" s="1"/>
      <c r="BA2513" s="1"/>
      <c r="BB2513" s="1"/>
      <c r="BC2513" s="1"/>
      <c r="BD2513" s="1"/>
      <c r="BE2513" s="1"/>
      <c r="BF2513" s="1"/>
      <c r="BG2513" s="1"/>
      <c r="BH2513" s="1"/>
      <c r="BI2513" s="1"/>
      <c r="BJ2513" s="1"/>
      <c r="BK2513" s="1"/>
      <c r="BL2513" s="1"/>
      <c r="BM2513" s="1"/>
      <c r="BN2513" s="1"/>
      <c r="BO2513" s="1"/>
      <c r="BP2513" s="1"/>
      <c r="BQ2513" s="1"/>
      <c r="BR2513" s="1"/>
      <c r="BS2513" s="1"/>
      <c r="BT2513" s="1"/>
      <c r="BU2513" s="1"/>
      <c r="BV2513" s="1"/>
      <c r="BW2513" s="1"/>
      <c r="BX2513" s="1"/>
      <c r="BY2513" s="1"/>
      <c r="BZ2513" s="1"/>
      <c r="CA2513" s="1"/>
      <c r="CB2513" s="1"/>
      <c r="CC2513" s="1"/>
      <c r="CD2513" s="1"/>
      <c r="CE2513" s="1"/>
      <c r="CF2513" s="1"/>
      <c r="CG2513" s="1"/>
      <c r="CH2513" s="1"/>
      <c r="CI2513" s="1"/>
      <c r="CJ2513" s="1"/>
      <c r="CK2513" s="1"/>
      <c r="CL2513" s="1"/>
      <c r="CM2513" s="1"/>
      <c r="CN2513" s="1"/>
      <c r="CO2513" s="1"/>
      <c r="CP2513" s="1"/>
      <c r="CQ2513" s="1"/>
      <c r="CR2513" s="1"/>
      <c r="CS2513" s="1"/>
      <c r="CT2513" s="1"/>
      <c r="CU2513" s="1"/>
      <c r="CV2513" s="1"/>
      <c r="CW2513" s="1"/>
      <c r="CX2513" s="1"/>
      <c r="CY2513" s="1"/>
      <c r="CZ2513" s="1"/>
      <c r="DA2513" s="1"/>
      <c r="DB2513" s="1"/>
      <c r="DC2513" s="1"/>
      <c r="DD2513" s="1"/>
      <c r="DE2513" s="1"/>
      <c r="DF2513" s="1"/>
      <c r="DG2513" s="1"/>
      <c r="DH2513" s="1"/>
      <c r="DI2513" s="1"/>
      <c r="DJ2513" s="1"/>
      <c r="DK2513" s="1"/>
      <c r="DL2513" s="1"/>
      <c r="DM2513" s="1"/>
      <c r="DN2513" s="1"/>
      <c r="DO2513" s="1"/>
      <c r="DP2513" s="1"/>
      <c r="DQ2513" s="1"/>
      <c r="DR2513" s="1"/>
      <c r="DS2513" s="1"/>
      <c r="DT2513" s="1"/>
      <c r="DU2513" s="1"/>
      <c r="DV2513" s="1"/>
      <c r="DW2513" s="1"/>
      <c r="DX2513" s="1"/>
      <c r="DY2513" s="1"/>
      <c r="DZ2513" s="1"/>
      <c r="EA2513" s="1"/>
      <c r="EB2513" s="1"/>
      <c r="EC2513" s="1"/>
      <c r="ED2513" s="1"/>
      <c r="EE2513" s="1"/>
      <c r="EF2513" s="1"/>
      <c r="EG2513" s="1"/>
      <c r="EH2513" s="1"/>
      <c r="EI2513" s="1"/>
      <c r="EJ2513" s="1"/>
      <c r="EK2513" s="1"/>
      <c r="EL2513" s="1"/>
      <c r="EM2513" s="1"/>
      <c r="EN2513" s="1"/>
      <c r="EO2513" s="1"/>
      <c r="EP2513" s="1"/>
      <c r="EQ2513" s="1"/>
      <c r="ER2513" s="1"/>
      <c r="ES2513" s="1"/>
      <c r="ET2513" s="1"/>
      <c r="EU2513" s="1"/>
      <c r="EV2513" s="1"/>
      <c r="EW2513" s="1"/>
      <c r="EX2513" s="1"/>
      <c r="EY2513" s="1"/>
      <c r="EZ2513" s="1"/>
      <c r="FA2513" s="1"/>
      <c r="FB2513" s="1"/>
      <c r="FC2513" s="1"/>
      <c r="FD2513" s="1"/>
      <c r="FE2513" s="1"/>
      <c r="FF2513" s="1"/>
      <c r="FG2513" s="1"/>
      <c r="FH2513" s="1"/>
      <c r="FI2513" s="1"/>
      <c r="FJ2513" s="1"/>
      <c r="FK2513" s="1"/>
      <c r="FL2513" s="1"/>
      <c r="FM2513" s="1"/>
      <c r="FN2513" s="1"/>
      <c r="FO2513" s="1"/>
      <c r="FP2513" s="1"/>
      <c r="FQ2513" s="1"/>
      <c r="FR2513" s="1"/>
      <c r="FS2513" s="1"/>
      <c r="FT2513" s="1"/>
      <c r="FU2513" s="1"/>
      <c r="FV2513" s="1"/>
      <c r="FW2513" s="1"/>
      <c r="FX2513" s="1"/>
      <c r="FY2513" s="1"/>
      <c r="FZ2513" s="1"/>
      <c r="GA2513" s="1"/>
      <c r="GB2513" s="1"/>
      <c r="GC2513" s="1"/>
      <c r="GD2513" s="1"/>
      <c r="GE2513" s="1"/>
      <c r="GF2513" s="1"/>
      <c r="GG2513" s="1"/>
      <c r="GH2513" s="1"/>
      <c r="GI2513" s="1"/>
      <c r="GJ2513" s="1"/>
      <c r="GK2513" s="1"/>
      <c r="GL2513" s="1"/>
      <c r="GM2513" s="1"/>
      <c r="GN2513" s="1"/>
      <c r="GO2513" s="1"/>
      <c r="GP2513" s="1"/>
      <c r="GQ2513" s="1"/>
      <c r="GR2513" s="1"/>
      <c r="GS2513" s="1"/>
      <c r="GT2513" s="1"/>
      <c r="GU2513" s="1"/>
      <c r="GV2513" s="1"/>
      <c r="GW2513" s="1"/>
      <c r="GX2513" s="1"/>
      <c r="GY2513" s="1"/>
      <c r="GZ2513" s="1"/>
      <c r="HA2513" s="1"/>
      <c r="HB2513" s="1"/>
      <c r="HC2513" s="1"/>
      <c r="HD2513" s="1"/>
      <c r="HE2513" s="1"/>
      <c r="HF2513" s="1"/>
      <c r="HG2513" s="1"/>
      <c r="HH2513" s="1"/>
      <c r="HI2513" s="1"/>
      <c r="HJ2513" s="1"/>
      <c r="HK2513" s="1"/>
      <c r="HL2513" s="1"/>
      <c r="HM2513" s="1"/>
      <c r="HN2513" s="1"/>
      <c r="HO2513" s="1"/>
      <c r="HP2513" s="1"/>
      <c r="HQ2513" s="1"/>
    </row>
    <row r="2514" spans="1:225" ht="15.75" customHeight="1" x14ac:dyDescent="0.35">
      <c r="A2514" s="258">
        <v>1135</v>
      </c>
      <c r="B2514" s="304"/>
      <c r="C2514" s="261"/>
      <c r="D2514" s="264"/>
      <c r="E2514" s="267"/>
      <c r="F2514" s="267"/>
      <c r="G2514" s="258"/>
      <c r="H2514" s="159" t="s">
        <v>76</v>
      </c>
      <c r="I2514" s="158">
        <f>K2514*D2512</f>
        <v>63200</v>
      </c>
      <c r="J2514" s="158">
        <f>I2514/D2512</f>
        <v>158</v>
      </c>
      <c r="K2514" s="158">
        <v>158</v>
      </c>
      <c r="L2514" s="1"/>
      <c r="M2514" s="1"/>
      <c r="N2514" s="1"/>
      <c r="O2514" s="1"/>
      <c r="P2514" s="1"/>
      <c r="Q2514" s="1"/>
      <c r="R2514" s="1"/>
      <c r="S2514" s="1"/>
      <c r="T2514" s="1"/>
      <c r="U2514" s="1"/>
      <c r="V2514" s="1"/>
      <c r="W2514" s="1"/>
      <c r="X2514" s="1"/>
      <c r="Y2514" s="1"/>
      <c r="Z2514" s="1"/>
      <c r="AA2514" s="1"/>
      <c r="AB2514" s="1"/>
      <c r="AC2514" s="1"/>
      <c r="AD2514" s="1"/>
      <c r="AE2514" s="1"/>
      <c r="AF2514" s="1"/>
      <c r="AG2514" s="1"/>
      <c r="AH2514" s="1"/>
      <c r="AI2514" s="1"/>
      <c r="AJ2514" s="1"/>
      <c r="AK2514" s="1"/>
      <c r="AL2514" s="1"/>
      <c r="AM2514" s="1"/>
      <c r="AN2514" s="1"/>
      <c r="AO2514" s="1"/>
      <c r="AP2514" s="1"/>
      <c r="AQ2514" s="1"/>
      <c r="AR2514" s="1"/>
      <c r="AS2514" s="1"/>
      <c r="AT2514" s="1"/>
      <c r="AU2514" s="1"/>
      <c r="AV2514" s="1"/>
      <c r="AW2514" s="1"/>
      <c r="AX2514" s="1"/>
      <c r="AY2514" s="1"/>
      <c r="AZ2514" s="1"/>
      <c r="BA2514" s="1"/>
      <c r="BB2514" s="1"/>
      <c r="BC2514" s="1"/>
      <c r="BD2514" s="1"/>
      <c r="BE2514" s="1"/>
      <c r="BF2514" s="1"/>
      <c r="BG2514" s="1"/>
      <c r="BH2514" s="1"/>
      <c r="BI2514" s="1"/>
      <c r="BJ2514" s="1"/>
      <c r="BK2514" s="1"/>
      <c r="BL2514" s="1"/>
      <c r="BM2514" s="1"/>
      <c r="BN2514" s="1"/>
      <c r="BO2514" s="1"/>
      <c r="BP2514" s="1"/>
      <c r="BQ2514" s="1"/>
      <c r="BR2514" s="1"/>
      <c r="BS2514" s="1"/>
      <c r="BT2514" s="1"/>
      <c r="BU2514" s="1"/>
      <c r="BV2514" s="1"/>
      <c r="BW2514" s="1"/>
      <c r="BX2514" s="1"/>
      <c r="BY2514" s="1"/>
      <c r="BZ2514" s="1"/>
      <c r="CA2514" s="1"/>
      <c r="CB2514" s="1"/>
      <c r="CC2514" s="1"/>
      <c r="CD2514" s="1"/>
      <c r="CE2514" s="1"/>
      <c r="CF2514" s="1"/>
      <c r="CG2514" s="1"/>
      <c r="CH2514" s="1"/>
      <c r="CI2514" s="1"/>
      <c r="CJ2514" s="1"/>
      <c r="CK2514" s="1"/>
      <c r="CL2514" s="1"/>
      <c r="CM2514" s="1"/>
      <c r="CN2514" s="1"/>
      <c r="CO2514" s="1"/>
      <c r="CP2514" s="1"/>
      <c r="CQ2514" s="1"/>
      <c r="CR2514" s="1"/>
      <c r="CS2514" s="1"/>
      <c r="CT2514" s="1"/>
      <c r="CU2514" s="1"/>
      <c r="CV2514" s="1"/>
      <c r="CW2514" s="1"/>
      <c r="CX2514" s="1"/>
      <c r="CY2514" s="1"/>
      <c r="CZ2514" s="1"/>
      <c r="DA2514" s="1"/>
      <c r="DB2514" s="1"/>
      <c r="DC2514" s="1"/>
      <c r="DD2514" s="1"/>
      <c r="DE2514" s="1"/>
      <c r="DF2514" s="1"/>
      <c r="DG2514" s="1"/>
      <c r="DH2514" s="1"/>
      <c r="DI2514" s="1"/>
      <c r="DJ2514" s="1"/>
      <c r="DK2514" s="1"/>
      <c r="DL2514" s="1"/>
      <c r="DM2514" s="1"/>
      <c r="DN2514" s="1"/>
      <c r="DO2514" s="1"/>
      <c r="DP2514" s="1"/>
      <c r="DQ2514" s="1"/>
      <c r="DR2514" s="1"/>
      <c r="DS2514" s="1"/>
      <c r="DT2514" s="1"/>
      <c r="DU2514" s="1"/>
      <c r="DV2514" s="1"/>
      <c r="DW2514" s="1"/>
      <c r="DX2514" s="1"/>
      <c r="DY2514" s="1"/>
      <c r="DZ2514" s="1"/>
      <c r="EA2514" s="1"/>
      <c r="EB2514" s="1"/>
      <c r="EC2514" s="1"/>
      <c r="ED2514" s="1"/>
      <c r="EE2514" s="1"/>
      <c r="EF2514" s="1"/>
      <c r="EG2514" s="1"/>
      <c r="EH2514" s="1"/>
      <c r="EI2514" s="1"/>
      <c r="EJ2514" s="1"/>
      <c r="EK2514" s="1"/>
      <c r="EL2514" s="1"/>
      <c r="EM2514" s="1"/>
      <c r="EN2514" s="1"/>
      <c r="EO2514" s="1"/>
      <c r="EP2514" s="1"/>
      <c r="EQ2514" s="1"/>
      <c r="ER2514" s="1"/>
      <c r="ES2514" s="1"/>
      <c r="ET2514" s="1"/>
      <c r="EU2514" s="1"/>
      <c r="EV2514" s="1"/>
      <c r="EW2514" s="1"/>
      <c r="EX2514" s="1"/>
      <c r="EY2514" s="1"/>
      <c r="EZ2514" s="1"/>
      <c r="FA2514" s="1"/>
      <c r="FB2514" s="1"/>
      <c r="FC2514" s="1"/>
      <c r="FD2514" s="1"/>
      <c r="FE2514" s="1"/>
      <c r="FF2514" s="1"/>
      <c r="FG2514" s="1"/>
      <c r="FH2514" s="1"/>
      <c r="FI2514" s="1"/>
      <c r="FJ2514" s="1"/>
      <c r="FK2514" s="1"/>
      <c r="FL2514" s="1"/>
      <c r="FM2514" s="1"/>
      <c r="FN2514" s="1"/>
      <c r="FO2514" s="1"/>
      <c r="FP2514" s="1"/>
      <c r="FQ2514" s="1"/>
      <c r="FR2514" s="1"/>
      <c r="FS2514" s="1"/>
      <c r="FT2514" s="1"/>
      <c r="FU2514" s="1"/>
      <c r="FV2514" s="1"/>
      <c r="FW2514" s="1"/>
      <c r="FX2514" s="1"/>
      <c r="FY2514" s="1"/>
      <c r="FZ2514" s="1"/>
      <c r="GA2514" s="1"/>
      <c r="GB2514" s="1"/>
      <c r="GC2514" s="1"/>
      <c r="GD2514" s="1"/>
      <c r="GE2514" s="1"/>
      <c r="GF2514" s="1"/>
      <c r="GG2514" s="1"/>
      <c r="GH2514" s="1"/>
      <c r="GI2514" s="1"/>
      <c r="GJ2514" s="1"/>
      <c r="GK2514" s="1"/>
      <c r="GL2514" s="1"/>
      <c r="GM2514" s="1"/>
      <c r="GN2514" s="1"/>
      <c r="GO2514" s="1"/>
      <c r="GP2514" s="1"/>
      <c r="GQ2514" s="1"/>
      <c r="GR2514" s="1"/>
      <c r="GS2514" s="1"/>
      <c r="GT2514" s="1"/>
      <c r="GU2514" s="1"/>
      <c r="GV2514" s="1"/>
      <c r="GW2514" s="1"/>
      <c r="GX2514" s="1"/>
      <c r="GY2514" s="1"/>
      <c r="GZ2514" s="1"/>
      <c r="HA2514" s="1"/>
      <c r="HB2514" s="1"/>
      <c r="HC2514" s="1"/>
      <c r="HD2514" s="1"/>
      <c r="HE2514" s="1"/>
      <c r="HF2514" s="1"/>
      <c r="HG2514" s="1"/>
      <c r="HH2514" s="1"/>
      <c r="HI2514" s="1"/>
      <c r="HJ2514" s="1"/>
      <c r="HK2514" s="1"/>
      <c r="HL2514" s="1"/>
      <c r="HM2514" s="1"/>
      <c r="HN2514" s="1"/>
      <c r="HO2514" s="1"/>
      <c r="HP2514" s="1"/>
      <c r="HQ2514" s="1"/>
    </row>
    <row r="2515" spans="1:225" ht="15.75" customHeight="1" x14ac:dyDescent="0.35">
      <c r="A2515" s="251">
        <f>A2512+1</f>
        <v>3</v>
      </c>
      <c r="B2515" s="325">
        <v>6815</v>
      </c>
      <c r="C2515" s="252" t="s">
        <v>638</v>
      </c>
      <c r="D2515" s="253">
        <v>399.4</v>
      </c>
      <c r="E2515" s="255" t="s">
        <v>665</v>
      </c>
      <c r="F2515" s="255">
        <v>2</v>
      </c>
      <c r="G2515" s="256" t="s">
        <v>72</v>
      </c>
      <c r="H2515" s="159" t="s">
        <v>73</v>
      </c>
      <c r="I2515" s="158">
        <f>I2516</f>
        <v>70693.8</v>
      </c>
      <c r="J2515" s="158">
        <f>J2516</f>
        <v>177</v>
      </c>
      <c r="K2515" s="158">
        <f>K2516</f>
        <v>177</v>
      </c>
      <c r="L2515" s="1"/>
      <c r="M2515" s="1"/>
      <c r="N2515" s="1"/>
      <c r="O2515" s="1"/>
      <c r="P2515" s="1"/>
      <c r="Q2515" s="1"/>
      <c r="R2515" s="1"/>
      <c r="S2515" s="1"/>
      <c r="T2515" s="1"/>
      <c r="U2515" s="1"/>
      <c r="V2515" s="1"/>
      <c r="W2515" s="1"/>
      <c r="X2515" s="1"/>
      <c r="Y2515" s="1"/>
      <c r="Z2515" s="1"/>
      <c r="AA2515" s="1"/>
      <c r="AB2515" s="1"/>
      <c r="AC2515" s="1"/>
      <c r="AD2515" s="1"/>
      <c r="AE2515" s="1"/>
      <c r="AF2515" s="1"/>
      <c r="AG2515" s="1"/>
      <c r="AH2515" s="1"/>
      <c r="AI2515" s="1"/>
      <c r="AJ2515" s="1"/>
      <c r="AK2515" s="1"/>
      <c r="AL2515" s="1"/>
      <c r="AM2515" s="1"/>
      <c r="AN2515" s="1"/>
      <c r="AO2515" s="1"/>
      <c r="AP2515" s="1"/>
      <c r="AQ2515" s="1"/>
      <c r="AR2515" s="1"/>
      <c r="AS2515" s="1"/>
      <c r="AT2515" s="1"/>
      <c r="AU2515" s="1"/>
      <c r="AV2515" s="1"/>
      <c r="AW2515" s="1"/>
      <c r="AX2515" s="1"/>
      <c r="AY2515" s="1"/>
      <c r="AZ2515" s="1"/>
      <c r="BA2515" s="1"/>
      <c r="BB2515" s="1"/>
      <c r="BC2515" s="1"/>
      <c r="BD2515" s="1"/>
      <c r="BE2515" s="1"/>
      <c r="BF2515" s="1"/>
      <c r="BG2515" s="1"/>
      <c r="BH2515" s="1"/>
      <c r="BI2515" s="1"/>
      <c r="BJ2515" s="1"/>
      <c r="BK2515" s="1"/>
      <c r="BL2515" s="1"/>
      <c r="BM2515" s="1"/>
      <c r="BN2515" s="1"/>
      <c r="BO2515" s="1"/>
      <c r="BP2515" s="1"/>
      <c r="BQ2515" s="1"/>
      <c r="BR2515" s="1"/>
      <c r="BS2515" s="1"/>
      <c r="BT2515" s="1"/>
      <c r="BU2515" s="1"/>
      <c r="BV2515" s="1"/>
      <c r="BW2515" s="1"/>
      <c r="BX2515" s="1"/>
      <c r="BY2515" s="1"/>
      <c r="BZ2515" s="1"/>
      <c r="CA2515" s="1"/>
      <c r="CB2515" s="1"/>
      <c r="CC2515" s="1"/>
      <c r="CD2515" s="1"/>
      <c r="CE2515" s="1"/>
      <c r="CF2515" s="1"/>
      <c r="CG2515" s="1"/>
      <c r="CH2515" s="1"/>
      <c r="CI2515" s="1"/>
      <c r="CJ2515" s="1"/>
      <c r="CK2515" s="1"/>
      <c r="CL2515" s="1"/>
      <c r="CM2515" s="1"/>
      <c r="CN2515" s="1"/>
      <c r="CO2515" s="1"/>
      <c r="CP2515" s="1"/>
      <c r="CQ2515" s="1"/>
      <c r="CR2515" s="1"/>
      <c r="CS2515" s="1"/>
      <c r="CT2515" s="1"/>
      <c r="CU2515" s="1"/>
      <c r="CV2515" s="1"/>
      <c r="CW2515" s="1"/>
      <c r="CX2515" s="1"/>
      <c r="CY2515" s="1"/>
      <c r="CZ2515" s="1"/>
      <c r="DA2515" s="1"/>
      <c r="DB2515" s="1"/>
      <c r="DC2515" s="1"/>
      <c r="DD2515" s="1"/>
      <c r="DE2515" s="1"/>
      <c r="DF2515" s="1"/>
      <c r="DG2515" s="1"/>
      <c r="DH2515" s="1"/>
      <c r="DI2515" s="1"/>
      <c r="DJ2515" s="1"/>
      <c r="DK2515" s="1"/>
      <c r="DL2515" s="1"/>
      <c r="DM2515" s="1"/>
      <c r="DN2515" s="1"/>
      <c r="DO2515" s="1"/>
      <c r="DP2515" s="1"/>
      <c r="DQ2515" s="1"/>
      <c r="DR2515" s="1"/>
      <c r="DS2515" s="1"/>
      <c r="DT2515" s="1"/>
      <c r="DU2515" s="1"/>
      <c r="DV2515" s="1"/>
      <c r="DW2515" s="1"/>
      <c r="DX2515" s="1"/>
      <c r="DY2515" s="1"/>
      <c r="DZ2515" s="1"/>
      <c r="EA2515" s="1"/>
      <c r="EB2515" s="1"/>
      <c r="EC2515" s="1"/>
      <c r="ED2515" s="1"/>
      <c r="EE2515" s="1"/>
      <c r="EF2515" s="1"/>
      <c r="EG2515" s="1"/>
      <c r="EH2515" s="1"/>
      <c r="EI2515" s="1"/>
      <c r="EJ2515" s="1"/>
      <c r="EK2515" s="1"/>
      <c r="EL2515" s="1"/>
      <c r="EM2515" s="1"/>
      <c r="EN2515" s="1"/>
      <c r="EO2515" s="1"/>
      <c r="EP2515" s="1"/>
      <c r="EQ2515" s="1"/>
      <c r="ER2515" s="1"/>
      <c r="ES2515" s="1"/>
      <c r="ET2515" s="1"/>
      <c r="EU2515" s="1"/>
      <c r="EV2515" s="1"/>
      <c r="EW2515" s="1"/>
      <c r="EX2515" s="1"/>
      <c r="EY2515" s="1"/>
      <c r="EZ2515" s="1"/>
      <c r="FA2515" s="1"/>
      <c r="FB2515" s="1"/>
      <c r="FC2515" s="1"/>
      <c r="FD2515" s="1"/>
      <c r="FE2515" s="1"/>
      <c r="FF2515" s="1"/>
      <c r="FG2515" s="1"/>
      <c r="FH2515" s="1"/>
      <c r="FI2515" s="1"/>
      <c r="FJ2515" s="1"/>
      <c r="FK2515" s="1"/>
      <c r="FL2515" s="1"/>
      <c r="FM2515" s="1"/>
      <c r="FN2515" s="1"/>
      <c r="FO2515" s="1"/>
      <c r="FP2515" s="1"/>
      <c r="FQ2515" s="1"/>
      <c r="FR2515" s="1"/>
      <c r="FS2515" s="1"/>
      <c r="FT2515" s="1"/>
      <c r="FU2515" s="1"/>
      <c r="FV2515" s="1"/>
      <c r="FW2515" s="1"/>
      <c r="FX2515" s="1"/>
      <c r="FY2515" s="1"/>
      <c r="FZ2515" s="1"/>
      <c r="GA2515" s="1"/>
      <c r="GB2515" s="1"/>
      <c r="GC2515" s="1"/>
      <c r="GD2515" s="1"/>
      <c r="GE2515" s="1"/>
      <c r="GF2515" s="1"/>
      <c r="GG2515" s="1"/>
      <c r="GH2515" s="1"/>
      <c r="GI2515" s="1"/>
      <c r="GJ2515" s="1"/>
      <c r="GK2515" s="1"/>
      <c r="GL2515" s="1"/>
      <c r="GM2515" s="1"/>
      <c r="GN2515" s="1"/>
      <c r="GO2515" s="1"/>
      <c r="GP2515" s="1"/>
      <c r="GQ2515" s="1"/>
      <c r="GR2515" s="1"/>
      <c r="GS2515" s="1"/>
      <c r="GT2515" s="1"/>
      <c r="GU2515" s="1"/>
      <c r="GV2515" s="1"/>
      <c r="GW2515" s="1"/>
      <c r="GX2515" s="1"/>
      <c r="GY2515" s="1"/>
      <c r="GZ2515" s="1"/>
      <c r="HA2515" s="1"/>
      <c r="HB2515" s="1"/>
      <c r="HC2515" s="1"/>
      <c r="HD2515" s="1"/>
      <c r="HE2515" s="1"/>
      <c r="HF2515" s="1"/>
      <c r="HG2515" s="1"/>
      <c r="HH2515" s="1"/>
      <c r="HI2515" s="1"/>
      <c r="HJ2515" s="1"/>
      <c r="HK2515" s="1"/>
      <c r="HL2515" s="1"/>
      <c r="HM2515" s="1"/>
      <c r="HN2515" s="1"/>
      <c r="HO2515" s="1"/>
      <c r="HP2515" s="1"/>
      <c r="HQ2515" s="1"/>
    </row>
    <row r="2516" spans="1:225" ht="46.5" x14ac:dyDescent="0.35">
      <c r="A2516" s="251"/>
      <c r="B2516" s="325"/>
      <c r="C2516" s="252"/>
      <c r="D2516" s="253"/>
      <c r="E2516" s="255"/>
      <c r="F2516" s="255"/>
      <c r="G2516" s="258"/>
      <c r="H2516" s="159" t="s">
        <v>705</v>
      </c>
      <c r="I2516" s="158">
        <f>K2516*D2515</f>
        <v>70693.8</v>
      </c>
      <c r="J2516" s="158">
        <f>I2516/D2515</f>
        <v>177</v>
      </c>
      <c r="K2516" s="158">
        <f>163+14</f>
        <v>177</v>
      </c>
      <c r="L2516" s="1"/>
      <c r="M2516" s="1"/>
      <c r="N2516" s="1"/>
      <c r="O2516" s="1"/>
      <c r="P2516" s="1"/>
      <c r="Q2516" s="1"/>
      <c r="R2516" s="1"/>
      <c r="S2516" s="1"/>
      <c r="T2516" s="1"/>
      <c r="U2516" s="1"/>
      <c r="V2516" s="1"/>
      <c r="W2516" s="1"/>
      <c r="X2516" s="1"/>
      <c r="Y2516" s="1"/>
      <c r="Z2516" s="1"/>
      <c r="AA2516" s="1"/>
      <c r="AB2516" s="1"/>
      <c r="AC2516" s="1"/>
      <c r="AD2516" s="1"/>
      <c r="AE2516" s="1"/>
      <c r="AF2516" s="1"/>
      <c r="AG2516" s="1"/>
      <c r="AH2516" s="1"/>
      <c r="AI2516" s="1"/>
      <c r="AJ2516" s="1"/>
      <c r="AK2516" s="1"/>
      <c r="AL2516" s="1"/>
      <c r="AM2516" s="1"/>
      <c r="AN2516" s="1"/>
      <c r="AO2516" s="1"/>
      <c r="AP2516" s="1"/>
      <c r="AQ2516" s="1"/>
      <c r="AR2516" s="1"/>
      <c r="AS2516" s="1"/>
      <c r="AT2516" s="1"/>
      <c r="AU2516" s="1"/>
      <c r="AV2516" s="1"/>
      <c r="AW2516" s="1"/>
      <c r="AX2516" s="1"/>
      <c r="AY2516" s="1"/>
      <c r="AZ2516" s="1"/>
      <c r="BA2516" s="1"/>
      <c r="BB2516" s="1"/>
      <c r="BC2516" s="1"/>
      <c r="BD2516" s="1"/>
      <c r="BE2516" s="1"/>
      <c r="BF2516" s="1"/>
      <c r="BG2516" s="1"/>
      <c r="BH2516" s="1"/>
      <c r="BI2516" s="1"/>
      <c r="BJ2516" s="1"/>
      <c r="BK2516" s="1"/>
      <c r="BL2516" s="1"/>
      <c r="BM2516" s="1"/>
      <c r="BN2516" s="1"/>
      <c r="BO2516" s="1"/>
      <c r="BP2516" s="1"/>
      <c r="BQ2516" s="1"/>
      <c r="BR2516" s="1"/>
      <c r="BS2516" s="1"/>
      <c r="BT2516" s="1"/>
      <c r="BU2516" s="1"/>
      <c r="BV2516" s="1"/>
      <c r="BW2516" s="1"/>
      <c r="BX2516" s="1"/>
      <c r="BY2516" s="1"/>
      <c r="BZ2516" s="1"/>
      <c r="CA2516" s="1"/>
      <c r="CB2516" s="1"/>
      <c r="CC2516" s="1"/>
      <c r="CD2516" s="1"/>
      <c r="CE2516" s="1"/>
      <c r="CF2516" s="1"/>
      <c r="CG2516" s="1"/>
      <c r="CH2516" s="1"/>
      <c r="CI2516" s="1"/>
      <c r="CJ2516" s="1"/>
      <c r="CK2516" s="1"/>
      <c r="CL2516" s="1"/>
      <c r="CM2516" s="1"/>
      <c r="CN2516" s="1"/>
      <c r="CO2516" s="1"/>
      <c r="CP2516" s="1"/>
      <c r="CQ2516" s="1"/>
      <c r="CR2516" s="1"/>
      <c r="CS2516" s="1"/>
      <c r="CT2516" s="1"/>
      <c r="CU2516" s="1"/>
      <c r="CV2516" s="1"/>
      <c r="CW2516" s="1"/>
      <c r="CX2516" s="1"/>
      <c r="CY2516" s="1"/>
      <c r="CZ2516" s="1"/>
      <c r="DA2516" s="1"/>
      <c r="DB2516" s="1"/>
      <c r="DC2516" s="1"/>
      <c r="DD2516" s="1"/>
      <c r="DE2516" s="1"/>
      <c r="DF2516" s="1"/>
      <c r="DG2516" s="1"/>
      <c r="DH2516" s="1"/>
      <c r="DI2516" s="1"/>
      <c r="DJ2516" s="1"/>
      <c r="DK2516" s="1"/>
      <c r="DL2516" s="1"/>
      <c r="DM2516" s="1"/>
      <c r="DN2516" s="1"/>
      <c r="DO2516" s="1"/>
      <c r="DP2516" s="1"/>
      <c r="DQ2516" s="1"/>
      <c r="DR2516" s="1"/>
      <c r="DS2516" s="1"/>
      <c r="DT2516" s="1"/>
      <c r="DU2516" s="1"/>
      <c r="DV2516" s="1"/>
      <c r="DW2516" s="1"/>
      <c r="DX2516" s="1"/>
      <c r="DY2516" s="1"/>
      <c r="DZ2516" s="1"/>
      <c r="EA2516" s="1"/>
      <c r="EB2516" s="1"/>
      <c r="EC2516" s="1"/>
      <c r="ED2516" s="1"/>
      <c r="EE2516" s="1"/>
      <c r="EF2516" s="1"/>
      <c r="EG2516" s="1"/>
      <c r="EH2516" s="1"/>
      <c r="EI2516" s="1"/>
      <c r="EJ2516" s="1"/>
      <c r="EK2516" s="1"/>
      <c r="EL2516" s="1"/>
      <c r="EM2516" s="1"/>
      <c r="EN2516" s="1"/>
      <c r="EO2516" s="1"/>
      <c r="EP2516" s="1"/>
      <c r="EQ2516" s="1"/>
      <c r="ER2516" s="1"/>
      <c r="ES2516" s="1"/>
      <c r="ET2516" s="1"/>
      <c r="EU2516" s="1"/>
      <c r="EV2516" s="1"/>
      <c r="EW2516" s="1"/>
      <c r="EX2516" s="1"/>
      <c r="EY2516" s="1"/>
      <c r="EZ2516" s="1"/>
      <c r="FA2516" s="1"/>
      <c r="FB2516" s="1"/>
      <c r="FC2516" s="1"/>
      <c r="FD2516" s="1"/>
      <c r="FE2516" s="1"/>
      <c r="FF2516" s="1"/>
      <c r="FG2516" s="1"/>
      <c r="FH2516" s="1"/>
      <c r="FI2516" s="1"/>
      <c r="FJ2516" s="1"/>
      <c r="FK2516" s="1"/>
      <c r="FL2516" s="1"/>
      <c r="FM2516" s="1"/>
      <c r="FN2516" s="1"/>
      <c r="FO2516" s="1"/>
      <c r="FP2516" s="1"/>
      <c r="FQ2516" s="1"/>
      <c r="FR2516" s="1"/>
      <c r="FS2516" s="1"/>
      <c r="FT2516" s="1"/>
      <c r="FU2516" s="1"/>
      <c r="FV2516" s="1"/>
      <c r="FW2516" s="1"/>
      <c r="FX2516" s="1"/>
      <c r="FY2516" s="1"/>
      <c r="FZ2516" s="1"/>
      <c r="GA2516" s="1"/>
      <c r="GB2516" s="1"/>
      <c r="GC2516" s="1"/>
      <c r="GD2516" s="1"/>
      <c r="GE2516" s="1"/>
      <c r="GF2516" s="1"/>
      <c r="GG2516" s="1"/>
      <c r="GH2516" s="1"/>
      <c r="GI2516" s="1"/>
      <c r="GJ2516" s="1"/>
      <c r="GK2516" s="1"/>
      <c r="GL2516" s="1"/>
      <c r="GM2516" s="1"/>
      <c r="GN2516" s="1"/>
      <c r="GO2516" s="1"/>
      <c r="GP2516" s="1"/>
      <c r="GQ2516" s="1"/>
      <c r="GR2516" s="1"/>
      <c r="GS2516" s="1"/>
      <c r="GT2516" s="1"/>
      <c r="GU2516" s="1"/>
      <c r="GV2516" s="1"/>
      <c r="GW2516" s="1"/>
      <c r="GX2516" s="1"/>
      <c r="GY2516" s="1"/>
      <c r="GZ2516" s="1"/>
      <c r="HA2516" s="1"/>
      <c r="HB2516" s="1"/>
      <c r="HC2516" s="1"/>
      <c r="HD2516" s="1"/>
      <c r="HE2516" s="1"/>
      <c r="HF2516" s="1"/>
      <c r="HG2516" s="1"/>
      <c r="HH2516" s="1"/>
      <c r="HI2516" s="1"/>
      <c r="HJ2516" s="1"/>
      <c r="HK2516" s="1"/>
      <c r="HL2516" s="1"/>
      <c r="HM2516" s="1"/>
      <c r="HN2516" s="1"/>
      <c r="HO2516" s="1"/>
      <c r="HP2516" s="1"/>
      <c r="HQ2516" s="1"/>
    </row>
    <row r="2517" spans="1:225" ht="15.75" customHeight="1" x14ac:dyDescent="0.35">
      <c r="A2517" s="153" t="s">
        <v>43</v>
      </c>
      <c r="B2517" s="147"/>
      <c r="C2517" s="73"/>
      <c r="D2517" s="142">
        <f>D2518+D2521</f>
        <v>788.4</v>
      </c>
      <c r="E2517" s="51"/>
      <c r="F2517" s="51"/>
      <c r="G2517" s="125"/>
      <c r="H2517" s="162"/>
      <c r="I2517" s="158">
        <f>I2518+I2521</f>
        <v>2778834.2</v>
      </c>
      <c r="J2517" s="158"/>
      <c r="K2517" s="158"/>
      <c r="L2517" s="8"/>
      <c r="M2517" s="8"/>
      <c r="N2517" s="8"/>
      <c r="O2517" s="8"/>
      <c r="P2517" s="8"/>
      <c r="Q2517" s="8"/>
      <c r="R2517" s="8"/>
      <c r="S2517" s="8"/>
      <c r="T2517" s="8"/>
      <c r="U2517" s="8"/>
      <c r="V2517" s="8"/>
      <c r="W2517" s="8"/>
      <c r="X2517" s="1"/>
      <c r="Y2517" s="1"/>
      <c r="Z2517" s="1"/>
      <c r="AA2517" s="1"/>
      <c r="AB2517" s="1"/>
      <c r="AC2517" s="1"/>
      <c r="AD2517" s="1"/>
      <c r="AE2517" s="1"/>
      <c r="AF2517" s="1"/>
      <c r="AG2517" s="1"/>
      <c r="AH2517" s="1"/>
      <c r="AI2517" s="1"/>
      <c r="AJ2517" s="1"/>
      <c r="AK2517" s="1"/>
      <c r="AL2517" s="1"/>
      <c r="AM2517" s="1"/>
      <c r="AN2517" s="1"/>
      <c r="AO2517" s="1"/>
      <c r="AP2517" s="1"/>
      <c r="AQ2517" s="1"/>
      <c r="AR2517" s="1"/>
      <c r="AS2517" s="1"/>
      <c r="AT2517" s="1"/>
      <c r="AU2517" s="1"/>
      <c r="AV2517" s="1"/>
      <c r="AW2517" s="1"/>
      <c r="AX2517" s="1"/>
      <c r="AY2517" s="1"/>
      <c r="AZ2517" s="1"/>
      <c r="BA2517" s="1"/>
      <c r="BB2517" s="1"/>
      <c r="BC2517" s="1"/>
      <c r="BD2517" s="1"/>
      <c r="BE2517" s="1"/>
      <c r="BF2517" s="1"/>
      <c r="BG2517" s="1"/>
      <c r="BH2517" s="1"/>
      <c r="BI2517" s="1"/>
      <c r="BJ2517" s="1"/>
      <c r="BK2517" s="1"/>
      <c r="BL2517" s="1"/>
      <c r="BM2517" s="1"/>
      <c r="BN2517" s="1"/>
      <c r="BO2517" s="1"/>
      <c r="BP2517" s="1"/>
      <c r="BQ2517" s="1"/>
      <c r="BR2517" s="1"/>
      <c r="BS2517" s="1"/>
      <c r="BT2517" s="1"/>
      <c r="BU2517" s="1"/>
      <c r="BV2517" s="1"/>
      <c r="BW2517" s="1"/>
      <c r="BX2517" s="1"/>
      <c r="BY2517" s="1"/>
      <c r="BZ2517" s="1"/>
      <c r="CA2517" s="1"/>
      <c r="CB2517" s="1"/>
      <c r="CC2517" s="1"/>
      <c r="CD2517" s="1"/>
      <c r="CE2517" s="1"/>
      <c r="CF2517" s="1"/>
      <c r="CG2517" s="1"/>
      <c r="CH2517" s="1"/>
      <c r="CI2517" s="1"/>
      <c r="CJ2517" s="1"/>
      <c r="CK2517" s="1"/>
      <c r="CL2517" s="1"/>
      <c r="CM2517" s="1"/>
      <c r="CN2517" s="1"/>
      <c r="CO2517" s="1"/>
      <c r="CP2517" s="1"/>
      <c r="CQ2517" s="1"/>
      <c r="CR2517" s="1"/>
      <c r="CS2517" s="1"/>
      <c r="CT2517" s="1"/>
      <c r="CU2517" s="1"/>
      <c r="CV2517" s="1"/>
      <c r="CW2517" s="1"/>
      <c r="CX2517" s="1"/>
      <c r="CY2517" s="1"/>
      <c r="CZ2517" s="1"/>
      <c r="DA2517" s="1"/>
      <c r="DB2517" s="1"/>
      <c r="DC2517" s="1"/>
      <c r="DD2517" s="1"/>
      <c r="DE2517" s="1"/>
      <c r="DF2517" s="1"/>
      <c r="DG2517" s="1"/>
      <c r="DH2517" s="1"/>
      <c r="DI2517" s="1"/>
      <c r="DJ2517" s="1"/>
      <c r="DK2517" s="1"/>
      <c r="DL2517" s="1"/>
      <c r="DM2517" s="1"/>
      <c r="DN2517" s="1"/>
      <c r="DO2517" s="1"/>
      <c r="DP2517" s="1"/>
      <c r="DQ2517" s="1"/>
      <c r="DR2517" s="1"/>
      <c r="DS2517" s="1"/>
      <c r="DT2517" s="1"/>
      <c r="DU2517" s="1"/>
      <c r="DV2517" s="1"/>
      <c r="DW2517" s="1"/>
      <c r="DX2517" s="1"/>
      <c r="DY2517" s="1"/>
      <c r="DZ2517" s="1"/>
      <c r="EA2517" s="1"/>
      <c r="EB2517" s="1"/>
      <c r="EC2517" s="1"/>
      <c r="ED2517" s="1"/>
      <c r="EE2517" s="1"/>
      <c r="EF2517" s="1"/>
      <c r="EG2517" s="1"/>
      <c r="EH2517" s="1"/>
      <c r="EI2517" s="1"/>
      <c r="EJ2517" s="1"/>
      <c r="EK2517" s="1"/>
      <c r="EL2517" s="1"/>
      <c r="EM2517" s="1"/>
      <c r="EN2517" s="1"/>
      <c r="EO2517" s="1"/>
      <c r="EP2517" s="1"/>
      <c r="EQ2517" s="1"/>
      <c r="ER2517" s="1"/>
      <c r="ES2517" s="1"/>
      <c r="ET2517" s="1"/>
      <c r="EU2517" s="1"/>
      <c r="EV2517" s="1"/>
      <c r="EW2517" s="1"/>
      <c r="EX2517" s="1"/>
      <c r="EY2517" s="1"/>
      <c r="EZ2517" s="1"/>
      <c r="FA2517" s="1"/>
      <c r="FB2517" s="1"/>
      <c r="FC2517" s="1"/>
      <c r="FD2517" s="1"/>
      <c r="FE2517" s="1"/>
      <c r="FF2517" s="1"/>
      <c r="FG2517" s="1"/>
      <c r="FH2517" s="1"/>
      <c r="FI2517" s="1"/>
      <c r="FJ2517" s="1"/>
      <c r="FK2517" s="1"/>
      <c r="FL2517" s="1"/>
      <c r="FM2517" s="1"/>
      <c r="FN2517" s="1"/>
      <c r="FO2517" s="1"/>
      <c r="FP2517" s="1"/>
      <c r="FQ2517" s="1"/>
      <c r="FR2517" s="1"/>
      <c r="FS2517" s="1"/>
      <c r="FT2517" s="1"/>
      <c r="FU2517" s="1"/>
      <c r="FV2517" s="1"/>
      <c r="FW2517" s="1"/>
      <c r="FX2517" s="1"/>
      <c r="FY2517" s="1"/>
      <c r="FZ2517" s="1"/>
      <c r="GA2517" s="1"/>
      <c r="GB2517" s="1"/>
      <c r="GC2517" s="1"/>
      <c r="GD2517" s="1"/>
      <c r="GE2517" s="1"/>
      <c r="GF2517" s="1"/>
      <c r="GG2517" s="1"/>
      <c r="GH2517" s="1"/>
      <c r="GI2517" s="1"/>
      <c r="GJ2517" s="1"/>
      <c r="GK2517" s="1"/>
      <c r="GL2517" s="1"/>
      <c r="GM2517" s="1"/>
      <c r="GN2517" s="1"/>
      <c r="GO2517" s="1"/>
      <c r="GP2517" s="1"/>
      <c r="GQ2517" s="1"/>
      <c r="GR2517" s="1"/>
      <c r="GS2517" s="1"/>
      <c r="GT2517" s="1"/>
      <c r="GU2517" s="1"/>
      <c r="GV2517" s="1"/>
      <c r="GW2517" s="1"/>
      <c r="GX2517" s="1"/>
      <c r="GY2517" s="1"/>
      <c r="GZ2517" s="1"/>
      <c r="HA2517" s="1"/>
      <c r="HB2517" s="1"/>
      <c r="HC2517" s="1"/>
      <c r="HD2517" s="1"/>
      <c r="HE2517" s="1"/>
      <c r="HF2517" s="1"/>
      <c r="HG2517" s="1"/>
      <c r="HH2517" s="1"/>
      <c r="HI2517" s="1"/>
      <c r="HJ2517" s="1"/>
      <c r="HK2517" s="1"/>
      <c r="HL2517" s="1"/>
      <c r="HM2517" s="1"/>
      <c r="HN2517" s="1"/>
      <c r="HO2517" s="1"/>
      <c r="HP2517" s="92"/>
      <c r="HQ2517" s="92"/>
    </row>
    <row r="2518" spans="1:225" ht="15.75" customHeight="1" x14ac:dyDescent="0.35">
      <c r="A2518" s="256">
        <v>1</v>
      </c>
      <c r="B2518" s="256">
        <v>4967</v>
      </c>
      <c r="C2518" s="259" t="s">
        <v>465</v>
      </c>
      <c r="D2518" s="262">
        <v>351.8</v>
      </c>
      <c r="E2518" s="265" t="s">
        <v>75</v>
      </c>
      <c r="F2518" s="265">
        <v>2</v>
      </c>
      <c r="G2518" s="256" t="s">
        <v>72</v>
      </c>
      <c r="H2518" s="159" t="s">
        <v>73</v>
      </c>
      <c r="I2518" s="158">
        <f>I2519+I2520</f>
        <v>2652220.2000000002</v>
      </c>
      <c r="J2518" s="158">
        <f>J2519+J2520</f>
        <v>7539</v>
      </c>
      <c r="K2518" s="158">
        <f>K2519+K2520</f>
        <v>7539</v>
      </c>
      <c r="L2518" s="1"/>
      <c r="M2518" s="1"/>
      <c r="N2518" s="1"/>
      <c r="O2518" s="1"/>
      <c r="P2518" s="1"/>
      <c r="Q2518" s="1"/>
      <c r="R2518" s="1"/>
      <c r="S2518" s="1"/>
      <c r="T2518" s="1"/>
      <c r="U2518" s="1"/>
      <c r="V2518" s="1"/>
      <c r="W2518" s="1"/>
      <c r="X2518" s="1"/>
      <c r="Y2518" s="1"/>
      <c r="Z2518" s="1"/>
      <c r="AA2518" s="1"/>
      <c r="AB2518" s="1"/>
      <c r="AC2518" s="1"/>
      <c r="AD2518" s="1"/>
      <c r="AE2518" s="1"/>
      <c r="AF2518" s="1"/>
      <c r="AG2518" s="1"/>
      <c r="AH2518" s="1"/>
      <c r="AI2518" s="1"/>
      <c r="AJ2518" s="1"/>
      <c r="AK2518" s="1"/>
      <c r="AL2518" s="1"/>
      <c r="AM2518" s="1"/>
      <c r="AN2518" s="1"/>
      <c r="AO2518" s="1"/>
      <c r="AP2518" s="1"/>
      <c r="AQ2518" s="1"/>
      <c r="AR2518" s="1"/>
      <c r="AS2518" s="1"/>
      <c r="AT2518" s="1"/>
      <c r="AU2518" s="1"/>
      <c r="AV2518" s="1"/>
      <c r="AW2518" s="1"/>
      <c r="AX2518" s="1"/>
      <c r="AY2518" s="1"/>
      <c r="AZ2518" s="1"/>
      <c r="BA2518" s="1"/>
      <c r="BB2518" s="1"/>
      <c r="BC2518" s="1"/>
      <c r="BD2518" s="1"/>
      <c r="BE2518" s="1"/>
      <c r="BF2518" s="1"/>
      <c r="BG2518" s="1"/>
      <c r="BH2518" s="1"/>
      <c r="BI2518" s="1"/>
      <c r="BJ2518" s="1"/>
      <c r="BK2518" s="1"/>
      <c r="BL2518" s="1"/>
      <c r="BM2518" s="1"/>
      <c r="BN2518" s="1"/>
      <c r="BO2518" s="1"/>
      <c r="BP2518" s="1"/>
      <c r="BQ2518" s="1"/>
      <c r="BR2518" s="1"/>
      <c r="BS2518" s="1"/>
      <c r="BT2518" s="1"/>
      <c r="BU2518" s="1"/>
      <c r="BV2518" s="1"/>
      <c r="BW2518" s="1"/>
      <c r="BX2518" s="1"/>
      <c r="BY2518" s="1"/>
      <c r="BZ2518" s="1"/>
      <c r="CA2518" s="1"/>
      <c r="CB2518" s="1"/>
      <c r="CC2518" s="1"/>
      <c r="CD2518" s="1"/>
      <c r="CE2518" s="1"/>
      <c r="CF2518" s="1"/>
      <c r="CG2518" s="1"/>
      <c r="CH2518" s="1"/>
      <c r="CI2518" s="1"/>
      <c r="CJ2518" s="1"/>
      <c r="CK2518" s="1"/>
      <c r="CL2518" s="1"/>
      <c r="CM2518" s="1"/>
      <c r="CN2518" s="1"/>
      <c r="CO2518" s="1"/>
      <c r="CP2518" s="1"/>
      <c r="CQ2518" s="1"/>
      <c r="CR2518" s="1"/>
      <c r="CS2518" s="1"/>
      <c r="CT2518" s="1"/>
      <c r="CU2518" s="1"/>
      <c r="CV2518" s="1"/>
      <c r="CW2518" s="1"/>
      <c r="CX2518" s="1"/>
      <c r="CY2518" s="1"/>
      <c r="CZ2518" s="1"/>
      <c r="DA2518" s="1"/>
      <c r="DB2518" s="1"/>
      <c r="DC2518" s="1"/>
      <c r="DD2518" s="1"/>
      <c r="DE2518" s="1"/>
      <c r="DF2518" s="1"/>
      <c r="DG2518" s="1"/>
      <c r="DH2518" s="1"/>
      <c r="DI2518" s="1"/>
      <c r="DJ2518" s="1"/>
      <c r="DK2518" s="1"/>
      <c r="DL2518" s="1"/>
      <c r="DM2518" s="1"/>
      <c r="DN2518" s="1"/>
      <c r="DO2518" s="1"/>
      <c r="DP2518" s="1"/>
      <c r="DQ2518" s="1"/>
      <c r="DR2518" s="1"/>
      <c r="DS2518" s="1"/>
      <c r="DT2518" s="1"/>
      <c r="DU2518" s="1"/>
      <c r="DV2518" s="1"/>
      <c r="DW2518" s="1"/>
      <c r="DX2518" s="1"/>
      <c r="DY2518" s="1"/>
      <c r="DZ2518" s="1"/>
      <c r="EA2518" s="1"/>
      <c r="EB2518" s="1"/>
      <c r="EC2518" s="1"/>
      <c r="ED2518" s="1"/>
      <c r="EE2518" s="1"/>
      <c r="EF2518" s="1"/>
      <c r="EG2518" s="1"/>
      <c r="EH2518" s="1"/>
      <c r="EI2518" s="1"/>
      <c r="EJ2518" s="1"/>
      <c r="EK2518" s="1"/>
      <c r="EL2518" s="1"/>
      <c r="EM2518" s="1"/>
      <c r="EN2518" s="1"/>
      <c r="EO2518" s="1"/>
      <c r="EP2518" s="1"/>
      <c r="EQ2518" s="1"/>
      <c r="ER2518" s="1"/>
      <c r="ES2518" s="1"/>
      <c r="ET2518" s="1"/>
      <c r="EU2518" s="1"/>
      <c r="EV2518" s="1"/>
      <c r="EW2518" s="1"/>
      <c r="EX2518" s="1"/>
      <c r="EY2518" s="1"/>
      <c r="EZ2518" s="1"/>
      <c r="FA2518" s="1"/>
      <c r="FB2518" s="1"/>
      <c r="FC2518" s="1"/>
      <c r="FD2518" s="1"/>
      <c r="FE2518" s="1"/>
      <c r="FF2518" s="1"/>
      <c r="FG2518" s="1"/>
      <c r="FH2518" s="1"/>
      <c r="FI2518" s="1"/>
      <c r="FJ2518" s="1"/>
      <c r="FK2518" s="1"/>
      <c r="FL2518" s="1"/>
      <c r="FM2518" s="1"/>
      <c r="FN2518" s="1"/>
      <c r="FO2518" s="1"/>
      <c r="FP2518" s="1"/>
      <c r="FQ2518" s="1"/>
      <c r="FR2518" s="1"/>
      <c r="FS2518" s="1"/>
      <c r="FT2518" s="1"/>
      <c r="FU2518" s="1"/>
      <c r="FV2518" s="1"/>
      <c r="FW2518" s="1"/>
      <c r="FX2518" s="1"/>
      <c r="FY2518" s="1"/>
      <c r="FZ2518" s="1"/>
      <c r="GA2518" s="1"/>
      <c r="GB2518" s="1"/>
      <c r="GC2518" s="1"/>
      <c r="GD2518" s="1"/>
      <c r="GE2518" s="1"/>
      <c r="GF2518" s="1"/>
      <c r="GG2518" s="1"/>
      <c r="GH2518" s="1"/>
      <c r="GI2518" s="1"/>
      <c r="GJ2518" s="1"/>
      <c r="GK2518" s="1"/>
      <c r="GL2518" s="1"/>
      <c r="GM2518" s="1"/>
      <c r="GN2518" s="1"/>
      <c r="GO2518" s="1"/>
      <c r="GP2518" s="1"/>
      <c r="GQ2518" s="1"/>
      <c r="GR2518" s="1"/>
      <c r="GS2518" s="1"/>
      <c r="GT2518" s="1"/>
      <c r="GU2518" s="1"/>
      <c r="GV2518" s="1"/>
      <c r="GW2518" s="1"/>
      <c r="GX2518" s="1"/>
      <c r="GY2518" s="1"/>
      <c r="GZ2518" s="1"/>
      <c r="HA2518" s="1"/>
      <c r="HB2518" s="1"/>
      <c r="HC2518" s="1"/>
      <c r="HD2518" s="1"/>
      <c r="HE2518" s="1"/>
      <c r="HF2518" s="1"/>
      <c r="HG2518" s="1"/>
      <c r="HH2518" s="1"/>
      <c r="HI2518" s="1"/>
      <c r="HJ2518" s="1"/>
      <c r="HK2518" s="1"/>
      <c r="HL2518" s="1"/>
      <c r="HM2518" s="1"/>
      <c r="HN2518" s="1"/>
      <c r="HO2518" s="1"/>
      <c r="HP2518" s="1"/>
      <c r="HQ2518" s="1"/>
    </row>
    <row r="2519" spans="1:225" ht="15.75" customHeight="1" x14ac:dyDescent="0.35">
      <c r="A2519" s="257">
        <v>1142</v>
      </c>
      <c r="B2519" s="257"/>
      <c r="C2519" s="260"/>
      <c r="D2519" s="263"/>
      <c r="E2519" s="266"/>
      <c r="F2519" s="266"/>
      <c r="G2519" s="257"/>
      <c r="H2519" s="159" t="s">
        <v>74</v>
      </c>
      <c r="I2519" s="158">
        <f>K2519*D2518</f>
        <v>2596635.7999999998</v>
      </c>
      <c r="J2519" s="158">
        <f>I2519/D2518</f>
        <v>7381</v>
      </c>
      <c r="K2519" s="158">
        <v>7381</v>
      </c>
      <c r="L2519" s="1"/>
      <c r="M2519" s="1"/>
      <c r="N2519" s="1"/>
      <c r="O2519" s="1"/>
      <c r="P2519" s="1"/>
      <c r="Q2519" s="1"/>
      <c r="R2519" s="1"/>
      <c r="S2519" s="1"/>
      <c r="T2519" s="1"/>
      <c r="U2519" s="1"/>
      <c r="V2519" s="1"/>
      <c r="W2519" s="1"/>
      <c r="X2519" s="1"/>
      <c r="Y2519" s="1"/>
      <c r="Z2519" s="1"/>
      <c r="AA2519" s="1"/>
      <c r="AB2519" s="1"/>
      <c r="AC2519" s="1"/>
      <c r="AD2519" s="1"/>
      <c r="AE2519" s="1"/>
      <c r="AF2519" s="1"/>
      <c r="AG2519" s="1"/>
      <c r="AH2519" s="1"/>
      <c r="AI2519" s="1"/>
      <c r="AJ2519" s="1"/>
      <c r="AK2519" s="1"/>
      <c r="AL2519" s="1"/>
      <c r="AM2519" s="1"/>
      <c r="AN2519" s="1"/>
      <c r="AO2519" s="1"/>
      <c r="AP2519" s="1"/>
      <c r="AQ2519" s="1"/>
      <c r="AR2519" s="1"/>
      <c r="AS2519" s="1"/>
      <c r="AT2519" s="1"/>
      <c r="AU2519" s="1"/>
      <c r="AV2519" s="1"/>
      <c r="AW2519" s="1"/>
      <c r="AX2519" s="1"/>
      <c r="AY2519" s="1"/>
      <c r="AZ2519" s="1"/>
      <c r="BA2519" s="1"/>
      <c r="BB2519" s="1"/>
      <c r="BC2519" s="1"/>
      <c r="BD2519" s="1"/>
      <c r="BE2519" s="1"/>
      <c r="BF2519" s="1"/>
      <c r="BG2519" s="1"/>
      <c r="BH2519" s="1"/>
      <c r="BI2519" s="1"/>
      <c r="BJ2519" s="1"/>
      <c r="BK2519" s="1"/>
      <c r="BL2519" s="1"/>
      <c r="BM2519" s="1"/>
      <c r="BN2519" s="1"/>
      <c r="BO2519" s="1"/>
      <c r="BP2519" s="1"/>
      <c r="BQ2519" s="1"/>
      <c r="BR2519" s="1"/>
      <c r="BS2519" s="1"/>
      <c r="BT2519" s="1"/>
      <c r="BU2519" s="1"/>
      <c r="BV2519" s="1"/>
      <c r="BW2519" s="1"/>
      <c r="BX2519" s="1"/>
      <c r="BY2519" s="1"/>
      <c r="BZ2519" s="1"/>
      <c r="CA2519" s="1"/>
      <c r="CB2519" s="1"/>
      <c r="CC2519" s="1"/>
      <c r="CD2519" s="1"/>
      <c r="CE2519" s="1"/>
      <c r="CF2519" s="1"/>
      <c r="CG2519" s="1"/>
      <c r="CH2519" s="1"/>
      <c r="CI2519" s="1"/>
      <c r="CJ2519" s="1"/>
      <c r="CK2519" s="1"/>
      <c r="CL2519" s="1"/>
      <c r="CM2519" s="1"/>
      <c r="CN2519" s="1"/>
      <c r="CO2519" s="1"/>
      <c r="CP2519" s="1"/>
      <c r="CQ2519" s="1"/>
      <c r="CR2519" s="1"/>
      <c r="CS2519" s="1"/>
      <c r="CT2519" s="1"/>
      <c r="CU2519" s="1"/>
      <c r="CV2519" s="1"/>
      <c r="CW2519" s="1"/>
      <c r="CX2519" s="1"/>
      <c r="CY2519" s="1"/>
      <c r="CZ2519" s="1"/>
      <c r="DA2519" s="1"/>
      <c r="DB2519" s="1"/>
      <c r="DC2519" s="1"/>
      <c r="DD2519" s="1"/>
      <c r="DE2519" s="1"/>
      <c r="DF2519" s="1"/>
      <c r="DG2519" s="1"/>
      <c r="DH2519" s="1"/>
      <c r="DI2519" s="1"/>
      <c r="DJ2519" s="1"/>
      <c r="DK2519" s="1"/>
      <c r="DL2519" s="1"/>
      <c r="DM2519" s="1"/>
      <c r="DN2519" s="1"/>
      <c r="DO2519" s="1"/>
      <c r="DP2519" s="1"/>
      <c r="DQ2519" s="1"/>
      <c r="DR2519" s="1"/>
      <c r="DS2519" s="1"/>
      <c r="DT2519" s="1"/>
      <c r="DU2519" s="1"/>
      <c r="DV2519" s="1"/>
      <c r="DW2519" s="1"/>
      <c r="DX2519" s="1"/>
      <c r="DY2519" s="1"/>
      <c r="DZ2519" s="1"/>
      <c r="EA2519" s="1"/>
      <c r="EB2519" s="1"/>
      <c r="EC2519" s="1"/>
      <c r="ED2519" s="1"/>
      <c r="EE2519" s="1"/>
      <c r="EF2519" s="1"/>
      <c r="EG2519" s="1"/>
      <c r="EH2519" s="1"/>
      <c r="EI2519" s="1"/>
      <c r="EJ2519" s="1"/>
      <c r="EK2519" s="1"/>
      <c r="EL2519" s="1"/>
      <c r="EM2519" s="1"/>
      <c r="EN2519" s="1"/>
      <c r="EO2519" s="1"/>
      <c r="EP2519" s="1"/>
      <c r="EQ2519" s="1"/>
      <c r="ER2519" s="1"/>
      <c r="ES2519" s="1"/>
      <c r="ET2519" s="1"/>
      <c r="EU2519" s="1"/>
      <c r="EV2519" s="1"/>
      <c r="EW2519" s="1"/>
      <c r="EX2519" s="1"/>
      <c r="EY2519" s="1"/>
      <c r="EZ2519" s="1"/>
      <c r="FA2519" s="1"/>
      <c r="FB2519" s="1"/>
      <c r="FC2519" s="1"/>
      <c r="FD2519" s="1"/>
      <c r="FE2519" s="1"/>
      <c r="FF2519" s="1"/>
      <c r="FG2519" s="1"/>
      <c r="FH2519" s="1"/>
      <c r="FI2519" s="1"/>
      <c r="FJ2519" s="1"/>
      <c r="FK2519" s="1"/>
      <c r="FL2519" s="1"/>
      <c r="FM2519" s="1"/>
      <c r="FN2519" s="1"/>
      <c r="FO2519" s="1"/>
      <c r="FP2519" s="1"/>
      <c r="FQ2519" s="1"/>
      <c r="FR2519" s="1"/>
      <c r="FS2519" s="1"/>
      <c r="FT2519" s="1"/>
      <c r="FU2519" s="1"/>
      <c r="FV2519" s="1"/>
      <c r="FW2519" s="1"/>
      <c r="FX2519" s="1"/>
      <c r="FY2519" s="1"/>
      <c r="FZ2519" s="1"/>
      <c r="GA2519" s="1"/>
      <c r="GB2519" s="1"/>
      <c r="GC2519" s="1"/>
      <c r="GD2519" s="1"/>
      <c r="GE2519" s="1"/>
      <c r="GF2519" s="1"/>
      <c r="GG2519" s="1"/>
      <c r="GH2519" s="1"/>
      <c r="GI2519" s="1"/>
      <c r="GJ2519" s="1"/>
      <c r="GK2519" s="1"/>
      <c r="GL2519" s="1"/>
      <c r="GM2519" s="1"/>
      <c r="GN2519" s="1"/>
      <c r="GO2519" s="1"/>
      <c r="GP2519" s="1"/>
      <c r="GQ2519" s="1"/>
      <c r="GR2519" s="1"/>
      <c r="GS2519" s="1"/>
      <c r="GT2519" s="1"/>
      <c r="GU2519" s="1"/>
      <c r="GV2519" s="1"/>
      <c r="GW2519" s="1"/>
      <c r="GX2519" s="1"/>
      <c r="GY2519" s="1"/>
      <c r="GZ2519" s="1"/>
      <c r="HA2519" s="1"/>
      <c r="HB2519" s="1"/>
      <c r="HC2519" s="1"/>
      <c r="HD2519" s="1"/>
      <c r="HE2519" s="1"/>
      <c r="HF2519" s="1"/>
      <c r="HG2519" s="1"/>
      <c r="HH2519" s="1"/>
      <c r="HI2519" s="1"/>
      <c r="HJ2519" s="1"/>
      <c r="HK2519" s="1"/>
      <c r="HL2519" s="1"/>
      <c r="HM2519" s="1"/>
      <c r="HN2519" s="1"/>
      <c r="HO2519" s="1"/>
      <c r="HP2519" s="1"/>
      <c r="HQ2519" s="1"/>
    </row>
    <row r="2520" spans="1:225" ht="15.75" customHeight="1" x14ac:dyDescent="0.35">
      <c r="A2520" s="258">
        <v>1143</v>
      </c>
      <c r="B2520" s="258"/>
      <c r="C2520" s="261"/>
      <c r="D2520" s="264"/>
      <c r="E2520" s="267"/>
      <c r="F2520" s="267"/>
      <c r="G2520" s="258"/>
      <c r="H2520" s="159" t="s">
        <v>76</v>
      </c>
      <c r="I2520" s="158">
        <f>K2520*D2518</f>
        <v>55584.4</v>
      </c>
      <c r="J2520" s="158">
        <f>I2520/D2518</f>
        <v>158</v>
      </c>
      <c r="K2520" s="158">
        <v>158</v>
      </c>
      <c r="L2520" s="1"/>
      <c r="M2520" s="1"/>
      <c r="N2520" s="1"/>
      <c r="O2520" s="1"/>
      <c r="P2520" s="1"/>
      <c r="Q2520" s="1"/>
      <c r="R2520" s="1"/>
      <c r="S2520" s="1"/>
      <c r="T2520" s="1"/>
      <c r="U2520" s="1"/>
      <c r="V2520" s="1"/>
      <c r="W2520" s="1"/>
      <c r="X2520" s="1"/>
      <c r="Y2520" s="1"/>
      <c r="Z2520" s="1"/>
      <c r="AA2520" s="1"/>
      <c r="AB2520" s="1"/>
      <c r="AC2520" s="1"/>
      <c r="AD2520" s="1"/>
      <c r="AE2520" s="1"/>
      <c r="AF2520" s="1"/>
      <c r="AG2520" s="1"/>
      <c r="AH2520" s="1"/>
      <c r="AI2520" s="1"/>
      <c r="AJ2520" s="1"/>
      <c r="AK2520" s="1"/>
      <c r="AL2520" s="1"/>
      <c r="AM2520" s="1"/>
      <c r="AN2520" s="1"/>
      <c r="AO2520" s="1"/>
      <c r="AP2520" s="1"/>
      <c r="AQ2520" s="1"/>
      <c r="AR2520" s="1"/>
      <c r="AS2520" s="1"/>
      <c r="AT2520" s="1"/>
      <c r="AU2520" s="1"/>
      <c r="AV2520" s="1"/>
      <c r="AW2520" s="1"/>
      <c r="AX2520" s="1"/>
      <c r="AY2520" s="1"/>
      <c r="AZ2520" s="1"/>
      <c r="BA2520" s="1"/>
      <c r="BB2520" s="1"/>
      <c r="BC2520" s="1"/>
      <c r="BD2520" s="1"/>
      <c r="BE2520" s="1"/>
      <c r="BF2520" s="1"/>
      <c r="BG2520" s="1"/>
      <c r="BH2520" s="1"/>
      <c r="BI2520" s="1"/>
      <c r="BJ2520" s="1"/>
      <c r="BK2520" s="1"/>
      <c r="BL2520" s="1"/>
      <c r="BM2520" s="1"/>
      <c r="BN2520" s="1"/>
      <c r="BO2520" s="1"/>
      <c r="BP2520" s="1"/>
      <c r="BQ2520" s="1"/>
      <c r="BR2520" s="1"/>
      <c r="BS2520" s="1"/>
      <c r="BT2520" s="1"/>
      <c r="BU2520" s="1"/>
      <c r="BV2520" s="1"/>
      <c r="BW2520" s="1"/>
      <c r="BX2520" s="1"/>
      <c r="BY2520" s="1"/>
      <c r="BZ2520" s="1"/>
      <c r="CA2520" s="1"/>
      <c r="CB2520" s="1"/>
      <c r="CC2520" s="1"/>
      <c r="CD2520" s="1"/>
      <c r="CE2520" s="1"/>
      <c r="CF2520" s="1"/>
      <c r="CG2520" s="1"/>
      <c r="CH2520" s="1"/>
      <c r="CI2520" s="1"/>
      <c r="CJ2520" s="1"/>
      <c r="CK2520" s="1"/>
      <c r="CL2520" s="1"/>
      <c r="CM2520" s="1"/>
      <c r="CN2520" s="1"/>
      <c r="CO2520" s="1"/>
      <c r="CP2520" s="1"/>
      <c r="CQ2520" s="1"/>
      <c r="CR2520" s="1"/>
      <c r="CS2520" s="1"/>
      <c r="CT2520" s="1"/>
      <c r="CU2520" s="1"/>
      <c r="CV2520" s="1"/>
      <c r="CW2520" s="1"/>
      <c r="CX2520" s="1"/>
      <c r="CY2520" s="1"/>
      <c r="CZ2520" s="1"/>
      <c r="DA2520" s="1"/>
      <c r="DB2520" s="1"/>
      <c r="DC2520" s="1"/>
      <c r="DD2520" s="1"/>
      <c r="DE2520" s="1"/>
      <c r="DF2520" s="1"/>
      <c r="DG2520" s="1"/>
      <c r="DH2520" s="1"/>
      <c r="DI2520" s="1"/>
      <c r="DJ2520" s="1"/>
      <c r="DK2520" s="1"/>
      <c r="DL2520" s="1"/>
      <c r="DM2520" s="1"/>
      <c r="DN2520" s="1"/>
      <c r="DO2520" s="1"/>
      <c r="DP2520" s="1"/>
      <c r="DQ2520" s="1"/>
      <c r="DR2520" s="1"/>
      <c r="DS2520" s="1"/>
      <c r="DT2520" s="1"/>
      <c r="DU2520" s="1"/>
      <c r="DV2520" s="1"/>
      <c r="DW2520" s="1"/>
      <c r="DX2520" s="1"/>
      <c r="DY2520" s="1"/>
      <c r="DZ2520" s="1"/>
      <c r="EA2520" s="1"/>
      <c r="EB2520" s="1"/>
      <c r="EC2520" s="1"/>
      <c r="ED2520" s="1"/>
      <c r="EE2520" s="1"/>
      <c r="EF2520" s="1"/>
      <c r="EG2520" s="1"/>
      <c r="EH2520" s="1"/>
      <c r="EI2520" s="1"/>
      <c r="EJ2520" s="1"/>
      <c r="EK2520" s="1"/>
      <c r="EL2520" s="1"/>
      <c r="EM2520" s="1"/>
      <c r="EN2520" s="1"/>
      <c r="EO2520" s="1"/>
      <c r="EP2520" s="1"/>
      <c r="EQ2520" s="1"/>
      <c r="ER2520" s="1"/>
      <c r="ES2520" s="1"/>
      <c r="ET2520" s="1"/>
      <c r="EU2520" s="1"/>
      <c r="EV2520" s="1"/>
      <c r="EW2520" s="1"/>
      <c r="EX2520" s="1"/>
      <c r="EY2520" s="1"/>
      <c r="EZ2520" s="1"/>
      <c r="FA2520" s="1"/>
      <c r="FB2520" s="1"/>
      <c r="FC2520" s="1"/>
      <c r="FD2520" s="1"/>
      <c r="FE2520" s="1"/>
      <c r="FF2520" s="1"/>
      <c r="FG2520" s="1"/>
      <c r="FH2520" s="1"/>
      <c r="FI2520" s="1"/>
      <c r="FJ2520" s="1"/>
      <c r="FK2520" s="1"/>
      <c r="FL2520" s="1"/>
      <c r="FM2520" s="1"/>
      <c r="FN2520" s="1"/>
      <c r="FO2520" s="1"/>
      <c r="FP2520" s="1"/>
      <c r="FQ2520" s="1"/>
      <c r="FR2520" s="1"/>
      <c r="FS2520" s="1"/>
      <c r="FT2520" s="1"/>
      <c r="FU2520" s="1"/>
      <c r="FV2520" s="1"/>
      <c r="FW2520" s="1"/>
      <c r="FX2520" s="1"/>
      <c r="FY2520" s="1"/>
      <c r="FZ2520" s="1"/>
      <c r="GA2520" s="1"/>
      <c r="GB2520" s="1"/>
      <c r="GC2520" s="1"/>
      <c r="GD2520" s="1"/>
      <c r="GE2520" s="1"/>
      <c r="GF2520" s="1"/>
      <c r="GG2520" s="1"/>
      <c r="GH2520" s="1"/>
      <c r="GI2520" s="1"/>
      <c r="GJ2520" s="1"/>
      <c r="GK2520" s="1"/>
      <c r="GL2520" s="1"/>
      <c r="GM2520" s="1"/>
      <c r="GN2520" s="1"/>
      <c r="GO2520" s="1"/>
      <c r="GP2520" s="1"/>
      <c r="GQ2520" s="1"/>
      <c r="GR2520" s="1"/>
      <c r="GS2520" s="1"/>
      <c r="GT2520" s="1"/>
      <c r="GU2520" s="1"/>
      <c r="GV2520" s="1"/>
      <c r="GW2520" s="1"/>
      <c r="GX2520" s="1"/>
      <c r="GY2520" s="1"/>
      <c r="GZ2520" s="1"/>
      <c r="HA2520" s="1"/>
      <c r="HB2520" s="1"/>
      <c r="HC2520" s="1"/>
      <c r="HD2520" s="1"/>
      <c r="HE2520" s="1"/>
      <c r="HF2520" s="1"/>
      <c r="HG2520" s="1"/>
      <c r="HH2520" s="1"/>
      <c r="HI2520" s="1"/>
      <c r="HJ2520" s="1"/>
      <c r="HK2520" s="1"/>
      <c r="HL2520" s="1"/>
      <c r="HM2520" s="1"/>
      <c r="HN2520" s="1"/>
      <c r="HO2520" s="1"/>
      <c r="HP2520" s="1"/>
      <c r="HQ2520" s="1"/>
    </row>
    <row r="2521" spans="1:225" ht="15.75" customHeight="1" x14ac:dyDescent="0.35">
      <c r="A2521" s="256">
        <f>A2518+1</f>
        <v>2</v>
      </c>
      <c r="B2521" s="256">
        <v>4971</v>
      </c>
      <c r="C2521" s="259" t="s">
        <v>639</v>
      </c>
      <c r="D2521" s="262">
        <v>436.6</v>
      </c>
      <c r="E2521" s="265" t="s">
        <v>75</v>
      </c>
      <c r="F2521" s="265">
        <v>2</v>
      </c>
      <c r="G2521" s="256" t="s">
        <v>85</v>
      </c>
      <c r="H2521" s="159" t="s">
        <v>73</v>
      </c>
      <c r="I2521" s="158">
        <f>I2523+I2522</f>
        <v>126614</v>
      </c>
      <c r="J2521" s="158">
        <f>J2523+J2522</f>
        <v>290</v>
      </c>
      <c r="K2521" s="158">
        <f>K2523+K2522</f>
        <v>290</v>
      </c>
      <c r="L2521" s="1"/>
      <c r="M2521" s="1"/>
      <c r="N2521" s="1"/>
      <c r="O2521" s="1"/>
      <c r="P2521" s="1"/>
      <c r="Q2521" s="1"/>
      <c r="R2521" s="1"/>
      <c r="S2521" s="1"/>
      <c r="T2521" s="1"/>
      <c r="U2521" s="1"/>
      <c r="V2521" s="1"/>
      <c r="W2521" s="1"/>
      <c r="X2521" s="1"/>
      <c r="Y2521" s="1"/>
      <c r="Z2521" s="1"/>
      <c r="AA2521" s="1"/>
      <c r="AB2521" s="1"/>
      <c r="AC2521" s="1"/>
      <c r="AD2521" s="1"/>
      <c r="AE2521" s="1"/>
      <c r="AF2521" s="1"/>
      <c r="AG2521" s="1"/>
      <c r="AH2521" s="1"/>
      <c r="AI2521" s="1"/>
      <c r="AJ2521" s="1"/>
      <c r="AK2521" s="1"/>
      <c r="AL2521" s="1"/>
      <c r="AM2521" s="1"/>
      <c r="AN2521" s="1"/>
      <c r="AO2521" s="1"/>
      <c r="AP2521" s="1"/>
      <c r="AQ2521" s="1"/>
      <c r="AR2521" s="1"/>
      <c r="AS2521" s="1"/>
      <c r="AT2521" s="1"/>
      <c r="AU2521" s="1"/>
      <c r="AV2521" s="1"/>
      <c r="AW2521" s="1"/>
      <c r="AX2521" s="1"/>
      <c r="AY2521" s="1"/>
      <c r="AZ2521" s="1"/>
      <c r="BA2521" s="1"/>
      <c r="BB2521" s="1"/>
      <c r="BC2521" s="1"/>
      <c r="BD2521" s="1"/>
      <c r="BE2521" s="1"/>
      <c r="BF2521" s="1"/>
      <c r="BG2521" s="1"/>
      <c r="BH2521" s="1"/>
      <c r="BI2521" s="1"/>
      <c r="BJ2521" s="1"/>
      <c r="BK2521" s="1"/>
      <c r="BL2521" s="1"/>
      <c r="BM2521" s="1"/>
      <c r="BN2521" s="1"/>
      <c r="BO2521" s="1"/>
      <c r="BP2521" s="1"/>
      <c r="BQ2521" s="1"/>
      <c r="BR2521" s="1"/>
      <c r="BS2521" s="1"/>
      <c r="BT2521" s="1"/>
      <c r="BU2521" s="1"/>
      <c r="BV2521" s="1"/>
      <c r="BW2521" s="1"/>
      <c r="BX2521" s="1"/>
      <c r="BY2521" s="1"/>
      <c r="BZ2521" s="1"/>
      <c r="CA2521" s="1"/>
      <c r="CB2521" s="1"/>
      <c r="CC2521" s="1"/>
      <c r="CD2521" s="1"/>
      <c r="CE2521" s="1"/>
      <c r="CF2521" s="1"/>
      <c r="CG2521" s="1"/>
      <c r="CH2521" s="1"/>
      <c r="CI2521" s="1"/>
      <c r="CJ2521" s="1"/>
      <c r="CK2521" s="1"/>
      <c r="CL2521" s="1"/>
      <c r="CM2521" s="1"/>
      <c r="CN2521" s="1"/>
      <c r="CO2521" s="1"/>
      <c r="CP2521" s="1"/>
      <c r="CQ2521" s="1"/>
      <c r="CR2521" s="1"/>
      <c r="CS2521" s="1"/>
      <c r="CT2521" s="1"/>
      <c r="CU2521" s="1"/>
      <c r="CV2521" s="1"/>
      <c r="CW2521" s="1"/>
      <c r="CX2521" s="1"/>
      <c r="CY2521" s="1"/>
      <c r="CZ2521" s="1"/>
      <c r="DA2521" s="1"/>
      <c r="DB2521" s="1"/>
      <c r="DC2521" s="1"/>
      <c r="DD2521" s="1"/>
      <c r="DE2521" s="1"/>
      <c r="DF2521" s="1"/>
      <c r="DG2521" s="1"/>
      <c r="DH2521" s="1"/>
      <c r="DI2521" s="1"/>
      <c r="DJ2521" s="1"/>
      <c r="DK2521" s="1"/>
      <c r="DL2521" s="1"/>
      <c r="DM2521" s="1"/>
      <c r="DN2521" s="1"/>
      <c r="DO2521" s="1"/>
      <c r="DP2521" s="1"/>
      <c r="DQ2521" s="1"/>
      <c r="DR2521" s="1"/>
      <c r="DS2521" s="1"/>
      <c r="DT2521" s="1"/>
      <c r="DU2521" s="1"/>
      <c r="DV2521" s="1"/>
      <c r="DW2521" s="1"/>
      <c r="DX2521" s="1"/>
      <c r="DY2521" s="1"/>
      <c r="DZ2521" s="1"/>
      <c r="EA2521" s="1"/>
      <c r="EB2521" s="1"/>
      <c r="EC2521" s="1"/>
      <c r="ED2521" s="1"/>
      <c r="EE2521" s="1"/>
      <c r="EF2521" s="1"/>
      <c r="EG2521" s="1"/>
      <c r="EH2521" s="1"/>
      <c r="EI2521" s="1"/>
      <c r="EJ2521" s="1"/>
      <c r="EK2521" s="1"/>
      <c r="EL2521" s="1"/>
      <c r="EM2521" s="1"/>
      <c r="EN2521" s="1"/>
      <c r="EO2521" s="1"/>
      <c r="EP2521" s="1"/>
      <c r="EQ2521" s="1"/>
      <c r="ER2521" s="1"/>
      <c r="ES2521" s="1"/>
      <c r="ET2521" s="1"/>
      <c r="EU2521" s="1"/>
      <c r="EV2521" s="1"/>
      <c r="EW2521" s="1"/>
      <c r="EX2521" s="1"/>
      <c r="EY2521" s="1"/>
      <c r="EZ2521" s="1"/>
      <c r="FA2521" s="1"/>
      <c r="FB2521" s="1"/>
      <c r="FC2521" s="1"/>
      <c r="FD2521" s="1"/>
      <c r="FE2521" s="1"/>
      <c r="FF2521" s="1"/>
      <c r="FG2521" s="1"/>
      <c r="FH2521" s="1"/>
      <c r="FI2521" s="1"/>
      <c r="FJ2521" s="1"/>
      <c r="FK2521" s="1"/>
      <c r="FL2521" s="1"/>
      <c r="FM2521" s="1"/>
      <c r="FN2521" s="1"/>
      <c r="FO2521" s="1"/>
      <c r="FP2521" s="1"/>
      <c r="FQ2521" s="1"/>
      <c r="FR2521" s="1"/>
      <c r="FS2521" s="1"/>
      <c r="FT2521" s="1"/>
      <c r="FU2521" s="1"/>
      <c r="FV2521" s="1"/>
      <c r="FW2521" s="1"/>
      <c r="FX2521" s="1"/>
      <c r="FY2521" s="1"/>
      <c r="FZ2521" s="1"/>
      <c r="GA2521" s="1"/>
      <c r="GB2521" s="1"/>
      <c r="GC2521" s="1"/>
      <c r="GD2521" s="1"/>
      <c r="GE2521" s="1"/>
      <c r="GF2521" s="1"/>
      <c r="GG2521" s="1"/>
      <c r="GH2521" s="1"/>
      <c r="GI2521" s="1"/>
      <c r="GJ2521" s="1"/>
      <c r="GK2521" s="1"/>
      <c r="GL2521" s="1"/>
      <c r="GM2521" s="1"/>
      <c r="GN2521" s="1"/>
      <c r="GO2521" s="1"/>
      <c r="GP2521" s="1"/>
      <c r="GQ2521" s="1"/>
      <c r="GR2521" s="1"/>
      <c r="GS2521" s="1"/>
      <c r="GT2521" s="1"/>
      <c r="GU2521" s="1"/>
      <c r="GV2521" s="1"/>
      <c r="GW2521" s="1"/>
      <c r="GX2521" s="1"/>
      <c r="GY2521" s="1"/>
      <c r="GZ2521" s="1"/>
      <c r="HA2521" s="1"/>
      <c r="HB2521" s="1"/>
      <c r="HC2521" s="1"/>
      <c r="HD2521" s="1"/>
      <c r="HE2521" s="1"/>
      <c r="HF2521" s="1"/>
      <c r="HG2521" s="1"/>
      <c r="HH2521" s="1"/>
      <c r="HI2521" s="1"/>
      <c r="HJ2521" s="1"/>
      <c r="HK2521" s="1"/>
      <c r="HL2521" s="1"/>
      <c r="HM2521" s="1"/>
      <c r="HN2521" s="1"/>
      <c r="HO2521" s="1"/>
      <c r="HP2521" s="1"/>
      <c r="HQ2521" s="1"/>
    </row>
    <row r="2522" spans="1:225" ht="49.5" customHeight="1" x14ac:dyDescent="0.35">
      <c r="A2522" s="257"/>
      <c r="B2522" s="257"/>
      <c r="C2522" s="260"/>
      <c r="D2522" s="263"/>
      <c r="E2522" s="266"/>
      <c r="F2522" s="266"/>
      <c r="G2522" s="257"/>
      <c r="H2522" s="159" t="s">
        <v>705</v>
      </c>
      <c r="I2522" s="158">
        <f>D2521*K2522</f>
        <v>49772.4</v>
      </c>
      <c r="J2522" s="158">
        <f>I2522/D2521</f>
        <v>114</v>
      </c>
      <c r="K2522" s="158">
        <f>105+9</f>
        <v>114</v>
      </c>
      <c r="L2522" s="1"/>
      <c r="M2522" s="1"/>
      <c r="N2522" s="1"/>
      <c r="O2522" s="1"/>
      <c r="P2522" s="1"/>
      <c r="Q2522" s="1"/>
      <c r="R2522" s="1"/>
      <c r="S2522" s="1"/>
      <c r="T2522" s="1"/>
      <c r="U2522" s="1"/>
      <c r="V2522" s="1"/>
      <c r="W2522" s="1"/>
      <c r="X2522" s="1"/>
      <c r="Y2522" s="1"/>
      <c r="Z2522" s="1"/>
      <c r="AA2522" s="1"/>
      <c r="AB2522" s="1"/>
      <c r="AC2522" s="1"/>
      <c r="AD2522" s="1"/>
      <c r="AE2522" s="1"/>
      <c r="AF2522" s="1"/>
      <c r="AG2522" s="1"/>
      <c r="AH2522" s="1"/>
      <c r="AI2522" s="1"/>
      <c r="AJ2522" s="1"/>
      <c r="AK2522" s="1"/>
      <c r="AL2522" s="1"/>
      <c r="AM2522" s="1"/>
      <c r="AN2522" s="1"/>
      <c r="AO2522" s="1"/>
      <c r="AP2522" s="1"/>
      <c r="AQ2522" s="1"/>
      <c r="AR2522" s="1"/>
      <c r="AS2522" s="1"/>
      <c r="AT2522" s="1"/>
      <c r="AU2522" s="1"/>
      <c r="AV2522" s="1"/>
      <c r="AW2522" s="1"/>
      <c r="AX2522" s="1"/>
      <c r="AY2522" s="1"/>
      <c r="AZ2522" s="1"/>
      <c r="BA2522" s="1"/>
      <c r="BB2522" s="1"/>
      <c r="BC2522" s="1"/>
      <c r="BD2522" s="1"/>
      <c r="BE2522" s="1"/>
      <c r="BF2522" s="1"/>
      <c r="BG2522" s="1"/>
      <c r="BH2522" s="1"/>
      <c r="BI2522" s="1"/>
      <c r="BJ2522" s="1"/>
      <c r="BK2522" s="1"/>
      <c r="BL2522" s="1"/>
      <c r="BM2522" s="1"/>
      <c r="BN2522" s="1"/>
      <c r="BO2522" s="1"/>
      <c r="BP2522" s="1"/>
      <c r="BQ2522" s="1"/>
      <c r="BR2522" s="1"/>
      <c r="BS2522" s="1"/>
      <c r="BT2522" s="1"/>
      <c r="BU2522" s="1"/>
      <c r="BV2522" s="1"/>
      <c r="BW2522" s="1"/>
      <c r="BX2522" s="1"/>
      <c r="BY2522" s="1"/>
      <c r="BZ2522" s="1"/>
      <c r="CA2522" s="1"/>
      <c r="CB2522" s="1"/>
      <c r="CC2522" s="1"/>
      <c r="CD2522" s="1"/>
      <c r="CE2522" s="1"/>
      <c r="CF2522" s="1"/>
      <c r="CG2522" s="1"/>
      <c r="CH2522" s="1"/>
      <c r="CI2522" s="1"/>
      <c r="CJ2522" s="1"/>
      <c r="CK2522" s="1"/>
      <c r="CL2522" s="1"/>
      <c r="CM2522" s="1"/>
      <c r="CN2522" s="1"/>
      <c r="CO2522" s="1"/>
      <c r="CP2522" s="1"/>
      <c r="CQ2522" s="1"/>
      <c r="CR2522" s="1"/>
      <c r="CS2522" s="1"/>
      <c r="CT2522" s="1"/>
      <c r="CU2522" s="1"/>
      <c r="CV2522" s="1"/>
      <c r="CW2522" s="1"/>
      <c r="CX2522" s="1"/>
      <c r="CY2522" s="1"/>
      <c r="CZ2522" s="1"/>
      <c r="DA2522" s="1"/>
      <c r="DB2522" s="1"/>
      <c r="DC2522" s="1"/>
      <c r="DD2522" s="1"/>
      <c r="DE2522" s="1"/>
      <c r="DF2522" s="1"/>
      <c r="DG2522" s="1"/>
      <c r="DH2522" s="1"/>
      <c r="DI2522" s="1"/>
      <c r="DJ2522" s="1"/>
      <c r="DK2522" s="1"/>
      <c r="DL2522" s="1"/>
      <c r="DM2522" s="1"/>
      <c r="DN2522" s="1"/>
      <c r="DO2522" s="1"/>
      <c r="DP2522" s="1"/>
      <c r="DQ2522" s="1"/>
      <c r="DR2522" s="1"/>
      <c r="DS2522" s="1"/>
      <c r="DT2522" s="1"/>
      <c r="DU2522" s="1"/>
      <c r="DV2522" s="1"/>
      <c r="DW2522" s="1"/>
      <c r="DX2522" s="1"/>
      <c r="DY2522" s="1"/>
      <c r="DZ2522" s="1"/>
      <c r="EA2522" s="1"/>
      <c r="EB2522" s="1"/>
      <c r="EC2522" s="1"/>
      <c r="ED2522" s="1"/>
      <c r="EE2522" s="1"/>
      <c r="EF2522" s="1"/>
      <c r="EG2522" s="1"/>
      <c r="EH2522" s="1"/>
      <c r="EI2522" s="1"/>
      <c r="EJ2522" s="1"/>
      <c r="EK2522" s="1"/>
      <c r="EL2522" s="1"/>
      <c r="EM2522" s="1"/>
      <c r="EN2522" s="1"/>
      <c r="EO2522" s="1"/>
      <c r="EP2522" s="1"/>
      <c r="EQ2522" s="1"/>
      <c r="ER2522" s="1"/>
      <c r="ES2522" s="1"/>
      <c r="ET2522" s="1"/>
      <c r="EU2522" s="1"/>
      <c r="EV2522" s="1"/>
      <c r="EW2522" s="1"/>
      <c r="EX2522" s="1"/>
      <c r="EY2522" s="1"/>
      <c r="EZ2522" s="1"/>
      <c r="FA2522" s="1"/>
      <c r="FB2522" s="1"/>
      <c r="FC2522" s="1"/>
      <c r="FD2522" s="1"/>
      <c r="FE2522" s="1"/>
      <c r="FF2522" s="1"/>
      <c r="FG2522" s="1"/>
      <c r="FH2522" s="1"/>
      <c r="FI2522" s="1"/>
      <c r="FJ2522" s="1"/>
      <c r="FK2522" s="1"/>
      <c r="FL2522" s="1"/>
      <c r="FM2522" s="1"/>
      <c r="FN2522" s="1"/>
      <c r="FO2522" s="1"/>
      <c r="FP2522" s="1"/>
      <c r="FQ2522" s="1"/>
      <c r="FR2522" s="1"/>
      <c r="FS2522" s="1"/>
      <c r="FT2522" s="1"/>
      <c r="FU2522" s="1"/>
      <c r="FV2522" s="1"/>
      <c r="FW2522" s="1"/>
      <c r="FX2522" s="1"/>
      <c r="FY2522" s="1"/>
      <c r="FZ2522" s="1"/>
      <c r="GA2522" s="1"/>
      <c r="GB2522" s="1"/>
      <c r="GC2522" s="1"/>
      <c r="GD2522" s="1"/>
      <c r="GE2522" s="1"/>
      <c r="GF2522" s="1"/>
      <c r="GG2522" s="1"/>
      <c r="GH2522" s="1"/>
      <c r="GI2522" s="1"/>
      <c r="GJ2522" s="1"/>
      <c r="GK2522" s="1"/>
      <c r="GL2522" s="1"/>
      <c r="GM2522" s="1"/>
      <c r="GN2522" s="1"/>
      <c r="GO2522" s="1"/>
      <c r="GP2522" s="1"/>
      <c r="GQ2522" s="1"/>
      <c r="GR2522" s="1"/>
      <c r="GS2522" s="1"/>
      <c r="GT2522" s="1"/>
      <c r="GU2522" s="1"/>
      <c r="GV2522" s="1"/>
      <c r="GW2522" s="1"/>
      <c r="GX2522" s="1"/>
      <c r="GY2522" s="1"/>
      <c r="GZ2522" s="1"/>
      <c r="HA2522" s="1"/>
      <c r="HB2522" s="1"/>
      <c r="HC2522" s="1"/>
      <c r="HD2522" s="1"/>
      <c r="HE2522" s="1"/>
      <c r="HF2522" s="1"/>
      <c r="HG2522" s="1"/>
      <c r="HH2522" s="1"/>
      <c r="HI2522" s="1"/>
      <c r="HJ2522" s="1"/>
      <c r="HK2522" s="1"/>
      <c r="HL2522" s="1"/>
      <c r="HM2522" s="1"/>
      <c r="HN2522" s="1"/>
      <c r="HO2522" s="1"/>
      <c r="HP2522" s="1"/>
      <c r="HQ2522" s="1"/>
    </row>
    <row r="2523" spans="1:225" ht="49.5" customHeight="1" x14ac:dyDescent="0.35">
      <c r="A2523" s="258"/>
      <c r="B2523" s="258"/>
      <c r="C2523" s="261"/>
      <c r="D2523" s="264"/>
      <c r="E2523" s="267"/>
      <c r="F2523" s="267"/>
      <c r="G2523" s="258"/>
      <c r="H2523" s="159" t="s">
        <v>706</v>
      </c>
      <c r="I2523" s="158">
        <f>D2521*K2523</f>
        <v>76841.600000000006</v>
      </c>
      <c r="J2523" s="158">
        <f>I2523/D2521</f>
        <v>176</v>
      </c>
      <c r="K2523" s="158">
        <f>162+14</f>
        <v>176</v>
      </c>
      <c r="L2523" s="1"/>
      <c r="M2523" s="1"/>
      <c r="N2523" s="1"/>
      <c r="O2523" s="1"/>
      <c r="P2523" s="1"/>
      <c r="Q2523" s="1"/>
      <c r="R2523" s="1"/>
      <c r="S2523" s="1"/>
      <c r="T2523" s="1"/>
      <c r="U2523" s="1"/>
      <c r="V2523" s="1"/>
      <c r="W2523" s="1"/>
      <c r="X2523" s="1"/>
      <c r="Y2523" s="1"/>
      <c r="Z2523" s="1"/>
      <c r="AA2523" s="1"/>
      <c r="AB2523" s="1"/>
      <c r="AC2523" s="1"/>
      <c r="AD2523" s="1"/>
      <c r="AE2523" s="1"/>
      <c r="AF2523" s="1"/>
      <c r="AG2523" s="1"/>
      <c r="AH2523" s="1"/>
      <c r="AI2523" s="1"/>
      <c r="AJ2523" s="1"/>
      <c r="AK2523" s="1"/>
      <c r="AL2523" s="1"/>
      <c r="AM2523" s="1"/>
      <c r="AN2523" s="1"/>
      <c r="AO2523" s="1"/>
      <c r="AP2523" s="1"/>
      <c r="AQ2523" s="1"/>
      <c r="AR2523" s="1"/>
      <c r="AS2523" s="1"/>
      <c r="AT2523" s="1"/>
      <c r="AU2523" s="1"/>
      <c r="AV2523" s="1"/>
      <c r="AW2523" s="1"/>
      <c r="AX2523" s="1"/>
      <c r="AY2523" s="1"/>
      <c r="AZ2523" s="1"/>
      <c r="BA2523" s="1"/>
      <c r="BB2523" s="1"/>
      <c r="BC2523" s="1"/>
      <c r="BD2523" s="1"/>
      <c r="BE2523" s="1"/>
      <c r="BF2523" s="1"/>
      <c r="BG2523" s="1"/>
      <c r="BH2523" s="1"/>
      <c r="BI2523" s="1"/>
      <c r="BJ2523" s="1"/>
      <c r="BK2523" s="1"/>
      <c r="BL2523" s="1"/>
      <c r="BM2523" s="1"/>
      <c r="BN2523" s="1"/>
      <c r="BO2523" s="1"/>
      <c r="BP2523" s="1"/>
      <c r="BQ2523" s="1"/>
      <c r="BR2523" s="1"/>
      <c r="BS2523" s="1"/>
      <c r="BT2523" s="1"/>
      <c r="BU2523" s="1"/>
      <c r="BV2523" s="1"/>
      <c r="BW2523" s="1"/>
      <c r="BX2523" s="1"/>
      <c r="BY2523" s="1"/>
      <c r="BZ2523" s="1"/>
      <c r="CA2523" s="1"/>
      <c r="CB2523" s="1"/>
      <c r="CC2523" s="1"/>
      <c r="CD2523" s="1"/>
      <c r="CE2523" s="1"/>
      <c r="CF2523" s="1"/>
      <c r="CG2523" s="1"/>
      <c r="CH2523" s="1"/>
      <c r="CI2523" s="1"/>
      <c r="CJ2523" s="1"/>
      <c r="CK2523" s="1"/>
      <c r="CL2523" s="1"/>
      <c r="CM2523" s="1"/>
      <c r="CN2523" s="1"/>
      <c r="CO2523" s="1"/>
      <c r="CP2523" s="1"/>
      <c r="CQ2523" s="1"/>
      <c r="CR2523" s="1"/>
      <c r="CS2523" s="1"/>
      <c r="CT2523" s="1"/>
      <c r="CU2523" s="1"/>
      <c r="CV2523" s="1"/>
      <c r="CW2523" s="1"/>
      <c r="CX2523" s="1"/>
      <c r="CY2523" s="1"/>
      <c r="CZ2523" s="1"/>
      <c r="DA2523" s="1"/>
      <c r="DB2523" s="1"/>
      <c r="DC2523" s="1"/>
      <c r="DD2523" s="1"/>
      <c r="DE2523" s="1"/>
      <c r="DF2523" s="1"/>
      <c r="DG2523" s="1"/>
      <c r="DH2523" s="1"/>
      <c r="DI2523" s="1"/>
      <c r="DJ2523" s="1"/>
      <c r="DK2523" s="1"/>
      <c r="DL2523" s="1"/>
      <c r="DM2523" s="1"/>
      <c r="DN2523" s="1"/>
      <c r="DO2523" s="1"/>
      <c r="DP2523" s="1"/>
      <c r="DQ2523" s="1"/>
      <c r="DR2523" s="1"/>
      <c r="DS2523" s="1"/>
      <c r="DT2523" s="1"/>
      <c r="DU2523" s="1"/>
      <c r="DV2523" s="1"/>
      <c r="DW2523" s="1"/>
      <c r="DX2523" s="1"/>
      <c r="DY2523" s="1"/>
      <c r="DZ2523" s="1"/>
      <c r="EA2523" s="1"/>
      <c r="EB2523" s="1"/>
      <c r="EC2523" s="1"/>
      <c r="ED2523" s="1"/>
      <c r="EE2523" s="1"/>
      <c r="EF2523" s="1"/>
      <c r="EG2523" s="1"/>
      <c r="EH2523" s="1"/>
      <c r="EI2523" s="1"/>
      <c r="EJ2523" s="1"/>
      <c r="EK2523" s="1"/>
      <c r="EL2523" s="1"/>
      <c r="EM2523" s="1"/>
      <c r="EN2523" s="1"/>
      <c r="EO2523" s="1"/>
      <c r="EP2523" s="1"/>
      <c r="EQ2523" s="1"/>
      <c r="ER2523" s="1"/>
      <c r="ES2523" s="1"/>
      <c r="ET2523" s="1"/>
      <c r="EU2523" s="1"/>
      <c r="EV2523" s="1"/>
      <c r="EW2523" s="1"/>
      <c r="EX2523" s="1"/>
      <c r="EY2523" s="1"/>
      <c r="EZ2523" s="1"/>
      <c r="FA2523" s="1"/>
      <c r="FB2523" s="1"/>
      <c r="FC2523" s="1"/>
      <c r="FD2523" s="1"/>
      <c r="FE2523" s="1"/>
      <c r="FF2523" s="1"/>
      <c r="FG2523" s="1"/>
      <c r="FH2523" s="1"/>
      <c r="FI2523" s="1"/>
      <c r="FJ2523" s="1"/>
      <c r="FK2523" s="1"/>
      <c r="FL2523" s="1"/>
      <c r="FM2523" s="1"/>
      <c r="FN2523" s="1"/>
      <c r="FO2523" s="1"/>
      <c r="FP2523" s="1"/>
      <c r="FQ2523" s="1"/>
      <c r="FR2523" s="1"/>
      <c r="FS2523" s="1"/>
      <c r="FT2523" s="1"/>
      <c r="FU2523" s="1"/>
      <c r="FV2523" s="1"/>
      <c r="FW2523" s="1"/>
      <c r="FX2523" s="1"/>
      <c r="FY2523" s="1"/>
      <c r="FZ2523" s="1"/>
      <c r="GA2523" s="1"/>
      <c r="GB2523" s="1"/>
      <c r="GC2523" s="1"/>
      <c r="GD2523" s="1"/>
      <c r="GE2523" s="1"/>
      <c r="GF2523" s="1"/>
      <c r="GG2523" s="1"/>
      <c r="GH2523" s="1"/>
      <c r="GI2523" s="1"/>
      <c r="GJ2523" s="1"/>
      <c r="GK2523" s="1"/>
      <c r="GL2523" s="1"/>
      <c r="GM2523" s="1"/>
      <c r="GN2523" s="1"/>
      <c r="GO2523" s="1"/>
      <c r="GP2523" s="1"/>
      <c r="GQ2523" s="1"/>
      <c r="GR2523" s="1"/>
      <c r="GS2523" s="1"/>
      <c r="GT2523" s="1"/>
      <c r="GU2523" s="1"/>
      <c r="GV2523" s="1"/>
      <c r="GW2523" s="1"/>
      <c r="GX2523" s="1"/>
      <c r="GY2523" s="1"/>
      <c r="GZ2523" s="1"/>
      <c r="HA2523" s="1"/>
      <c r="HB2523" s="1"/>
      <c r="HC2523" s="1"/>
      <c r="HD2523" s="1"/>
      <c r="HE2523" s="1"/>
      <c r="HF2523" s="1"/>
      <c r="HG2523" s="1"/>
      <c r="HH2523" s="1"/>
      <c r="HI2523" s="1"/>
      <c r="HJ2523" s="1"/>
      <c r="HK2523" s="1"/>
      <c r="HL2523" s="1"/>
      <c r="HM2523" s="1"/>
      <c r="HN2523" s="1"/>
      <c r="HO2523" s="1"/>
      <c r="HP2523" s="1"/>
      <c r="HQ2523" s="1"/>
    </row>
    <row r="2524" spans="1:225" ht="15.75" customHeight="1" x14ac:dyDescent="0.35">
      <c r="A2524" s="153" t="s">
        <v>48</v>
      </c>
      <c r="B2524" s="72"/>
      <c r="C2524" s="73"/>
      <c r="D2524" s="142">
        <f>D2525+D2528+D2530+D2533+D2536+D2538+D2541+D2543+D2545+D2548+D2550+D2552+D2555+D2558+D2567</f>
        <v>29656.06</v>
      </c>
      <c r="E2524" s="142"/>
      <c r="F2524" s="51"/>
      <c r="G2524" s="125"/>
      <c r="H2524" s="162"/>
      <c r="I2524" s="158">
        <f>I2525+I2528+I2530+I2533+I2536+I2538+I2541+I2543+I2545+I2548+I2550+I2552+I2555+I2558+I2567</f>
        <v>41522541.119999997</v>
      </c>
      <c r="J2524" s="158"/>
      <c r="K2524" s="158"/>
      <c r="L2524" s="8"/>
      <c r="M2524" s="8"/>
      <c r="N2524" s="8"/>
      <c r="O2524" s="8"/>
      <c r="P2524" s="8"/>
      <c r="Q2524" s="8"/>
      <c r="R2524" s="8"/>
      <c r="S2524" s="8"/>
      <c r="T2524" s="8"/>
      <c r="U2524" s="8"/>
      <c r="V2524" s="8"/>
      <c r="W2524" s="8"/>
      <c r="X2524" s="29"/>
      <c r="Y2524" s="29"/>
      <c r="Z2524" s="29"/>
      <c r="AA2524" s="29"/>
      <c r="AB2524" s="29"/>
      <c r="AC2524" s="29"/>
      <c r="AD2524" s="29"/>
      <c r="AE2524" s="29"/>
      <c r="AF2524" s="29"/>
      <c r="AG2524" s="29"/>
      <c r="AH2524" s="29"/>
      <c r="AI2524" s="29"/>
      <c r="AJ2524" s="29"/>
      <c r="AK2524" s="29"/>
      <c r="AL2524" s="29"/>
      <c r="AM2524" s="29"/>
      <c r="AN2524" s="29"/>
      <c r="AO2524" s="29"/>
      <c r="AP2524" s="29"/>
      <c r="AQ2524" s="29"/>
      <c r="AR2524" s="29"/>
      <c r="AS2524" s="29"/>
      <c r="AT2524" s="29"/>
      <c r="AU2524" s="29"/>
      <c r="AV2524" s="29"/>
      <c r="AW2524" s="29"/>
      <c r="AX2524" s="29"/>
      <c r="AY2524" s="29"/>
      <c r="AZ2524" s="29"/>
      <c r="BA2524" s="29"/>
      <c r="BB2524" s="29"/>
      <c r="BC2524" s="29"/>
      <c r="BD2524" s="29"/>
      <c r="BE2524" s="29"/>
      <c r="BF2524" s="29"/>
      <c r="BG2524" s="29"/>
      <c r="BH2524" s="29"/>
      <c r="BI2524" s="29"/>
      <c r="BJ2524" s="29"/>
      <c r="BK2524" s="29"/>
      <c r="BL2524" s="29"/>
      <c r="BM2524" s="29"/>
      <c r="BN2524" s="29"/>
      <c r="BO2524" s="29"/>
      <c r="BP2524" s="29"/>
      <c r="BQ2524" s="29"/>
      <c r="BR2524" s="29"/>
      <c r="BS2524" s="29"/>
      <c r="BT2524" s="29"/>
      <c r="BU2524" s="29"/>
      <c r="BV2524" s="29"/>
      <c r="BW2524" s="29"/>
      <c r="BX2524" s="29"/>
      <c r="BY2524" s="29"/>
      <c r="BZ2524" s="29"/>
      <c r="CA2524" s="29"/>
      <c r="CB2524" s="29"/>
      <c r="CC2524" s="29"/>
      <c r="CD2524" s="29"/>
      <c r="CE2524" s="29"/>
      <c r="CF2524" s="29"/>
      <c r="CG2524" s="29"/>
      <c r="CH2524" s="29"/>
      <c r="CI2524" s="29"/>
      <c r="CJ2524" s="29"/>
      <c r="CK2524" s="29"/>
      <c r="CL2524" s="29"/>
      <c r="CM2524" s="29"/>
      <c r="CN2524" s="29"/>
      <c r="CO2524" s="29"/>
      <c r="CP2524" s="29"/>
      <c r="CQ2524" s="29"/>
      <c r="CR2524" s="29"/>
      <c r="CS2524" s="29"/>
      <c r="CT2524" s="29"/>
      <c r="CU2524" s="29"/>
      <c r="CV2524" s="29"/>
      <c r="CW2524" s="29"/>
      <c r="CX2524" s="29"/>
      <c r="CY2524" s="29"/>
      <c r="CZ2524" s="29"/>
      <c r="DA2524" s="29"/>
      <c r="DB2524" s="29"/>
      <c r="DC2524" s="29"/>
      <c r="DD2524" s="29"/>
      <c r="DE2524" s="29"/>
      <c r="DF2524" s="29"/>
      <c r="DG2524" s="29"/>
      <c r="DH2524" s="29"/>
      <c r="DI2524" s="29"/>
      <c r="DJ2524" s="29"/>
      <c r="DK2524" s="29"/>
      <c r="DL2524" s="29"/>
      <c r="DM2524" s="29"/>
      <c r="DN2524" s="29"/>
      <c r="DO2524" s="29"/>
      <c r="DP2524" s="29"/>
      <c r="DQ2524" s="29"/>
      <c r="DR2524" s="29"/>
      <c r="DS2524" s="29"/>
      <c r="DT2524" s="29"/>
      <c r="DU2524" s="29"/>
      <c r="DV2524" s="29"/>
      <c r="DW2524" s="29"/>
      <c r="DX2524" s="29"/>
      <c r="DY2524" s="29"/>
      <c r="DZ2524" s="29"/>
      <c r="EA2524" s="29"/>
      <c r="EB2524" s="29"/>
      <c r="EC2524" s="29"/>
      <c r="ED2524" s="29"/>
      <c r="EE2524" s="29"/>
      <c r="EF2524" s="29"/>
      <c r="EG2524" s="29"/>
      <c r="EH2524" s="29"/>
      <c r="EI2524" s="29"/>
      <c r="EJ2524" s="29"/>
      <c r="EK2524" s="29"/>
      <c r="EL2524" s="29"/>
      <c r="EM2524" s="29"/>
      <c r="EN2524" s="29"/>
      <c r="EO2524" s="29"/>
      <c r="EP2524" s="29"/>
      <c r="EQ2524" s="29"/>
      <c r="ER2524" s="29"/>
      <c r="ES2524" s="29"/>
      <c r="ET2524" s="29"/>
      <c r="EU2524" s="29"/>
      <c r="EV2524" s="29"/>
      <c r="EW2524" s="29"/>
      <c r="EX2524" s="29"/>
      <c r="EY2524" s="29"/>
      <c r="EZ2524" s="29"/>
      <c r="FA2524" s="29"/>
      <c r="FB2524" s="29"/>
      <c r="FC2524" s="29"/>
      <c r="FD2524" s="29"/>
      <c r="FE2524" s="29"/>
      <c r="FF2524" s="29"/>
      <c r="FG2524" s="29"/>
      <c r="FH2524" s="29"/>
      <c r="FI2524" s="29"/>
      <c r="FJ2524" s="29"/>
      <c r="FK2524" s="29"/>
      <c r="FL2524" s="29"/>
      <c r="FM2524" s="29"/>
      <c r="FN2524" s="29"/>
      <c r="FO2524" s="29"/>
      <c r="FP2524" s="29"/>
      <c r="FQ2524" s="29"/>
      <c r="FR2524" s="29"/>
      <c r="FS2524" s="29"/>
      <c r="FT2524" s="29"/>
      <c r="FU2524" s="29"/>
      <c r="FV2524" s="29"/>
      <c r="FW2524" s="29"/>
      <c r="FX2524" s="29"/>
      <c r="FY2524" s="29"/>
      <c r="FZ2524" s="29"/>
      <c r="GA2524" s="29"/>
      <c r="GB2524" s="29"/>
      <c r="GC2524" s="29"/>
      <c r="GD2524" s="29"/>
      <c r="GE2524" s="29"/>
      <c r="GF2524" s="29"/>
      <c r="GG2524" s="29"/>
      <c r="GH2524" s="29"/>
      <c r="GI2524" s="29"/>
      <c r="GJ2524" s="29"/>
      <c r="GK2524" s="29"/>
      <c r="GL2524" s="29"/>
      <c r="GM2524" s="29"/>
      <c r="GN2524" s="29"/>
      <c r="GO2524" s="29"/>
      <c r="GP2524" s="29"/>
      <c r="GQ2524" s="29"/>
      <c r="GR2524" s="29"/>
      <c r="GS2524" s="29"/>
      <c r="GT2524" s="29"/>
      <c r="GU2524" s="29"/>
      <c r="GV2524" s="29"/>
      <c r="GW2524" s="29"/>
      <c r="GX2524" s="29"/>
      <c r="GY2524" s="29"/>
      <c r="GZ2524" s="29"/>
      <c r="HA2524" s="29"/>
      <c r="HB2524" s="29"/>
      <c r="HC2524" s="29"/>
      <c r="HD2524" s="29"/>
      <c r="HE2524" s="29"/>
      <c r="HF2524" s="29"/>
      <c r="HG2524" s="29"/>
      <c r="HH2524" s="29"/>
      <c r="HI2524" s="29"/>
      <c r="HJ2524" s="29"/>
      <c r="HK2524" s="29"/>
      <c r="HL2524" s="29"/>
      <c r="HM2524" s="29"/>
      <c r="HN2524" s="29"/>
      <c r="HO2524" s="29"/>
      <c r="HP2524" s="92"/>
      <c r="HQ2524" s="92"/>
    </row>
    <row r="2525" spans="1:225" ht="15.75" customHeight="1" x14ac:dyDescent="0.35">
      <c r="A2525" s="307">
        <v>1</v>
      </c>
      <c r="B2525" s="305">
        <v>6890</v>
      </c>
      <c r="C2525" s="288" t="s">
        <v>800</v>
      </c>
      <c r="D2525" s="262">
        <v>2688.38</v>
      </c>
      <c r="E2525" s="262" t="s">
        <v>75</v>
      </c>
      <c r="F2525" s="265">
        <v>5</v>
      </c>
      <c r="G2525" s="149"/>
      <c r="H2525" s="159" t="s">
        <v>73</v>
      </c>
      <c r="I2525" s="158">
        <f>SUM(I2526:I2527)</f>
        <v>572624.93999999994</v>
      </c>
      <c r="J2525" s="158">
        <f>SUM(J2526:J2527)</f>
        <v>213</v>
      </c>
      <c r="K2525" s="158">
        <f>SUM(K2526:K2527)</f>
        <v>213</v>
      </c>
      <c r="L2525" s="1"/>
      <c r="M2525" s="1"/>
      <c r="N2525" s="1"/>
      <c r="O2525" s="1"/>
      <c r="P2525" s="1"/>
      <c r="Q2525" s="1"/>
      <c r="R2525" s="1"/>
      <c r="S2525" s="1"/>
      <c r="T2525" s="1"/>
      <c r="U2525" s="1"/>
      <c r="V2525" s="1"/>
      <c r="W2525" s="1"/>
      <c r="X2525" s="1"/>
      <c r="Y2525" s="1"/>
      <c r="Z2525" s="1"/>
      <c r="AA2525" s="1"/>
      <c r="AB2525" s="1"/>
      <c r="AC2525" s="1"/>
      <c r="AD2525" s="1"/>
      <c r="AE2525" s="1"/>
      <c r="AF2525" s="1"/>
      <c r="AG2525" s="1"/>
      <c r="AH2525" s="1"/>
      <c r="AI2525" s="1"/>
      <c r="AJ2525" s="1"/>
      <c r="AK2525" s="1"/>
      <c r="AL2525" s="1"/>
      <c r="AM2525" s="1"/>
      <c r="AN2525" s="1"/>
      <c r="AO2525" s="1"/>
      <c r="AP2525" s="1"/>
      <c r="AQ2525" s="1"/>
      <c r="AR2525" s="1"/>
      <c r="AS2525" s="1"/>
      <c r="AT2525" s="1"/>
      <c r="AU2525" s="1"/>
      <c r="AV2525" s="1"/>
      <c r="AW2525" s="1"/>
      <c r="AX2525" s="1"/>
      <c r="AY2525" s="1"/>
      <c r="AZ2525" s="1"/>
      <c r="BA2525" s="1"/>
      <c r="BB2525" s="1"/>
      <c r="BC2525" s="1"/>
      <c r="BD2525" s="1"/>
      <c r="BE2525" s="1"/>
      <c r="BF2525" s="1"/>
      <c r="BG2525" s="1"/>
      <c r="BH2525" s="1"/>
      <c r="BI2525" s="1"/>
      <c r="BJ2525" s="1"/>
      <c r="BK2525" s="1"/>
      <c r="BL2525" s="1"/>
      <c r="BM2525" s="1"/>
      <c r="BN2525" s="1"/>
      <c r="BO2525" s="1"/>
      <c r="BP2525" s="1"/>
      <c r="BQ2525" s="1"/>
      <c r="BR2525" s="1"/>
      <c r="BS2525" s="1"/>
      <c r="BT2525" s="1"/>
      <c r="BU2525" s="1"/>
      <c r="BV2525" s="1"/>
      <c r="BW2525" s="1"/>
      <c r="BX2525" s="1"/>
      <c r="BY2525" s="1"/>
      <c r="BZ2525" s="1"/>
      <c r="CA2525" s="1"/>
      <c r="CB2525" s="1"/>
      <c r="CC2525" s="1"/>
      <c r="CD2525" s="1"/>
      <c r="CE2525" s="1"/>
      <c r="CF2525" s="1"/>
      <c r="CG2525" s="1"/>
      <c r="CH2525" s="1"/>
      <c r="CI2525" s="1"/>
      <c r="CJ2525" s="1"/>
      <c r="CK2525" s="1"/>
      <c r="CL2525" s="1"/>
      <c r="CM2525" s="1"/>
      <c r="CN2525" s="1"/>
      <c r="CO2525" s="1"/>
      <c r="CP2525" s="1"/>
      <c r="CQ2525" s="1"/>
      <c r="CR2525" s="1"/>
      <c r="CS2525" s="1"/>
      <c r="CT2525" s="1"/>
      <c r="CU2525" s="1"/>
      <c r="CV2525" s="1"/>
      <c r="CW2525" s="1"/>
      <c r="CX2525" s="1"/>
      <c r="CY2525" s="1"/>
      <c r="CZ2525" s="1"/>
      <c r="DA2525" s="1"/>
      <c r="DB2525" s="1"/>
      <c r="DC2525" s="1"/>
      <c r="DD2525" s="1"/>
      <c r="DE2525" s="1"/>
      <c r="DF2525" s="1"/>
      <c r="DG2525" s="1"/>
      <c r="DH2525" s="1"/>
      <c r="DI2525" s="1"/>
      <c r="DJ2525" s="1"/>
      <c r="DK2525" s="1"/>
      <c r="DL2525" s="1"/>
      <c r="DM2525" s="1"/>
      <c r="DN2525" s="1"/>
      <c r="DO2525" s="1"/>
      <c r="DP2525" s="1"/>
      <c r="DQ2525" s="1"/>
      <c r="DR2525" s="1"/>
      <c r="DS2525" s="1"/>
      <c r="DT2525" s="1"/>
      <c r="DU2525" s="1"/>
      <c r="DV2525" s="1"/>
      <c r="DW2525" s="1"/>
      <c r="DX2525" s="1"/>
      <c r="DY2525" s="1"/>
      <c r="DZ2525" s="1"/>
      <c r="EA2525" s="1"/>
      <c r="EB2525" s="1"/>
      <c r="EC2525" s="1"/>
      <c r="ED2525" s="1"/>
      <c r="EE2525" s="1"/>
      <c r="EF2525" s="1"/>
      <c r="EG2525" s="1"/>
      <c r="EH2525" s="1"/>
      <c r="EI2525" s="1"/>
      <c r="EJ2525" s="1"/>
      <c r="EK2525" s="1"/>
      <c r="EL2525" s="1"/>
      <c r="EM2525" s="1"/>
      <c r="EN2525" s="1"/>
      <c r="EO2525" s="1"/>
      <c r="EP2525" s="1"/>
      <c r="EQ2525" s="1"/>
      <c r="ER2525" s="1"/>
      <c r="ES2525" s="1"/>
      <c r="ET2525" s="1"/>
      <c r="EU2525" s="1"/>
      <c r="EV2525" s="1"/>
      <c r="EW2525" s="1"/>
      <c r="EX2525" s="1"/>
      <c r="EY2525" s="1"/>
      <c r="EZ2525" s="1"/>
      <c r="FA2525" s="1"/>
      <c r="FB2525" s="1"/>
      <c r="FC2525" s="1"/>
      <c r="FD2525" s="1"/>
      <c r="FE2525" s="1"/>
      <c r="FF2525" s="1"/>
      <c r="FG2525" s="1"/>
      <c r="FH2525" s="1"/>
      <c r="FI2525" s="1"/>
      <c r="FJ2525" s="1"/>
      <c r="FK2525" s="1"/>
      <c r="FL2525" s="1"/>
      <c r="FM2525" s="1"/>
      <c r="FN2525" s="1"/>
      <c r="FO2525" s="1"/>
      <c r="FP2525" s="1"/>
      <c r="FQ2525" s="1"/>
      <c r="FR2525" s="1"/>
      <c r="FS2525" s="1"/>
      <c r="FT2525" s="1"/>
      <c r="FU2525" s="1"/>
      <c r="FV2525" s="1"/>
      <c r="FW2525" s="1"/>
      <c r="FX2525" s="1"/>
      <c r="FY2525" s="1"/>
      <c r="FZ2525" s="1"/>
      <c r="GA2525" s="1"/>
      <c r="GB2525" s="1"/>
      <c r="GC2525" s="1"/>
      <c r="GD2525" s="1"/>
      <c r="GE2525" s="1"/>
      <c r="GF2525" s="1"/>
      <c r="GG2525" s="1"/>
      <c r="GH2525" s="1"/>
      <c r="GI2525" s="1"/>
      <c r="GJ2525" s="1"/>
      <c r="GK2525" s="1"/>
      <c r="GL2525" s="1"/>
      <c r="GM2525" s="1"/>
      <c r="GN2525" s="1"/>
      <c r="GO2525" s="1"/>
      <c r="GP2525" s="1"/>
      <c r="GQ2525" s="1"/>
      <c r="GR2525" s="1"/>
      <c r="GS2525" s="1"/>
      <c r="GT2525" s="1"/>
      <c r="GU2525" s="1"/>
      <c r="GV2525" s="1"/>
      <c r="GW2525" s="1"/>
      <c r="GX2525" s="1"/>
      <c r="GY2525" s="1"/>
      <c r="GZ2525" s="1"/>
      <c r="HA2525" s="1"/>
      <c r="HB2525" s="1"/>
      <c r="HC2525" s="1"/>
      <c r="HD2525" s="1"/>
      <c r="HE2525" s="1"/>
      <c r="HF2525" s="1"/>
      <c r="HG2525" s="1"/>
      <c r="HH2525" s="1"/>
      <c r="HI2525" s="1"/>
      <c r="HJ2525" s="1"/>
      <c r="HK2525" s="1"/>
      <c r="HL2525" s="1"/>
      <c r="HM2525" s="1"/>
      <c r="HN2525" s="1"/>
      <c r="HO2525" s="1"/>
      <c r="HP2525" s="1"/>
      <c r="HQ2525" s="1"/>
    </row>
    <row r="2526" spans="1:225" ht="46.5" x14ac:dyDescent="0.35">
      <c r="A2526" s="306"/>
      <c r="B2526" s="306"/>
      <c r="C2526" s="289"/>
      <c r="D2526" s="263"/>
      <c r="E2526" s="263"/>
      <c r="F2526" s="266"/>
      <c r="G2526" s="256" t="s">
        <v>85</v>
      </c>
      <c r="H2526" s="159" t="s">
        <v>705</v>
      </c>
      <c r="I2526" s="158">
        <f>D2525*K2526</f>
        <v>118288.72</v>
      </c>
      <c r="J2526" s="158">
        <f>I2526/D2525</f>
        <v>44</v>
      </c>
      <c r="K2526" s="158">
        <v>44</v>
      </c>
      <c r="L2526" s="1"/>
      <c r="M2526" s="1"/>
      <c r="N2526" s="1"/>
      <c r="O2526" s="1"/>
      <c r="P2526" s="1"/>
      <c r="Q2526" s="1"/>
      <c r="R2526" s="1"/>
      <c r="S2526" s="1"/>
      <c r="T2526" s="1"/>
      <c r="U2526" s="1"/>
      <c r="V2526" s="1"/>
      <c r="W2526" s="1"/>
      <c r="X2526" s="1"/>
      <c r="Y2526" s="1"/>
      <c r="Z2526" s="1"/>
      <c r="AA2526" s="1"/>
      <c r="AB2526" s="1"/>
      <c r="AC2526" s="1"/>
      <c r="AD2526" s="1"/>
      <c r="AE2526" s="1"/>
      <c r="AF2526" s="1"/>
      <c r="AG2526" s="1"/>
      <c r="AH2526" s="1"/>
      <c r="AI2526" s="1"/>
      <c r="AJ2526" s="1"/>
      <c r="AK2526" s="1"/>
      <c r="AL2526" s="1"/>
      <c r="AM2526" s="1"/>
      <c r="AN2526" s="1"/>
      <c r="AO2526" s="1"/>
      <c r="AP2526" s="1"/>
      <c r="AQ2526" s="1"/>
      <c r="AR2526" s="1"/>
      <c r="AS2526" s="1"/>
      <c r="AT2526" s="1"/>
      <c r="AU2526" s="1"/>
      <c r="AV2526" s="1"/>
      <c r="AW2526" s="1"/>
      <c r="AX2526" s="1"/>
      <c r="AY2526" s="1"/>
      <c r="AZ2526" s="1"/>
      <c r="BA2526" s="1"/>
      <c r="BB2526" s="1"/>
      <c r="BC2526" s="1"/>
      <c r="BD2526" s="1"/>
      <c r="BE2526" s="1"/>
      <c r="BF2526" s="1"/>
      <c r="BG2526" s="1"/>
      <c r="BH2526" s="1"/>
      <c r="BI2526" s="1"/>
      <c r="BJ2526" s="1"/>
      <c r="BK2526" s="1"/>
      <c r="BL2526" s="1"/>
      <c r="BM2526" s="1"/>
      <c r="BN2526" s="1"/>
      <c r="BO2526" s="1"/>
      <c r="BP2526" s="1"/>
      <c r="BQ2526" s="1"/>
      <c r="BR2526" s="1"/>
      <c r="BS2526" s="1"/>
      <c r="BT2526" s="1"/>
      <c r="BU2526" s="1"/>
      <c r="BV2526" s="1"/>
      <c r="BW2526" s="1"/>
      <c r="BX2526" s="1"/>
      <c r="BY2526" s="1"/>
      <c r="BZ2526" s="1"/>
      <c r="CA2526" s="1"/>
      <c r="CB2526" s="1"/>
      <c r="CC2526" s="1"/>
      <c r="CD2526" s="1"/>
      <c r="CE2526" s="1"/>
      <c r="CF2526" s="1"/>
      <c r="CG2526" s="1"/>
      <c r="CH2526" s="1"/>
      <c r="CI2526" s="1"/>
      <c r="CJ2526" s="1"/>
      <c r="CK2526" s="1"/>
      <c r="CL2526" s="1"/>
      <c r="CM2526" s="1"/>
      <c r="CN2526" s="1"/>
      <c r="CO2526" s="1"/>
      <c r="CP2526" s="1"/>
      <c r="CQ2526" s="1"/>
      <c r="CR2526" s="1"/>
      <c r="CS2526" s="1"/>
      <c r="CT2526" s="1"/>
      <c r="CU2526" s="1"/>
      <c r="CV2526" s="1"/>
      <c r="CW2526" s="1"/>
      <c r="CX2526" s="1"/>
      <c r="CY2526" s="1"/>
      <c r="CZ2526" s="1"/>
      <c r="DA2526" s="1"/>
      <c r="DB2526" s="1"/>
      <c r="DC2526" s="1"/>
      <c r="DD2526" s="1"/>
      <c r="DE2526" s="1"/>
      <c r="DF2526" s="1"/>
      <c r="DG2526" s="1"/>
      <c r="DH2526" s="1"/>
      <c r="DI2526" s="1"/>
      <c r="DJ2526" s="1"/>
      <c r="DK2526" s="1"/>
      <c r="DL2526" s="1"/>
      <c r="DM2526" s="1"/>
      <c r="DN2526" s="1"/>
      <c r="DO2526" s="1"/>
      <c r="DP2526" s="1"/>
      <c r="DQ2526" s="1"/>
      <c r="DR2526" s="1"/>
      <c r="DS2526" s="1"/>
      <c r="DT2526" s="1"/>
      <c r="DU2526" s="1"/>
      <c r="DV2526" s="1"/>
      <c r="DW2526" s="1"/>
      <c r="DX2526" s="1"/>
      <c r="DY2526" s="1"/>
      <c r="DZ2526" s="1"/>
      <c r="EA2526" s="1"/>
      <c r="EB2526" s="1"/>
      <c r="EC2526" s="1"/>
      <c r="ED2526" s="1"/>
      <c r="EE2526" s="1"/>
      <c r="EF2526" s="1"/>
      <c r="EG2526" s="1"/>
      <c r="EH2526" s="1"/>
      <c r="EI2526" s="1"/>
      <c r="EJ2526" s="1"/>
      <c r="EK2526" s="1"/>
      <c r="EL2526" s="1"/>
      <c r="EM2526" s="1"/>
      <c r="EN2526" s="1"/>
      <c r="EO2526" s="1"/>
      <c r="EP2526" s="1"/>
      <c r="EQ2526" s="1"/>
      <c r="ER2526" s="1"/>
      <c r="ES2526" s="1"/>
      <c r="ET2526" s="1"/>
      <c r="EU2526" s="1"/>
      <c r="EV2526" s="1"/>
      <c r="EW2526" s="1"/>
      <c r="EX2526" s="1"/>
      <c r="EY2526" s="1"/>
      <c r="EZ2526" s="1"/>
      <c r="FA2526" s="1"/>
      <c r="FB2526" s="1"/>
      <c r="FC2526" s="1"/>
      <c r="FD2526" s="1"/>
      <c r="FE2526" s="1"/>
      <c r="FF2526" s="1"/>
      <c r="FG2526" s="1"/>
      <c r="FH2526" s="1"/>
      <c r="FI2526" s="1"/>
      <c r="FJ2526" s="1"/>
      <c r="FK2526" s="1"/>
      <c r="FL2526" s="1"/>
      <c r="FM2526" s="1"/>
      <c r="FN2526" s="1"/>
      <c r="FO2526" s="1"/>
      <c r="FP2526" s="1"/>
      <c r="FQ2526" s="1"/>
      <c r="FR2526" s="1"/>
      <c r="FS2526" s="1"/>
      <c r="FT2526" s="1"/>
      <c r="FU2526" s="1"/>
      <c r="FV2526" s="1"/>
      <c r="FW2526" s="1"/>
      <c r="FX2526" s="1"/>
      <c r="FY2526" s="1"/>
      <c r="FZ2526" s="1"/>
      <c r="GA2526" s="1"/>
      <c r="GB2526" s="1"/>
      <c r="GC2526" s="1"/>
      <c r="GD2526" s="1"/>
      <c r="GE2526" s="1"/>
      <c r="GF2526" s="1"/>
      <c r="GG2526" s="1"/>
      <c r="GH2526" s="1"/>
      <c r="GI2526" s="1"/>
      <c r="GJ2526" s="1"/>
      <c r="GK2526" s="1"/>
      <c r="GL2526" s="1"/>
      <c r="GM2526" s="1"/>
      <c r="GN2526" s="1"/>
      <c r="GO2526" s="1"/>
      <c r="GP2526" s="1"/>
      <c r="GQ2526" s="1"/>
      <c r="GR2526" s="1"/>
      <c r="GS2526" s="1"/>
      <c r="GT2526" s="1"/>
      <c r="GU2526" s="1"/>
      <c r="GV2526" s="1"/>
      <c r="GW2526" s="1"/>
      <c r="GX2526" s="1"/>
      <c r="GY2526" s="1"/>
      <c r="GZ2526" s="1"/>
      <c r="HA2526" s="1"/>
      <c r="HB2526" s="1"/>
      <c r="HC2526" s="1"/>
      <c r="HD2526" s="1"/>
      <c r="HE2526" s="1"/>
      <c r="HF2526" s="1"/>
      <c r="HG2526" s="1"/>
      <c r="HH2526" s="1"/>
      <c r="HI2526" s="1"/>
      <c r="HJ2526" s="1"/>
      <c r="HK2526" s="1"/>
      <c r="HL2526" s="1"/>
      <c r="HM2526" s="1"/>
      <c r="HN2526" s="1"/>
      <c r="HO2526" s="1"/>
      <c r="HP2526" s="1"/>
      <c r="HQ2526" s="1"/>
    </row>
    <row r="2527" spans="1:225" ht="46.5" x14ac:dyDescent="0.35">
      <c r="A2527" s="306"/>
      <c r="B2527" s="306"/>
      <c r="C2527" s="289"/>
      <c r="D2527" s="263"/>
      <c r="E2527" s="263"/>
      <c r="F2527" s="266"/>
      <c r="G2527" s="258"/>
      <c r="H2527" s="159" t="s">
        <v>706</v>
      </c>
      <c r="I2527" s="219">
        <f>D2525*K2527</f>
        <v>454336.22</v>
      </c>
      <c r="J2527" s="158">
        <f>I2527/D2525</f>
        <v>169</v>
      </c>
      <c r="K2527" s="219">
        <v>169</v>
      </c>
      <c r="L2527" s="1"/>
      <c r="M2527" s="1"/>
      <c r="N2527" s="1"/>
      <c r="O2527" s="1"/>
      <c r="P2527" s="1"/>
      <c r="Q2527" s="1"/>
      <c r="R2527" s="1"/>
      <c r="S2527" s="1"/>
      <c r="T2527" s="1"/>
      <c r="U2527" s="1"/>
      <c r="V2527" s="1"/>
      <c r="W2527" s="1"/>
      <c r="X2527" s="1"/>
      <c r="Y2527" s="1"/>
      <c r="Z2527" s="1"/>
      <c r="AA2527" s="1"/>
      <c r="AB2527" s="1"/>
      <c r="AC2527" s="1"/>
      <c r="AD2527" s="1"/>
      <c r="AE2527" s="1"/>
      <c r="AF2527" s="1"/>
      <c r="AG2527" s="1"/>
      <c r="AH2527" s="1"/>
      <c r="AI2527" s="1"/>
      <c r="AJ2527" s="1"/>
      <c r="AK2527" s="1"/>
      <c r="AL2527" s="1"/>
      <c r="AM2527" s="1"/>
      <c r="AN2527" s="1"/>
      <c r="AO2527" s="1"/>
      <c r="AP2527" s="1"/>
      <c r="AQ2527" s="1"/>
      <c r="AR2527" s="1"/>
      <c r="AS2527" s="1"/>
      <c r="AT2527" s="1"/>
      <c r="AU2527" s="1"/>
      <c r="AV2527" s="1"/>
      <c r="AW2527" s="1"/>
      <c r="AX2527" s="1"/>
      <c r="AY2527" s="1"/>
      <c r="AZ2527" s="1"/>
      <c r="BA2527" s="1"/>
      <c r="BB2527" s="1"/>
      <c r="BC2527" s="1"/>
      <c r="BD2527" s="1"/>
      <c r="BE2527" s="1"/>
      <c r="BF2527" s="1"/>
      <c r="BG2527" s="1"/>
      <c r="BH2527" s="1"/>
      <c r="BI2527" s="1"/>
      <c r="BJ2527" s="1"/>
      <c r="BK2527" s="1"/>
      <c r="BL2527" s="1"/>
      <c r="BM2527" s="1"/>
      <c r="BN2527" s="1"/>
      <c r="BO2527" s="1"/>
      <c r="BP2527" s="1"/>
      <c r="BQ2527" s="1"/>
      <c r="BR2527" s="1"/>
      <c r="BS2527" s="1"/>
      <c r="BT2527" s="1"/>
      <c r="BU2527" s="1"/>
      <c r="BV2527" s="1"/>
      <c r="BW2527" s="1"/>
      <c r="BX2527" s="1"/>
      <c r="BY2527" s="1"/>
      <c r="BZ2527" s="1"/>
      <c r="CA2527" s="1"/>
      <c r="CB2527" s="1"/>
      <c r="CC2527" s="1"/>
      <c r="CD2527" s="1"/>
      <c r="CE2527" s="1"/>
      <c r="CF2527" s="1"/>
      <c r="CG2527" s="1"/>
      <c r="CH2527" s="1"/>
      <c r="CI2527" s="1"/>
      <c r="CJ2527" s="1"/>
      <c r="CK2527" s="1"/>
      <c r="CL2527" s="1"/>
      <c r="CM2527" s="1"/>
      <c r="CN2527" s="1"/>
      <c r="CO2527" s="1"/>
      <c r="CP2527" s="1"/>
      <c r="CQ2527" s="1"/>
      <c r="CR2527" s="1"/>
      <c r="CS2527" s="1"/>
      <c r="CT2527" s="1"/>
      <c r="CU2527" s="1"/>
      <c r="CV2527" s="1"/>
      <c r="CW2527" s="1"/>
      <c r="CX2527" s="1"/>
      <c r="CY2527" s="1"/>
      <c r="CZ2527" s="1"/>
      <c r="DA2527" s="1"/>
      <c r="DB2527" s="1"/>
      <c r="DC2527" s="1"/>
      <c r="DD2527" s="1"/>
      <c r="DE2527" s="1"/>
      <c r="DF2527" s="1"/>
      <c r="DG2527" s="1"/>
      <c r="DH2527" s="1"/>
      <c r="DI2527" s="1"/>
      <c r="DJ2527" s="1"/>
      <c r="DK2527" s="1"/>
      <c r="DL2527" s="1"/>
      <c r="DM2527" s="1"/>
      <c r="DN2527" s="1"/>
      <c r="DO2527" s="1"/>
      <c r="DP2527" s="1"/>
      <c r="DQ2527" s="1"/>
      <c r="DR2527" s="1"/>
      <c r="DS2527" s="1"/>
      <c r="DT2527" s="1"/>
      <c r="DU2527" s="1"/>
      <c r="DV2527" s="1"/>
      <c r="DW2527" s="1"/>
      <c r="DX2527" s="1"/>
      <c r="DY2527" s="1"/>
      <c r="DZ2527" s="1"/>
      <c r="EA2527" s="1"/>
      <c r="EB2527" s="1"/>
      <c r="EC2527" s="1"/>
      <c r="ED2527" s="1"/>
      <c r="EE2527" s="1"/>
      <c r="EF2527" s="1"/>
      <c r="EG2527" s="1"/>
      <c r="EH2527" s="1"/>
      <c r="EI2527" s="1"/>
      <c r="EJ2527" s="1"/>
      <c r="EK2527" s="1"/>
      <c r="EL2527" s="1"/>
      <c r="EM2527" s="1"/>
      <c r="EN2527" s="1"/>
      <c r="EO2527" s="1"/>
      <c r="EP2527" s="1"/>
      <c r="EQ2527" s="1"/>
      <c r="ER2527" s="1"/>
      <c r="ES2527" s="1"/>
      <c r="ET2527" s="1"/>
      <c r="EU2527" s="1"/>
      <c r="EV2527" s="1"/>
      <c r="EW2527" s="1"/>
      <c r="EX2527" s="1"/>
      <c r="EY2527" s="1"/>
      <c r="EZ2527" s="1"/>
      <c r="FA2527" s="1"/>
      <c r="FB2527" s="1"/>
      <c r="FC2527" s="1"/>
      <c r="FD2527" s="1"/>
      <c r="FE2527" s="1"/>
      <c r="FF2527" s="1"/>
      <c r="FG2527" s="1"/>
      <c r="FH2527" s="1"/>
      <c r="FI2527" s="1"/>
      <c r="FJ2527" s="1"/>
      <c r="FK2527" s="1"/>
      <c r="FL2527" s="1"/>
      <c r="FM2527" s="1"/>
      <c r="FN2527" s="1"/>
      <c r="FO2527" s="1"/>
      <c r="FP2527" s="1"/>
      <c r="FQ2527" s="1"/>
      <c r="FR2527" s="1"/>
      <c r="FS2527" s="1"/>
      <c r="FT2527" s="1"/>
      <c r="FU2527" s="1"/>
      <c r="FV2527" s="1"/>
      <c r="FW2527" s="1"/>
      <c r="FX2527" s="1"/>
      <c r="FY2527" s="1"/>
      <c r="FZ2527" s="1"/>
      <c r="GA2527" s="1"/>
      <c r="GB2527" s="1"/>
      <c r="GC2527" s="1"/>
      <c r="GD2527" s="1"/>
      <c r="GE2527" s="1"/>
      <c r="GF2527" s="1"/>
      <c r="GG2527" s="1"/>
      <c r="GH2527" s="1"/>
      <c r="GI2527" s="1"/>
      <c r="GJ2527" s="1"/>
      <c r="GK2527" s="1"/>
      <c r="GL2527" s="1"/>
      <c r="GM2527" s="1"/>
      <c r="GN2527" s="1"/>
      <c r="GO2527" s="1"/>
      <c r="GP2527" s="1"/>
      <c r="GQ2527" s="1"/>
      <c r="GR2527" s="1"/>
      <c r="GS2527" s="1"/>
      <c r="GT2527" s="1"/>
      <c r="GU2527" s="1"/>
      <c r="GV2527" s="1"/>
      <c r="GW2527" s="1"/>
      <c r="GX2527" s="1"/>
      <c r="GY2527" s="1"/>
      <c r="GZ2527" s="1"/>
      <c r="HA2527" s="1"/>
      <c r="HB2527" s="1"/>
      <c r="HC2527" s="1"/>
      <c r="HD2527" s="1"/>
      <c r="HE2527" s="1"/>
      <c r="HF2527" s="1"/>
      <c r="HG2527" s="1"/>
      <c r="HH2527" s="1"/>
      <c r="HI2527" s="1"/>
      <c r="HJ2527" s="1"/>
      <c r="HK2527" s="1"/>
      <c r="HL2527" s="1"/>
      <c r="HM2527" s="1"/>
      <c r="HN2527" s="1"/>
      <c r="HO2527" s="1"/>
      <c r="HP2527" s="1"/>
      <c r="HQ2527" s="1"/>
    </row>
    <row r="2528" spans="1:225" ht="15.75" customHeight="1" x14ac:dyDescent="0.35">
      <c r="A2528" s="339">
        <f>A2525+1</f>
        <v>2</v>
      </c>
      <c r="B2528" s="341">
        <v>6870</v>
      </c>
      <c r="C2528" s="322" t="s">
        <v>640</v>
      </c>
      <c r="D2528" s="262">
        <v>2436</v>
      </c>
      <c r="E2528" s="126" t="s">
        <v>71</v>
      </c>
      <c r="F2528" s="130">
        <v>5</v>
      </c>
      <c r="G2528" s="256" t="s">
        <v>72</v>
      </c>
      <c r="H2528" s="163" t="s">
        <v>73</v>
      </c>
      <c r="I2528" s="219">
        <f>I2529</f>
        <v>399504</v>
      </c>
      <c r="J2528" s="219">
        <f>J2529</f>
        <v>164</v>
      </c>
      <c r="K2528" s="219">
        <f>K2529</f>
        <v>164</v>
      </c>
      <c r="L2528" s="1"/>
      <c r="M2528" s="1"/>
      <c r="N2528" s="1"/>
      <c r="O2528" s="1"/>
      <c r="P2528" s="1"/>
      <c r="Q2528" s="1"/>
      <c r="R2528" s="1"/>
      <c r="S2528" s="1"/>
      <c r="T2528" s="1"/>
      <c r="U2528" s="1"/>
      <c r="V2528" s="1"/>
      <c r="W2528" s="1"/>
      <c r="X2528" s="1"/>
      <c r="Y2528" s="1"/>
      <c r="Z2528" s="1"/>
      <c r="AA2528" s="1"/>
      <c r="AB2528" s="1"/>
      <c r="AC2528" s="1"/>
      <c r="AD2528" s="1"/>
      <c r="AE2528" s="1"/>
      <c r="AF2528" s="1"/>
      <c r="AG2528" s="1"/>
      <c r="AH2528" s="1"/>
      <c r="AI2528" s="1"/>
      <c r="AJ2528" s="1"/>
      <c r="AK2528" s="1"/>
      <c r="AL2528" s="1"/>
      <c r="AM2528" s="1"/>
      <c r="AN2528" s="1"/>
      <c r="AO2528" s="1"/>
      <c r="AP2528" s="1"/>
      <c r="AQ2528" s="1"/>
      <c r="AR2528" s="1"/>
      <c r="AS2528" s="1"/>
      <c r="AT2528" s="1"/>
      <c r="AU2528" s="1"/>
      <c r="AV2528" s="1"/>
      <c r="AW2528" s="1"/>
      <c r="AX2528" s="1"/>
      <c r="AY2528" s="1"/>
      <c r="AZ2528" s="1"/>
      <c r="BA2528" s="1"/>
      <c r="BB2528" s="1"/>
      <c r="BC2528" s="1"/>
      <c r="BD2528" s="1"/>
      <c r="BE2528" s="1"/>
      <c r="BF2528" s="1"/>
      <c r="BG2528" s="1"/>
      <c r="BH2528" s="1"/>
      <c r="BI2528" s="1"/>
      <c r="BJ2528" s="1"/>
      <c r="BK2528" s="1"/>
      <c r="BL2528" s="1"/>
      <c r="BM2528" s="1"/>
      <c r="BN2528" s="1"/>
      <c r="BO2528" s="1"/>
      <c r="BP2528" s="1"/>
      <c r="BQ2528" s="1"/>
      <c r="BR2528" s="1"/>
      <c r="BS2528" s="1"/>
      <c r="BT2528" s="1"/>
      <c r="BU2528" s="1"/>
      <c r="BV2528" s="1"/>
      <c r="BW2528" s="1"/>
      <c r="BX2528" s="1"/>
      <c r="BY2528" s="1"/>
      <c r="BZ2528" s="1"/>
      <c r="CA2528" s="1"/>
      <c r="CB2528" s="1"/>
      <c r="CC2528" s="1"/>
      <c r="CD2528" s="1"/>
      <c r="CE2528" s="1"/>
      <c r="CF2528" s="1"/>
      <c r="CG2528" s="1"/>
      <c r="CH2528" s="1"/>
      <c r="CI2528" s="1"/>
      <c r="CJ2528" s="1"/>
      <c r="CK2528" s="1"/>
      <c r="CL2528" s="1"/>
      <c r="CM2528" s="1"/>
      <c r="CN2528" s="1"/>
      <c r="CO2528" s="1"/>
      <c r="CP2528" s="1"/>
      <c r="CQ2528" s="1"/>
      <c r="CR2528" s="1"/>
      <c r="CS2528" s="1"/>
      <c r="CT2528" s="1"/>
      <c r="CU2528" s="1"/>
      <c r="CV2528" s="1"/>
      <c r="CW2528" s="1"/>
      <c r="CX2528" s="1"/>
      <c r="CY2528" s="1"/>
      <c r="CZ2528" s="1"/>
      <c r="DA2528" s="1"/>
      <c r="DB2528" s="1"/>
      <c r="DC2528" s="1"/>
      <c r="DD2528" s="1"/>
      <c r="DE2528" s="1"/>
      <c r="DF2528" s="1"/>
      <c r="DG2528" s="1"/>
      <c r="DH2528" s="1"/>
      <c r="DI2528" s="1"/>
      <c r="DJ2528" s="1"/>
      <c r="DK2528" s="1"/>
      <c r="DL2528" s="1"/>
      <c r="DM2528" s="1"/>
      <c r="DN2528" s="1"/>
      <c r="DO2528" s="1"/>
      <c r="DP2528" s="1"/>
      <c r="DQ2528" s="1"/>
      <c r="DR2528" s="1"/>
      <c r="DS2528" s="1"/>
      <c r="DT2528" s="1"/>
      <c r="DU2528" s="1"/>
      <c r="DV2528" s="1"/>
      <c r="DW2528" s="1"/>
      <c r="DX2528" s="1"/>
      <c r="DY2528" s="1"/>
      <c r="DZ2528" s="1"/>
      <c r="EA2528" s="1"/>
      <c r="EB2528" s="1"/>
      <c r="EC2528" s="1"/>
      <c r="ED2528" s="1"/>
      <c r="EE2528" s="1"/>
      <c r="EF2528" s="1"/>
      <c r="EG2528" s="1"/>
      <c r="EH2528" s="1"/>
      <c r="EI2528" s="1"/>
      <c r="EJ2528" s="1"/>
      <c r="EK2528" s="1"/>
      <c r="EL2528" s="1"/>
      <c r="EM2528" s="1"/>
      <c r="EN2528" s="1"/>
      <c r="EO2528" s="1"/>
      <c r="EP2528" s="1"/>
      <c r="EQ2528" s="1"/>
      <c r="ER2528" s="1"/>
      <c r="ES2528" s="1"/>
      <c r="ET2528" s="1"/>
      <c r="EU2528" s="1"/>
      <c r="EV2528" s="1"/>
      <c r="EW2528" s="1"/>
      <c r="EX2528" s="1"/>
      <c r="EY2528" s="1"/>
      <c r="EZ2528" s="1"/>
      <c r="FA2528" s="1"/>
      <c r="FB2528" s="1"/>
      <c r="FC2528" s="1"/>
      <c r="FD2528" s="1"/>
      <c r="FE2528" s="1"/>
      <c r="FF2528" s="1"/>
      <c r="FG2528" s="1"/>
      <c r="FH2528" s="1"/>
      <c r="FI2528" s="1"/>
      <c r="FJ2528" s="1"/>
      <c r="FK2528" s="1"/>
      <c r="FL2528" s="1"/>
      <c r="FM2528" s="1"/>
      <c r="FN2528" s="1"/>
      <c r="FO2528" s="1"/>
      <c r="FP2528" s="1"/>
      <c r="FQ2528" s="1"/>
      <c r="FR2528" s="1"/>
      <c r="FS2528" s="1"/>
      <c r="FT2528" s="1"/>
      <c r="FU2528" s="1"/>
      <c r="FV2528" s="1"/>
      <c r="FW2528" s="1"/>
      <c r="FX2528" s="1"/>
      <c r="FY2528" s="1"/>
      <c r="FZ2528" s="1"/>
      <c r="GA2528" s="1"/>
      <c r="GB2528" s="1"/>
      <c r="GC2528" s="1"/>
      <c r="GD2528" s="1"/>
      <c r="GE2528" s="1"/>
      <c r="GF2528" s="1"/>
      <c r="GG2528" s="1"/>
      <c r="GH2528" s="1"/>
      <c r="GI2528" s="1"/>
      <c r="GJ2528" s="1"/>
      <c r="GK2528" s="1"/>
      <c r="GL2528" s="1"/>
      <c r="GM2528" s="1"/>
      <c r="GN2528" s="1"/>
      <c r="GO2528" s="1"/>
      <c r="GP2528" s="1"/>
      <c r="GQ2528" s="1"/>
      <c r="GR2528" s="1"/>
      <c r="GS2528" s="1"/>
      <c r="GT2528" s="1"/>
      <c r="GU2528" s="1"/>
      <c r="GV2528" s="1"/>
      <c r="GW2528" s="1"/>
      <c r="GX2528" s="1"/>
      <c r="GY2528" s="1"/>
      <c r="GZ2528" s="1"/>
      <c r="HA2528" s="1"/>
      <c r="HB2528" s="1"/>
      <c r="HC2528" s="1"/>
      <c r="HD2528" s="1"/>
      <c r="HE2528" s="1"/>
      <c r="HF2528" s="1"/>
      <c r="HG2528" s="1"/>
      <c r="HH2528" s="1"/>
      <c r="HI2528" s="1"/>
      <c r="HJ2528" s="1"/>
      <c r="HK2528" s="1"/>
      <c r="HL2528" s="1"/>
      <c r="HM2528" s="1"/>
      <c r="HN2528" s="1"/>
      <c r="HO2528" s="1"/>
      <c r="HP2528" s="1"/>
      <c r="HQ2528" s="1"/>
    </row>
    <row r="2529" spans="1:225" ht="46.5" x14ac:dyDescent="0.35">
      <c r="A2529" s="340"/>
      <c r="B2529" s="340"/>
      <c r="C2529" s="342"/>
      <c r="D2529" s="263"/>
      <c r="E2529" s="127"/>
      <c r="F2529" s="131"/>
      <c r="G2529" s="257"/>
      <c r="H2529" s="159" t="s">
        <v>705</v>
      </c>
      <c r="I2529" s="219">
        <f>D2528*K2529</f>
        <v>399504</v>
      </c>
      <c r="J2529" s="219">
        <f>I2529/D2528</f>
        <v>164</v>
      </c>
      <c r="K2529" s="219">
        <f>151+13</f>
        <v>164</v>
      </c>
      <c r="L2529" s="1"/>
      <c r="M2529" s="1"/>
      <c r="N2529" s="1"/>
      <c r="O2529" s="1"/>
      <c r="P2529" s="1"/>
      <c r="Q2529" s="1"/>
      <c r="R2529" s="1"/>
      <c r="S2529" s="1"/>
      <c r="T2529" s="1"/>
      <c r="U2529" s="1"/>
      <c r="V2529" s="1"/>
      <c r="W2529" s="1"/>
      <c r="X2529" s="1"/>
      <c r="Y2529" s="1"/>
      <c r="Z2529" s="1"/>
      <c r="AA2529" s="1"/>
      <c r="AB2529" s="1"/>
      <c r="AC2529" s="1"/>
      <c r="AD2529" s="1"/>
      <c r="AE2529" s="1"/>
      <c r="AF2529" s="1"/>
      <c r="AG2529" s="1"/>
      <c r="AH2529" s="1"/>
      <c r="AI2529" s="1"/>
      <c r="AJ2529" s="1"/>
      <c r="AK2529" s="1"/>
      <c r="AL2529" s="1"/>
      <c r="AM2529" s="1"/>
      <c r="AN2529" s="1"/>
      <c r="AO2529" s="1"/>
      <c r="AP2529" s="1"/>
      <c r="AQ2529" s="1"/>
      <c r="AR2529" s="1"/>
      <c r="AS2529" s="1"/>
      <c r="AT2529" s="1"/>
      <c r="AU2529" s="1"/>
      <c r="AV2529" s="1"/>
      <c r="AW2529" s="1"/>
      <c r="AX2529" s="1"/>
      <c r="AY2529" s="1"/>
      <c r="AZ2529" s="1"/>
      <c r="BA2529" s="1"/>
      <c r="BB2529" s="1"/>
      <c r="BC2529" s="1"/>
      <c r="BD2529" s="1"/>
      <c r="BE2529" s="1"/>
      <c r="BF2529" s="1"/>
      <c r="BG2529" s="1"/>
      <c r="BH2529" s="1"/>
      <c r="BI2529" s="1"/>
      <c r="BJ2529" s="1"/>
      <c r="BK2529" s="1"/>
      <c r="BL2529" s="1"/>
      <c r="BM2529" s="1"/>
      <c r="BN2529" s="1"/>
      <c r="BO2529" s="1"/>
      <c r="BP2529" s="1"/>
      <c r="BQ2529" s="1"/>
      <c r="BR2529" s="1"/>
      <c r="BS2529" s="1"/>
      <c r="BT2529" s="1"/>
      <c r="BU2529" s="1"/>
      <c r="BV2529" s="1"/>
      <c r="BW2529" s="1"/>
      <c r="BX2529" s="1"/>
      <c r="BY2529" s="1"/>
      <c r="BZ2529" s="1"/>
      <c r="CA2529" s="1"/>
      <c r="CB2529" s="1"/>
      <c r="CC2529" s="1"/>
      <c r="CD2529" s="1"/>
      <c r="CE2529" s="1"/>
      <c r="CF2529" s="1"/>
      <c r="CG2529" s="1"/>
      <c r="CH2529" s="1"/>
      <c r="CI2529" s="1"/>
      <c r="CJ2529" s="1"/>
      <c r="CK2529" s="1"/>
      <c r="CL2529" s="1"/>
      <c r="CM2529" s="1"/>
      <c r="CN2529" s="1"/>
      <c r="CO2529" s="1"/>
      <c r="CP2529" s="1"/>
      <c r="CQ2529" s="1"/>
      <c r="CR2529" s="1"/>
      <c r="CS2529" s="1"/>
      <c r="CT2529" s="1"/>
      <c r="CU2529" s="1"/>
      <c r="CV2529" s="1"/>
      <c r="CW2529" s="1"/>
      <c r="CX2529" s="1"/>
      <c r="CY2529" s="1"/>
      <c r="CZ2529" s="1"/>
      <c r="DA2529" s="1"/>
      <c r="DB2529" s="1"/>
      <c r="DC2529" s="1"/>
      <c r="DD2529" s="1"/>
      <c r="DE2529" s="1"/>
      <c r="DF2529" s="1"/>
      <c r="DG2529" s="1"/>
      <c r="DH2529" s="1"/>
      <c r="DI2529" s="1"/>
      <c r="DJ2529" s="1"/>
      <c r="DK2529" s="1"/>
      <c r="DL2529" s="1"/>
      <c r="DM2529" s="1"/>
      <c r="DN2529" s="1"/>
      <c r="DO2529" s="1"/>
      <c r="DP2529" s="1"/>
      <c r="DQ2529" s="1"/>
      <c r="DR2529" s="1"/>
      <c r="DS2529" s="1"/>
      <c r="DT2529" s="1"/>
      <c r="DU2529" s="1"/>
      <c r="DV2529" s="1"/>
      <c r="DW2529" s="1"/>
      <c r="DX2529" s="1"/>
      <c r="DY2529" s="1"/>
      <c r="DZ2529" s="1"/>
      <c r="EA2529" s="1"/>
      <c r="EB2529" s="1"/>
      <c r="EC2529" s="1"/>
      <c r="ED2529" s="1"/>
      <c r="EE2529" s="1"/>
      <c r="EF2529" s="1"/>
      <c r="EG2529" s="1"/>
      <c r="EH2529" s="1"/>
      <c r="EI2529" s="1"/>
      <c r="EJ2529" s="1"/>
      <c r="EK2529" s="1"/>
      <c r="EL2529" s="1"/>
      <c r="EM2529" s="1"/>
      <c r="EN2529" s="1"/>
      <c r="EO2529" s="1"/>
      <c r="EP2529" s="1"/>
      <c r="EQ2529" s="1"/>
      <c r="ER2529" s="1"/>
      <c r="ES2529" s="1"/>
      <c r="ET2529" s="1"/>
      <c r="EU2529" s="1"/>
      <c r="EV2529" s="1"/>
      <c r="EW2529" s="1"/>
      <c r="EX2529" s="1"/>
      <c r="EY2529" s="1"/>
      <c r="EZ2529" s="1"/>
      <c r="FA2529" s="1"/>
      <c r="FB2529" s="1"/>
      <c r="FC2529" s="1"/>
      <c r="FD2529" s="1"/>
      <c r="FE2529" s="1"/>
      <c r="FF2529" s="1"/>
      <c r="FG2529" s="1"/>
      <c r="FH2529" s="1"/>
      <c r="FI2529" s="1"/>
      <c r="FJ2529" s="1"/>
      <c r="FK2529" s="1"/>
      <c r="FL2529" s="1"/>
      <c r="FM2529" s="1"/>
      <c r="FN2529" s="1"/>
      <c r="FO2529" s="1"/>
      <c r="FP2529" s="1"/>
      <c r="FQ2529" s="1"/>
      <c r="FR2529" s="1"/>
      <c r="FS2529" s="1"/>
      <c r="FT2529" s="1"/>
      <c r="FU2529" s="1"/>
      <c r="FV2529" s="1"/>
      <c r="FW2529" s="1"/>
      <c r="FX2529" s="1"/>
      <c r="FY2529" s="1"/>
      <c r="FZ2529" s="1"/>
      <c r="GA2529" s="1"/>
      <c r="GB2529" s="1"/>
      <c r="GC2529" s="1"/>
      <c r="GD2529" s="1"/>
      <c r="GE2529" s="1"/>
      <c r="GF2529" s="1"/>
      <c r="GG2529" s="1"/>
      <c r="GH2529" s="1"/>
      <c r="GI2529" s="1"/>
      <c r="GJ2529" s="1"/>
      <c r="GK2529" s="1"/>
      <c r="GL2529" s="1"/>
      <c r="GM2529" s="1"/>
      <c r="GN2529" s="1"/>
      <c r="GO2529" s="1"/>
      <c r="GP2529" s="1"/>
      <c r="GQ2529" s="1"/>
      <c r="GR2529" s="1"/>
      <c r="GS2529" s="1"/>
      <c r="GT2529" s="1"/>
      <c r="GU2529" s="1"/>
      <c r="GV2529" s="1"/>
      <c r="GW2529" s="1"/>
      <c r="GX2529" s="1"/>
      <c r="GY2529" s="1"/>
      <c r="GZ2529" s="1"/>
      <c r="HA2529" s="1"/>
      <c r="HB2529" s="1"/>
      <c r="HC2529" s="1"/>
      <c r="HD2529" s="1"/>
      <c r="HE2529" s="1"/>
      <c r="HF2529" s="1"/>
      <c r="HG2529" s="1"/>
      <c r="HH2529" s="1"/>
      <c r="HI2529" s="1"/>
      <c r="HJ2529" s="1"/>
      <c r="HK2529" s="1"/>
      <c r="HL2529" s="1"/>
      <c r="HM2529" s="1"/>
      <c r="HN2529" s="1"/>
      <c r="HO2529" s="1"/>
      <c r="HP2529" s="1"/>
      <c r="HQ2529" s="1"/>
    </row>
    <row r="2530" spans="1:225" ht="15.75" customHeight="1" x14ac:dyDescent="0.35">
      <c r="A2530" s="307">
        <f>A2528+1</f>
        <v>3</v>
      </c>
      <c r="B2530" s="305">
        <v>7002</v>
      </c>
      <c r="C2530" s="259" t="s">
        <v>471</v>
      </c>
      <c r="D2530" s="262">
        <v>2657.4</v>
      </c>
      <c r="E2530" s="262" t="s">
        <v>71</v>
      </c>
      <c r="F2530" s="265">
        <v>5</v>
      </c>
      <c r="G2530" s="256" t="s">
        <v>72</v>
      </c>
      <c r="H2530" s="163" t="s">
        <v>73</v>
      </c>
      <c r="I2530" s="219">
        <f>I2531+I2532</f>
        <v>5313205.5599999996</v>
      </c>
      <c r="J2530" s="219">
        <f>J2531+J2532</f>
        <v>1999.4</v>
      </c>
      <c r="K2530" s="219">
        <f>K2531+K2532</f>
        <v>2831</v>
      </c>
      <c r="L2530" s="1"/>
      <c r="M2530" s="1"/>
      <c r="N2530" s="1"/>
      <c r="O2530" s="1"/>
      <c r="P2530" s="1"/>
      <c r="Q2530" s="1"/>
      <c r="R2530" s="1"/>
      <c r="S2530" s="1"/>
      <c r="T2530" s="1"/>
      <c r="U2530" s="1"/>
      <c r="V2530" s="1"/>
      <c r="W2530" s="1"/>
      <c r="X2530" s="1"/>
      <c r="Y2530" s="1"/>
      <c r="Z2530" s="1"/>
      <c r="AA2530" s="1"/>
      <c r="AB2530" s="1"/>
      <c r="AC2530" s="1"/>
      <c r="AD2530" s="1"/>
      <c r="AE2530" s="1"/>
      <c r="AF2530" s="1"/>
      <c r="AG2530" s="1"/>
      <c r="AH2530" s="1"/>
      <c r="AI2530" s="1"/>
      <c r="AJ2530" s="1"/>
      <c r="AK2530" s="1"/>
      <c r="AL2530" s="1"/>
      <c r="AM2530" s="1"/>
      <c r="AN2530" s="1"/>
      <c r="AO2530" s="1"/>
      <c r="AP2530" s="1"/>
      <c r="AQ2530" s="1"/>
      <c r="AR2530" s="1"/>
      <c r="AS2530" s="1"/>
      <c r="AT2530" s="1"/>
      <c r="AU2530" s="1"/>
      <c r="AV2530" s="1"/>
      <c r="AW2530" s="1"/>
      <c r="AX2530" s="1"/>
      <c r="AY2530" s="1"/>
      <c r="AZ2530" s="1"/>
      <c r="BA2530" s="1"/>
      <c r="BB2530" s="1"/>
      <c r="BC2530" s="1"/>
      <c r="BD2530" s="1"/>
      <c r="BE2530" s="1"/>
      <c r="BF2530" s="1"/>
      <c r="BG2530" s="1"/>
      <c r="BH2530" s="1"/>
      <c r="BI2530" s="1"/>
      <c r="BJ2530" s="1"/>
      <c r="BK2530" s="1"/>
      <c r="BL2530" s="1"/>
      <c r="BM2530" s="1"/>
      <c r="BN2530" s="1"/>
      <c r="BO2530" s="1"/>
      <c r="BP2530" s="1"/>
      <c r="BQ2530" s="1"/>
      <c r="BR2530" s="1"/>
      <c r="BS2530" s="1"/>
      <c r="BT2530" s="1"/>
      <c r="BU2530" s="1"/>
      <c r="BV2530" s="1"/>
      <c r="BW2530" s="1"/>
      <c r="BX2530" s="1"/>
      <c r="BY2530" s="1"/>
      <c r="BZ2530" s="1"/>
      <c r="CA2530" s="1"/>
      <c r="CB2530" s="1"/>
      <c r="CC2530" s="1"/>
      <c r="CD2530" s="1"/>
      <c r="CE2530" s="1"/>
      <c r="CF2530" s="1"/>
      <c r="CG2530" s="1"/>
      <c r="CH2530" s="1"/>
      <c r="CI2530" s="1"/>
      <c r="CJ2530" s="1"/>
      <c r="CK2530" s="1"/>
      <c r="CL2530" s="1"/>
      <c r="CM2530" s="1"/>
      <c r="CN2530" s="1"/>
      <c r="CO2530" s="1"/>
      <c r="CP2530" s="1"/>
      <c r="CQ2530" s="1"/>
      <c r="CR2530" s="1"/>
      <c r="CS2530" s="1"/>
      <c r="CT2530" s="1"/>
      <c r="CU2530" s="1"/>
      <c r="CV2530" s="1"/>
      <c r="CW2530" s="1"/>
      <c r="CX2530" s="1"/>
      <c r="CY2530" s="1"/>
      <c r="CZ2530" s="1"/>
      <c r="DA2530" s="1"/>
      <c r="DB2530" s="1"/>
      <c r="DC2530" s="1"/>
      <c r="DD2530" s="1"/>
      <c r="DE2530" s="1"/>
      <c r="DF2530" s="1"/>
      <c r="DG2530" s="1"/>
      <c r="DH2530" s="1"/>
      <c r="DI2530" s="1"/>
      <c r="DJ2530" s="1"/>
      <c r="DK2530" s="1"/>
      <c r="DL2530" s="1"/>
      <c r="DM2530" s="1"/>
      <c r="DN2530" s="1"/>
      <c r="DO2530" s="1"/>
      <c r="DP2530" s="1"/>
      <c r="DQ2530" s="1"/>
      <c r="DR2530" s="1"/>
      <c r="DS2530" s="1"/>
      <c r="DT2530" s="1"/>
      <c r="DU2530" s="1"/>
      <c r="DV2530" s="1"/>
      <c r="DW2530" s="1"/>
      <c r="DX2530" s="1"/>
      <c r="DY2530" s="1"/>
      <c r="DZ2530" s="1"/>
      <c r="EA2530" s="1"/>
      <c r="EB2530" s="1"/>
      <c r="EC2530" s="1"/>
      <c r="ED2530" s="1"/>
      <c r="EE2530" s="1"/>
      <c r="EF2530" s="1"/>
      <c r="EG2530" s="1"/>
      <c r="EH2530" s="1"/>
      <c r="EI2530" s="1"/>
      <c r="EJ2530" s="1"/>
      <c r="EK2530" s="1"/>
      <c r="EL2530" s="1"/>
      <c r="EM2530" s="1"/>
      <c r="EN2530" s="1"/>
      <c r="EO2530" s="1"/>
      <c r="EP2530" s="1"/>
      <c r="EQ2530" s="1"/>
      <c r="ER2530" s="1"/>
      <c r="ES2530" s="1"/>
      <c r="ET2530" s="1"/>
      <c r="EU2530" s="1"/>
      <c r="EV2530" s="1"/>
      <c r="EW2530" s="1"/>
      <c r="EX2530" s="1"/>
      <c r="EY2530" s="1"/>
      <c r="EZ2530" s="1"/>
      <c r="FA2530" s="1"/>
      <c r="FB2530" s="1"/>
      <c r="FC2530" s="1"/>
      <c r="FD2530" s="1"/>
      <c r="FE2530" s="1"/>
      <c r="FF2530" s="1"/>
      <c r="FG2530" s="1"/>
      <c r="FH2530" s="1"/>
      <c r="FI2530" s="1"/>
      <c r="FJ2530" s="1"/>
      <c r="FK2530" s="1"/>
      <c r="FL2530" s="1"/>
      <c r="FM2530" s="1"/>
      <c r="FN2530" s="1"/>
      <c r="FO2530" s="1"/>
      <c r="FP2530" s="1"/>
      <c r="FQ2530" s="1"/>
      <c r="FR2530" s="1"/>
      <c r="FS2530" s="1"/>
      <c r="FT2530" s="1"/>
      <c r="FU2530" s="1"/>
      <c r="FV2530" s="1"/>
      <c r="FW2530" s="1"/>
      <c r="FX2530" s="1"/>
      <c r="FY2530" s="1"/>
      <c r="FZ2530" s="1"/>
      <c r="GA2530" s="1"/>
      <c r="GB2530" s="1"/>
      <c r="GC2530" s="1"/>
      <c r="GD2530" s="1"/>
      <c r="GE2530" s="1"/>
      <c r="GF2530" s="1"/>
      <c r="GG2530" s="1"/>
      <c r="GH2530" s="1"/>
      <c r="GI2530" s="1"/>
      <c r="GJ2530" s="1"/>
      <c r="GK2530" s="1"/>
      <c r="GL2530" s="1"/>
      <c r="GM2530" s="1"/>
      <c r="GN2530" s="1"/>
      <c r="GO2530" s="1"/>
      <c r="GP2530" s="1"/>
      <c r="GQ2530" s="1"/>
      <c r="GR2530" s="1"/>
      <c r="GS2530" s="1"/>
      <c r="GT2530" s="1"/>
      <c r="GU2530" s="1"/>
      <c r="GV2530" s="1"/>
      <c r="GW2530" s="1"/>
      <c r="GX2530" s="1"/>
      <c r="GY2530" s="1"/>
      <c r="GZ2530" s="1"/>
      <c r="HA2530" s="1"/>
      <c r="HB2530" s="1"/>
      <c r="HC2530" s="1"/>
      <c r="HD2530" s="1"/>
      <c r="HE2530" s="1"/>
      <c r="HF2530" s="1"/>
      <c r="HG2530" s="1"/>
      <c r="HH2530" s="1"/>
      <c r="HI2530" s="1"/>
      <c r="HJ2530" s="1"/>
      <c r="HK2530" s="1"/>
      <c r="HL2530" s="1"/>
      <c r="HM2530" s="1"/>
      <c r="HN2530" s="1"/>
      <c r="HO2530" s="1"/>
      <c r="HP2530" s="1"/>
      <c r="HQ2530" s="1"/>
    </row>
    <row r="2531" spans="1:225" ht="15.75" customHeight="1" x14ac:dyDescent="0.35">
      <c r="A2531" s="306"/>
      <c r="B2531" s="306"/>
      <c r="C2531" s="260"/>
      <c r="D2531" s="263"/>
      <c r="E2531" s="263"/>
      <c r="F2531" s="266"/>
      <c r="G2531" s="257"/>
      <c r="H2531" s="163" t="s">
        <v>74</v>
      </c>
      <c r="I2531" s="219">
        <f>D2530*K2531*70/100</f>
        <v>5156418.96</v>
      </c>
      <c r="J2531" s="219">
        <f>I2531/D2530</f>
        <v>1940.4</v>
      </c>
      <c r="K2531" s="219">
        <v>2772</v>
      </c>
      <c r="L2531" s="1"/>
      <c r="M2531" s="1"/>
      <c r="N2531" s="1"/>
      <c r="O2531" s="1"/>
      <c r="P2531" s="1"/>
      <c r="Q2531" s="1"/>
      <c r="R2531" s="1"/>
      <c r="S2531" s="1"/>
      <c r="T2531" s="1"/>
      <c r="U2531" s="1"/>
      <c r="V2531" s="1"/>
      <c r="W2531" s="1"/>
      <c r="X2531" s="1"/>
      <c r="Y2531" s="1"/>
      <c r="Z2531" s="1"/>
      <c r="AA2531" s="1"/>
      <c r="AB2531" s="1"/>
      <c r="AC2531" s="1"/>
      <c r="AD2531" s="1"/>
      <c r="AE2531" s="1"/>
      <c r="AF2531" s="1"/>
      <c r="AG2531" s="1"/>
      <c r="AH2531" s="1"/>
      <c r="AI2531" s="1"/>
      <c r="AJ2531" s="1"/>
      <c r="AK2531" s="1"/>
      <c r="AL2531" s="1"/>
      <c r="AM2531" s="1"/>
      <c r="AN2531" s="1"/>
      <c r="AO2531" s="1"/>
      <c r="AP2531" s="1"/>
      <c r="AQ2531" s="1"/>
      <c r="AR2531" s="1"/>
      <c r="AS2531" s="1"/>
      <c r="AT2531" s="1"/>
      <c r="AU2531" s="1"/>
      <c r="AV2531" s="1"/>
      <c r="AW2531" s="1"/>
      <c r="AX2531" s="1"/>
      <c r="AY2531" s="1"/>
      <c r="AZ2531" s="1"/>
      <c r="BA2531" s="1"/>
      <c r="BB2531" s="1"/>
      <c r="BC2531" s="1"/>
      <c r="BD2531" s="1"/>
      <c r="BE2531" s="1"/>
      <c r="BF2531" s="1"/>
      <c r="BG2531" s="1"/>
      <c r="BH2531" s="1"/>
      <c r="BI2531" s="1"/>
      <c r="BJ2531" s="1"/>
      <c r="BK2531" s="1"/>
      <c r="BL2531" s="1"/>
      <c r="BM2531" s="1"/>
      <c r="BN2531" s="1"/>
      <c r="BO2531" s="1"/>
      <c r="BP2531" s="1"/>
      <c r="BQ2531" s="1"/>
      <c r="BR2531" s="1"/>
      <c r="BS2531" s="1"/>
      <c r="BT2531" s="1"/>
      <c r="BU2531" s="1"/>
      <c r="BV2531" s="1"/>
      <c r="BW2531" s="1"/>
      <c r="BX2531" s="1"/>
      <c r="BY2531" s="1"/>
      <c r="BZ2531" s="1"/>
      <c r="CA2531" s="1"/>
      <c r="CB2531" s="1"/>
      <c r="CC2531" s="1"/>
      <c r="CD2531" s="1"/>
      <c r="CE2531" s="1"/>
      <c r="CF2531" s="1"/>
      <c r="CG2531" s="1"/>
      <c r="CH2531" s="1"/>
      <c r="CI2531" s="1"/>
      <c r="CJ2531" s="1"/>
      <c r="CK2531" s="1"/>
      <c r="CL2531" s="1"/>
      <c r="CM2531" s="1"/>
      <c r="CN2531" s="1"/>
      <c r="CO2531" s="1"/>
      <c r="CP2531" s="1"/>
      <c r="CQ2531" s="1"/>
      <c r="CR2531" s="1"/>
      <c r="CS2531" s="1"/>
      <c r="CT2531" s="1"/>
      <c r="CU2531" s="1"/>
      <c r="CV2531" s="1"/>
      <c r="CW2531" s="1"/>
      <c r="CX2531" s="1"/>
      <c r="CY2531" s="1"/>
      <c r="CZ2531" s="1"/>
      <c r="DA2531" s="1"/>
      <c r="DB2531" s="1"/>
      <c r="DC2531" s="1"/>
      <c r="DD2531" s="1"/>
      <c r="DE2531" s="1"/>
      <c r="DF2531" s="1"/>
      <c r="DG2531" s="1"/>
      <c r="DH2531" s="1"/>
      <c r="DI2531" s="1"/>
      <c r="DJ2531" s="1"/>
      <c r="DK2531" s="1"/>
      <c r="DL2531" s="1"/>
      <c r="DM2531" s="1"/>
      <c r="DN2531" s="1"/>
      <c r="DO2531" s="1"/>
      <c r="DP2531" s="1"/>
      <c r="DQ2531" s="1"/>
      <c r="DR2531" s="1"/>
      <c r="DS2531" s="1"/>
      <c r="DT2531" s="1"/>
      <c r="DU2531" s="1"/>
      <c r="DV2531" s="1"/>
      <c r="DW2531" s="1"/>
      <c r="DX2531" s="1"/>
      <c r="DY2531" s="1"/>
      <c r="DZ2531" s="1"/>
      <c r="EA2531" s="1"/>
      <c r="EB2531" s="1"/>
      <c r="EC2531" s="1"/>
      <c r="ED2531" s="1"/>
      <c r="EE2531" s="1"/>
      <c r="EF2531" s="1"/>
      <c r="EG2531" s="1"/>
      <c r="EH2531" s="1"/>
      <c r="EI2531" s="1"/>
      <c r="EJ2531" s="1"/>
      <c r="EK2531" s="1"/>
      <c r="EL2531" s="1"/>
      <c r="EM2531" s="1"/>
      <c r="EN2531" s="1"/>
      <c r="EO2531" s="1"/>
      <c r="EP2531" s="1"/>
      <c r="EQ2531" s="1"/>
      <c r="ER2531" s="1"/>
      <c r="ES2531" s="1"/>
      <c r="ET2531" s="1"/>
      <c r="EU2531" s="1"/>
      <c r="EV2531" s="1"/>
      <c r="EW2531" s="1"/>
      <c r="EX2531" s="1"/>
      <c r="EY2531" s="1"/>
      <c r="EZ2531" s="1"/>
      <c r="FA2531" s="1"/>
      <c r="FB2531" s="1"/>
      <c r="FC2531" s="1"/>
      <c r="FD2531" s="1"/>
      <c r="FE2531" s="1"/>
      <c r="FF2531" s="1"/>
      <c r="FG2531" s="1"/>
      <c r="FH2531" s="1"/>
      <c r="FI2531" s="1"/>
      <c r="FJ2531" s="1"/>
      <c r="FK2531" s="1"/>
      <c r="FL2531" s="1"/>
      <c r="FM2531" s="1"/>
      <c r="FN2531" s="1"/>
      <c r="FO2531" s="1"/>
      <c r="FP2531" s="1"/>
      <c r="FQ2531" s="1"/>
      <c r="FR2531" s="1"/>
      <c r="FS2531" s="1"/>
      <c r="FT2531" s="1"/>
      <c r="FU2531" s="1"/>
      <c r="FV2531" s="1"/>
      <c r="FW2531" s="1"/>
      <c r="FX2531" s="1"/>
      <c r="FY2531" s="1"/>
      <c r="FZ2531" s="1"/>
      <c r="GA2531" s="1"/>
      <c r="GB2531" s="1"/>
      <c r="GC2531" s="1"/>
      <c r="GD2531" s="1"/>
      <c r="GE2531" s="1"/>
      <c r="GF2531" s="1"/>
      <c r="GG2531" s="1"/>
      <c r="GH2531" s="1"/>
      <c r="GI2531" s="1"/>
      <c r="GJ2531" s="1"/>
      <c r="GK2531" s="1"/>
      <c r="GL2531" s="1"/>
      <c r="GM2531" s="1"/>
      <c r="GN2531" s="1"/>
      <c r="GO2531" s="1"/>
      <c r="GP2531" s="1"/>
      <c r="GQ2531" s="1"/>
      <c r="GR2531" s="1"/>
      <c r="GS2531" s="1"/>
      <c r="GT2531" s="1"/>
      <c r="GU2531" s="1"/>
      <c r="GV2531" s="1"/>
      <c r="GW2531" s="1"/>
      <c r="GX2531" s="1"/>
      <c r="GY2531" s="1"/>
      <c r="GZ2531" s="1"/>
      <c r="HA2531" s="1"/>
      <c r="HB2531" s="1"/>
      <c r="HC2531" s="1"/>
      <c r="HD2531" s="1"/>
      <c r="HE2531" s="1"/>
      <c r="HF2531" s="1"/>
      <c r="HG2531" s="1"/>
      <c r="HH2531" s="1"/>
      <c r="HI2531" s="1"/>
      <c r="HJ2531" s="1"/>
      <c r="HK2531" s="1"/>
      <c r="HL2531" s="1"/>
      <c r="HM2531" s="1"/>
      <c r="HN2531" s="1"/>
      <c r="HO2531" s="1"/>
      <c r="HP2531" s="1"/>
      <c r="HQ2531" s="1"/>
    </row>
    <row r="2532" spans="1:225" ht="15.75" customHeight="1" x14ac:dyDescent="0.35">
      <c r="A2532" s="321"/>
      <c r="B2532" s="321"/>
      <c r="C2532" s="261"/>
      <c r="D2532" s="264"/>
      <c r="E2532" s="264"/>
      <c r="F2532" s="267"/>
      <c r="G2532" s="258"/>
      <c r="H2532" s="163" t="s">
        <v>76</v>
      </c>
      <c r="I2532" s="219">
        <f>D2530*K2532</f>
        <v>156786.6</v>
      </c>
      <c r="J2532" s="219">
        <f>I2532/D2530</f>
        <v>59</v>
      </c>
      <c r="K2532" s="219">
        <v>59</v>
      </c>
      <c r="L2532" s="1"/>
      <c r="M2532" s="1"/>
      <c r="N2532" s="1"/>
      <c r="O2532" s="1"/>
      <c r="P2532" s="1"/>
      <c r="Q2532" s="1"/>
      <c r="R2532" s="1"/>
      <c r="S2532" s="1"/>
      <c r="T2532" s="1"/>
      <c r="U2532" s="1"/>
      <c r="V2532" s="1"/>
      <c r="W2532" s="1"/>
      <c r="X2532" s="1"/>
      <c r="Y2532" s="1"/>
      <c r="Z2532" s="1"/>
      <c r="AA2532" s="1"/>
      <c r="AB2532" s="1"/>
      <c r="AC2532" s="1"/>
      <c r="AD2532" s="1"/>
      <c r="AE2532" s="1"/>
      <c r="AF2532" s="1"/>
      <c r="AG2532" s="1"/>
      <c r="AH2532" s="1"/>
      <c r="AI2532" s="1"/>
      <c r="AJ2532" s="1"/>
      <c r="AK2532" s="1"/>
      <c r="AL2532" s="1"/>
      <c r="AM2532" s="1"/>
      <c r="AN2532" s="1"/>
      <c r="AO2532" s="1"/>
      <c r="AP2532" s="1"/>
      <c r="AQ2532" s="1"/>
      <c r="AR2532" s="1"/>
      <c r="AS2532" s="1"/>
      <c r="AT2532" s="1"/>
      <c r="AU2532" s="1"/>
      <c r="AV2532" s="1"/>
      <c r="AW2532" s="1"/>
      <c r="AX2532" s="1"/>
      <c r="AY2532" s="1"/>
      <c r="AZ2532" s="1"/>
      <c r="BA2532" s="1"/>
      <c r="BB2532" s="1"/>
      <c r="BC2532" s="1"/>
      <c r="BD2532" s="1"/>
      <c r="BE2532" s="1"/>
      <c r="BF2532" s="1"/>
      <c r="BG2532" s="1"/>
      <c r="BH2532" s="1"/>
      <c r="BI2532" s="1"/>
      <c r="BJ2532" s="1"/>
      <c r="BK2532" s="1"/>
      <c r="BL2532" s="1"/>
      <c r="BM2532" s="1"/>
      <c r="BN2532" s="1"/>
      <c r="BO2532" s="1"/>
      <c r="BP2532" s="1"/>
      <c r="BQ2532" s="1"/>
      <c r="BR2532" s="1"/>
      <c r="BS2532" s="1"/>
      <c r="BT2532" s="1"/>
      <c r="BU2532" s="1"/>
      <c r="BV2532" s="1"/>
      <c r="BW2532" s="1"/>
      <c r="BX2532" s="1"/>
      <c r="BY2532" s="1"/>
      <c r="BZ2532" s="1"/>
      <c r="CA2532" s="1"/>
      <c r="CB2532" s="1"/>
      <c r="CC2532" s="1"/>
      <c r="CD2532" s="1"/>
      <c r="CE2532" s="1"/>
      <c r="CF2532" s="1"/>
      <c r="CG2532" s="1"/>
      <c r="CH2532" s="1"/>
      <c r="CI2532" s="1"/>
      <c r="CJ2532" s="1"/>
      <c r="CK2532" s="1"/>
      <c r="CL2532" s="1"/>
      <c r="CM2532" s="1"/>
      <c r="CN2532" s="1"/>
      <c r="CO2532" s="1"/>
      <c r="CP2532" s="1"/>
      <c r="CQ2532" s="1"/>
      <c r="CR2532" s="1"/>
      <c r="CS2532" s="1"/>
      <c r="CT2532" s="1"/>
      <c r="CU2532" s="1"/>
      <c r="CV2532" s="1"/>
      <c r="CW2532" s="1"/>
      <c r="CX2532" s="1"/>
      <c r="CY2532" s="1"/>
      <c r="CZ2532" s="1"/>
      <c r="DA2532" s="1"/>
      <c r="DB2532" s="1"/>
      <c r="DC2532" s="1"/>
      <c r="DD2532" s="1"/>
      <c r="DE2532" s="1"/>
      <c r="DF2532" s="1"/>
      <c r="DG2532" s="1"/>
      <c r="DH2532" s="1"/>
      <c r="DI2532" s="1"/>
      <c r="DJ2532" s="1"/>
      <c r="DK2532" s="1"/>
      <c r="DL2532" s="1"/>
      <c r="DM2532" s="1"/>
      <c r="DN2532" s="1"/>
      <c r="DO2532" s="1"/>
      <c r="DP2532" s="1"/>
      <c r="DQ2532" s="1"/>
      <c r="DR2532" s="1"/>
      <c r="DS2532" s="1"/>
      <c r="DT2532" s="1"/>
      <c r="DU2532" s="1"/>
      <c r="DV2532" s="1"/>
      <c r="DW2532" s="1"/>
      <c r="DX2532" s="1"/>
      <c r="DY2532" s="1"/>
      <c r="DZ2532" s="1"/>
      <c r="EA2532" s="1"/>
      <c r="EB2532" s="1"/>
      <c r="EC2532" s="1"/>
      <c r="ED2532" s="1"/>
      <c r="EE2532" s="1"/>
      <c r="EF2532" s="1"/>
      <c r="EG2532" s="1"/>
      <c r="EH2532" s="1"/>
      <c r="EI2532" s="1"/>
      <c r="EJ2532" s="1"/>
      <c r="EK2532" s="1"/>
      <c r="EL2532" s="1"/>
      <c r="EM2532" s="1"/>
      <c r="EN2532" s="1"/>
      <c r="EO2532" s="1"/>
      <c r="EP2532" s="1"/>
      <c r="EQ2532" s="1"/>
      <c r="ER2532" s="1"/>
      <c r="ES2532" s="1"/>
      <c r="ET2532" s="1"/>
      <c r="EU2532" s="1"/>
      <c r="EV2532" s="1"/>
      <c r="EW2532" s="1"/>
      <c r="EX2532" s="1"/>
      <c r="EY2532" s="1"/>
      <c r="EZ2532" s="1"/>
      <c r="FA2532" s="1"/>
      <c r="FB2532" s="1"/>
      <c r="FC2532" s="1"/>
      <c r="FD2532" s="1"/>
      <c r="FE2532" s="1"/>
      <c r="FF2532" s="1"/>
      <c r="FG2532" s="1"/>
      <c r="FH2532" s="1"/>
      <c r="FI2532" s="1"/>
      <c r="FJ2532" s="1"/>
      <c r="FK2532" s="1"/>
      <c r="FL2532" s="1"/>
      <c r="FM2532" s="1"/>
      <c r="FN2532" s="1"/>
      <c r="FO2532" s="1"/>
      <c r="FP2532" s="1"/>
      <c r="FQ2532" s="1"/>
      <c r="FR2532" s="1"/>
      <c r="FS2532" s="1"/>
      <c r="FT2532" s="1"/>
      <c r="FU2532" s="1"/>
      <c r="FV2532" s="1"/>
      <c r="FW2532" s="1"/>
      <c r="FX2532" s="1"/>
      <c r="FY2532" s="1"/>
      <c r="FZ2532" s="1"/>
      <c r="GA2532" s="1"/>
      <c r="GB2532" s="1"/>
      <c r="GC2532" s="1"/>
      <c r="GD2532" s="1"/>
      <c r="GE2532" s="1"/>
      <c r="GF2532" s="1"/>
      <c r="GG2532" s="1"/>
      <c r="GH2532" s="1"/>
      <c r="GI2532" s="1"/>
      <c r="GJ2532" s="1"/>
      <c r="GK2532" s="1"/>
      <c r="GL2532" s="1"/>
      <c r="GM2532" s="1"/>
      <c r="GN2532" s="1"/>
      <c r="GO2532" s="1"/>
      <c r="GP2532" s="1"/>
      <c r="GQ2532" s="1"/>
      <c r="GR2532" s="1"/>
      <c r="GS2532" s="1"/>
      <c r="GT2532" s="1"/>
      <c r="GU2532" s="1"/>
      <c r="GV2532" s="1"/>
      <c r="GW2532" s="1"/>
      <c r="GX2532" s="1"/>
      <c r="GY2532" s="1"/>
      <c r="GZ2532" s="1"/>
      <c r="HA2532" s="1"/>
      <c r="HB2532" s="1"/>
      <c r="HC2532" s="1"/>
      <c r="HD2532" s="1"/>
      <c r="HE2532" s="1"/>
      <c r="HF2532" s="1"/>
      <c r="HG2532" s="1"/>
      <c r="HH2532" s="1"/>
      <c r="HI2532" s="1"/>
      <c r="HJ2532" s="1"/>
      <c r="HK2532" s="1"/>
      <c r="HL2532" s="1"/>
      <c r="HM2532" s="1"/>
      <c r="HN2532" s="1"/>
      <c r="HO2532" s="1"/>
      <c r="HP2532" s="1"/>
      <c r="HQ2532" s="1"/>
    </row>
    <row r="2533" spans="1:225" ht="15.75" customHeight="1" x14ac:dyDescent="0.35">
      <c r="A2533" s="307">
        <f>A2530+1</f>
        <v>4</v>
      </c>
      <c r="B2533" s="305">
        <v>7003</v>
      </c>
      <c r="C2533" s="259" t="s">
        <v>472</v>
      </c>
      <c r="D2533" s="262">
        <v>2665.8</v>
      </c>
      <c r="E2533" s="262" t="s">
        <v>71</v>
      </c>
      <c r="F2533" s="265">
        <v>5</v>
      </c>
      <c r="G2533" s="256" t="s">
        <v>72</v>
      </c>
      <c r="H2533" s="163" t="s">
        <v>73</v>
      </c>
      <c r="I2533" s="219">
        <f>I2534+I2535</f>
        <v>5330000.5199999996</v>
      </c>
      <c r="J2533" s="219">
        <f>J2534+J2535</f>
        <v>1999.4</v>
      </c>
      <c r="K2533" s="219">
        <f>K2534+K2535</f>
        <v>2831</v>
      </c>
      <c r="L2533" s="1"/>
      <c r="M2533" s="1"/>
      <c r="N2533" s="1"/>
      <c r="O2533" s="1"/>
      <c r="P2533" s="1"/>
      <c r="Q2533" s="1"/>
      <c r="R2533" s="1"/>
      <c r="S2533" s="1"/>
      <c r="T2533" s="1"/>
      <c r="U2533" s="1"/>
      <c r="V2533" s="1"/>
      <c r="W2533" s="1"/>
      <c r="X2533" s="1"/>
      <c r="Y2533" s="1"/>
      <c r="Z2533" s="1"/>
      <c r="AA2533" s="1"/>
      <c r="AB2533" s="1"/>
      <c r="AC2533" s="1"/>
      <c r="AD2533" s="1"/>
      <c r="AE2533" s="1"/>
      <c r="AF2533" s="1"/>
      <c r="AG2533" s="1"/>
      <c r="AH2533" s="1"/>
      <c r="AI2533" s="1"/>
      <c r="AJ2533" s="1"/>
      <c r="AK2533" s="1"/>
      <c r="AL2533" s="1"/>
      <c r="AM2533" s="1"/>
      <c r="AN2533" s="1"/>
      <c r="AO2533" s="1"/>
      <c r="AP2533" s="1"/>
      <c r="AQ2533" s="1"/>
      <c r="AR2533" s="1"/>
      <c r="AS2533" s="1"/>
      <c r="AT2533" s="1"/>
      <c r="AU2533" s="1"/>
      <c r="AV2533" s="1"/>
      <c r="AW2533" s="1"/>
      <c r="AX2533" s="1"/>
      <c r="AY2533" s="1"/>
      <c r="AZ2533" s="1"/>
      <c r="BA2533" s="1"/>
      <c r="BB2533" s="1"/>
      <c r="BC2533" s="1"/>
      <c r="BD2533" s="1"/>
      <c r="BE2533" s="1"/>
      <c r="BF2533" s="1"/>
      <c r="BG2533" s="1"/>
      <c r="BH2533" s="1"/>
      <c r="BI2533" s="1"/>
      <c r="BJ2533" s="1"/>
      <c r="BK2533" s="1"/>
      <c r="BL2533" s="1"/>
      <c r="BM2533" s="1"/>
      <c r="BN2533" s="1"/>
      <c r="BO2533" s="1"/>
      <c r="BP2533" s="1"/>
      <c r="BQ2533" s="1"/>
      <c r="BR2533" s="1"/>
      <c r="BS2533" s="1"/>
      <c r="BT2533" s="1"/>
      <c r="BU2533" s="1"/>
      <c r="BV2533" s="1"/>
      <c r="BW2533" s="1"/>
      <c r="BX2533" s="1"/>
      <c r="BY2533" s="1"/>
      <c r="BZ2533" s="1"/>
      <c r="CA2533" s="1"/>
      <c r="CB2533" s="1"/>
      <c r="CC2533" s="1"/>
      <c r="CD2533" s="1"/>
      <c r="CE2533" s="1"/>
      <c r="CF2533" s="1"/>
      <c r="CG2533" s="1"/>
      <c r="CH2533" s="1"/>
      <c r="CI2533" s="1"/>
      <c r="CJ2533" s="1"/>
      <c r="CK2533" s="1"/>
      <c r="CL2533" s="1"/>
      <c r="CM2533" s="1"/>
      <c r="CN2533" s="1"/>
      <c r="CO2533" s="1"/>
      <c r="CP2533" s="1"/>
      <c r="CQ2533" s="1"/>
      <c r="CR2533" s="1"/>
      <c r="CS2533" s="1"/>
      <c r="CT2533" s="1"/>
      <c r="CU2533" s="1"/>
      <c r="CV2533" s="1"/>
      <c r="CW2533" s="1"/>
      <c r="CX2533" s="1"/>
      <c r="CY2533" s="1"/>
      <c r="CZ2533" s="1"/>
      <c r="DA2533" s="1"/>
      <c r="DB2533" s="1"/>
      <c r="DC2533" s="1"/>
      <c r="DD2533" s="1"/>
      <c r="DE2533" s="1"/>
      <c r="DF2533" s="1"/>
      <c r="DG2533" s="1"/>
      <c r="DH2533" s="1"/>
      <c r="DI2533" s="1"/>
      <c r="DJ2533" s="1"/>
      <c r="DK2533" s="1"/>
      <c r="DL2533" s="1"/>
      <c r="DM2533" s="1"/>
      <c r="DN2533" s="1"/>
      <c r="DO2533" s="1"/>
      <c r="DP2533" s="1"/>
      <c r="DQ2533" s="1"/>
      <c r="DR2533" s="1"/>
      <c r="DS2533" s="1"/>
      <c r="DT2533" s="1"/>
      <c r="DU2533" s="1"/>
      <c r="DV2533" s="1"/>
      <c r="DW2533" s="1"/>
      <c r="DX2533" s="1"/>
      <c r="DY2533" s="1"/>
      <c r="DZ2533" s="1"/>
      <c r="EA2533" s="1"/>
      <c r="EB2533" s="1"/>
      <c r="EC2533" s="1"/>
      <c r="ED2533" s="1"/>
      <c r="EE2533" s="1"/>
      <c r="EF2533" s="1"/>
      <c r="EG2533" s="1"/>
      <c r="EH2533" s="1"/>
      <c r="EI2533" s="1"/>
      <c r="EJ2533" s="1"/>
      <c r="EK2533" s="1"/>
      <c r="EL2533" s="1"/>
      <c r="EM2533" s="1"/>
      <c r="EN2533" s="1"/>
      <c r="EO2533" s="1"/>
      <c r="EP2533" s="1"/>
      <c r="EQ2533" s="1"/>
      <c r="ER2533" s="1"/>
      <c r="ES2533" s="1"/>
      <c r="ET2533" s="1"/>
      <c r="EU2533" s="1"/>
      <c r="EV2533" s="1"/>
      <c r="EW2533" s="1"/>
      <c r="EX2533" s="1"/>
      <c r="EY2533" s="1"/>
      <c r="EZ2533" s="1"/>
      <c r="FA2533" s="1"/>
      <c r="FB2533" s="1"/>
      <c r="FC2533" s="1"/>
      <c r="FD2533" s="1"/>
      <c r="FE2533" s="1"/>
      <c r="FF2533" s="1"/>
      <c r="FG2533" s="1"/>
      <c r="FH2533" s="1"/>
      <c r="FI2533" s="1"/>
      <c r="FJ2533" s="1"/>
      <c r="FK2533" s="1"/>
      <c r="FL2533" s="1"/>
      <c r="FM2533" s="1"/>
      <c r="FN2533" s="1"/>
      <c r="FO2533" s="1"/>
      <c r="FP2533" s="1"/>
      <c r="FQ2533" s="1"/>
      <c r="FR2533" s="1"/>
      <c r="FS2533" s="1"/>
      <c r="FT2533" s="1"/>
      <c r="FU2533" s="1"/>
      <c r="FV2533" s="1"/>
      <c r="FW2533" s="1"/>
      <c r="FX2533" s="1"/>
      <c r="FY2533" s="1"/>
      <c r="FZ2533" s="1"/>
      <c r="GA2533" s="1"/>
      <c r="GB2533" s="1"/>
      <c r="GC2533" s="1"/>
      <c r="GD2533" s="1"/>
      <c r="GE2533" s="1"/>
      <c r="GF2533" s="1"/>
      <c r="GG2533" s="1"/>
      <c r="GH2533" s="1"/>
      <c r="GI2533" s="1"/>
      <c r="GJ2533" s="1"/>
      <c r="GK2533" s="1"/>
      <c r="GL2533" s="1"/>
      <c r="GM2533" s="1"/>
      <c r="GN2533" s="1"/>
      <c r="GO2533" s="1"/>
      <c r="GP2533" s="1"/>
      <c r="GQ2533" s="1"/>
      <c r="GR2533" s="1"/>
      <c r="GS2533" s="1"/>
      <c r="GT2533" s="1"/>
      <c r="GU2533" s="1"/>
      <c r="GV2533" s="1"/>
      <c r="GW2533" s="1"/>
      <c r="GX2533" s="1"/>
      <c r="GY2533" s="1"/>
      <c r="GZ2533" s="1"/>
      <c r="HA2533" s="1"/>
      <c r="HB2533" s="1"/>
      <c r="HC2533" s="1"/>
      <c r="HD2533" s="1"/>
      <c r="HE2533" s="1"/>
      <c r="HF2533" s="1"/>
      <c r="HG2533" s="1"/>
      <c r="HH2533" s="1"/>
      <c r="HI2533" s="1"/>
      <c r="HJ2533" s="1"/>
      <c r="HK2533" s="1"/>
      <c r="HL2533" s="1"/>
      <c r="HM2533" s="1"/>
      <c r="HN2533" s="1"/>
      <c r="HO2533" s="1"/>
      <c r="HP2533" s="1"/>
      <c r="HQ2533" s="1"/>
    </row>
    <row r="2534" spans="1:225" ht="15.75" customHeight="1" x14ac:dyDescent="0.35">
      <c r="A2534" s="306"/>
      <c r="B2534" s="306"/>
      <c r="C2534" s="260"/>
      <c r="D2534" s="263"/>
      <c r="E2534" s="263"/>
      <c r="F2534" s="266"/>
      <c r="G2534" s="257"/>
      <c r="H2534" s="163" t="s">
        <v>74</v>
      </c>
      <c r="I2534" s="219">
        <f>D2533*K2534*70/100</f>
        <v>5172718.32</v>
      </c>
      <c r="J2534" s="219">
        <f>I2534/D2533</f>
        <v>1940.4</v>
      </c>
      <c r="K2534" s="158">
        <v>2772</v>
      </c>
      <c r="L2534" s="1"/>
      <c r="M2534" s="1"/>
      <c r="N2534" s="1"/>
      <c r="O2534" s="1"/>
      <c r="P2534" s="1"/>
      <c r="Q2534" s="1"/>
      <c r="R2534" s="1"/>
      <c r="S2534" s="1"/>
      <c r="T2534" s="1"/>
      <c r="U2534" s="1"/>
      <c r="V2534" s="1"/>
      <c r="W2534" s="1"/>
      <c r="X2534" s="1"/>
      <c r="Y2534" s="1"/>
      <c r="Z2534" s="1"/>
      <c r="AA2534" s="1"/>
      <c r="AB2534" s="1"/>
      <c r="AC2534" s="1"/>
      <c r="AD2534" s="1"/>
      <c r="AE2534" s="1"/>
      <c r="AF2534" s="1"/>
      <c r="AG2534" s="1"/>
      <c r="AH2534" s="1"/>
      <c r="AI2534" s="1"/>
      <c r="AJ2534" s="1"/>
      <c r="AK2534" s="1"/>
      <c r="AL2534" s="1"/>
      <c r="AM2534" s="1"/>
      <c r="AN2534" s="1"/>
      <c r="AO2534" s="1"/>
      <c r="AP2534" s="1"/>
      <c r="AQ2534" s="1"/>
      <c r="AR2534" s="1"/>
      <c r="AS2534" s="1"/>
      <c r="AT2534" s="1"/>
      <c r="AU2534" s="1"/>
      <c r="AV2534" s="1"/>
      <c r="AW2534" s="1"/>
      <c r="AX2534" s="1"/>
      <c r="AY2534" s="1"/>
      <c r="AZ2534" s="1"/>
      <c r="BA2534" s="1"/>
      <c r="BB2534" s="1"/>
      <c r="BC2534" s="1"/>
      <c r="BD2534" s="1"/>
      <c r="BE2534" s="1"/>
      <c r="BF2534" s="1"/>
      <c r="BG2534" s="1"/>
      <c r="BH2534" s="1"/>
      <c r="BI2534" s="1"/>
      <c r="BJ2534" s="1"/>
      <c r="BK2534" s="1"/>
      <c r="BL2534" s="1"/>
      <c r="BM2534" s="1"/>
      <c r="BN2534" s="1"/>
      <c r="BO2534" s="1"/>
      <c r="BP2534" s="1"/>
      <c r="BQ2534" s="1"/>
      <c r="BR2534" s="1"/>
      <c r="BS2534" s="1"/>
      <c r="BT2534" s="1"/>
      <c r="BU2534" s="1"/>
      <c r="BV2534" s="1"/>
      <c r="BW2534" s="1"/>
      <c r="BX2534" s="1"/>
      <c r="BY2534" s="1"/>
      <c r="BZ2534" s="1"/>
      <c r="CA2534" s="1"/>
      <c r="CB2534" s="1"/>
      <c r="CC2534" s="1"/>
      <c r="CD2534" s="1"/>
      <c r="CE2534" s="1"/>
      <c r="CF2534" s="1"/>
      <c r="CG2534" s="1"/>
      <c r="CH2534" s="1"/>
      <c r="CI2534" s="1"/>
      <c r="CJ2534" s="1"/>
      <c r="CK2534" s="1"/>
      <c r="CL2534" s="1"/>
      <c r="CM2534" s="1"/>
      <c r="CN2534" s="1"/>
      <c r="CO2534" s="1"/>
      <c r="CP2534" s="1"/>
      <c r="CQ2534" s="1"/>
      <c r="CR2534" s="1"/>
      <c r="CS2534" s="1"/>
      <c r="CT2534" s="1"/>
      <c r="CU2534" s="1"/>
      <c r="CV2534" s="1"/>
      <c r="CW2534" s="1"/>
      <c r="CX2534" s="1"/>
      <c r="CY2534" s="1"/>
      <c r="CZ2534" s="1"/>
      <c r="DA2534" s="1"/>
      <c r="DB2534" s="1"/>
      <c r="DC2534" s="1"/>
      <c r="DD2534" s="1"/>
      <c r="DE2534" s="1"/>
      <c r="DF2534" s="1"/>
      <c r="DG2534" s="1"/>
      <c r="DH2534" s="1"/>
      <c r="DI2534" s="1"/>
      <c r="DJ2534" s="1"/>
      <c r="DK2534" s="1"/>
      <c r="DL2534" s="1"/>
      <c r="DM2534" s="1"/>
      <c r="DN2534" s="1"/>
      <c r="DO2534" s="1"/>
      <c r="DP2534" s="1"/>
      <c r="DQ2534" s="1"/>
      <c r="DR2534" s="1"/>
      <c r="DS2534" s="1"/>
      <c r="DT2534" s="1"/>
      <c r="DU2534" s="1"/>
      <c r="DV2534" s="1"/>
      <c r="DW2534" s="1"/>
      <c r="DX2534" s="1"/>
      <c r="DY2534" s="1"/>
      <c r="DZ2534" s="1"/>
      <c r="EA2534" s="1"/>
      <c r="EB2534" s="1"/>
      <c r="EC2534" s="1"/>
      <c r="ED2534" s="1"/>
      <c r="EE2534" s="1"/>
      <c r="EF2534" s="1"/>
      <c r="EG2534" s="1"/>
      <c r="EH2534" s="1"/>
      <c r="EI2534" s="1"/>
      <c r="EJ2534" s="1"/>
      <c r="EK2534" s="1"/>
      <c r="EL2534" s="1"/>
      <c r="EM2534" s="1"/>
      <c r="EN2534" s="1"/>
      <c r="EO2534" s="1"/>
      <c r="EP2534" s="1"/>
      <c r="EQ2534" s="1"/>
      <c r="ER2534" s="1"/>
      <c r="ES2534" s="1"/>
      <c r="ET2534" s="1"/>
      <c r="EU2534" s="1"/>
      <c r="EV2534" s="1"/>
      <c r="EW2534" s="1"/>
      <c r="EX2534" s="1"/>
      <c r="EY2534" s="1"/>
      <c r="EZ2534" s="1"/>
      <c r="FA2534" s="1"/>
      <c r="FB2534" s="1"/>
      <c r="FC2534" s="1"/>
      <c r="FD2534" s="1"/>
      <c r="FE2534" s="1"/>
      <c r="FF2534" s="1"/>
      <c r="FG2534" s="1"/>
      <c r="FH2534" s="1"/>
      <c r="FI2534" s="1"/>
      <c r="FJ2534" s="1"/>
      <c r="FK2534" s="1"/>
      <c r="FL2534" s="1"/>
      <c r="FM2534" s="1"/>
      <c r="FN2534" s="1"/>
      <c r="FO2534" s="1"/>
      <c r="FP2534" s="1"/>
      <c r="FQ2534" s="1"/>
      <c r="FR2534" s="1"/>
      <c r="FS2534" s="1"/>
      <c r="FT2534" s="1"/>
      <c r="FU2534" s="1"/>
      <c r="FV2534" s="1"/>
      <c r="FW2534" s="1"/>
      <c r="FX2534" s="1"/>
      <c r="FY2534" s="1"/>
      <c r="FZ2534" s="1"/>
      <c r="GA2534" s="1"/>
      <c r="GB2534" s="1"/>
      <c r="GC2534" s="1"/>
      <c r="GD2534" s="1"/>
      <c r="GE2534" s="1"/>
      <c r="GF2534" s="1"/>
      <c r="GG2534" s="1"/>
      <c r="GH2534" s="1"/>
      <c r="GI2534" s="1"/>
      <c r="GJ2534" s="1"/>
      <c r="GK2534" s="1"/>
      <c r="GL2534" s="1"/>
      <c r="GM2534" s="1"/>
      <c r="GN2534" s="1"/>
      <c r="GO2534" s="1"/>
      <c r="GP2534" s="1"/>
      <c r="GQ2534" s="1"/>
      <c r="GR2534" s="1"/>
      <c r="GS2534" s="1"/>
      <c r="GT2534" s="1"/>
      <c r="GU2534" s="1"/>
      <c r="GV2534" s="1"/>
      <c r="GW2534" s="1"/>
      <c r="GX2534" s="1"/>
      <c r="GY2534" s="1"/>
      <c r="GZ2534" s="1"/>
      <c r="HA2534" s="1"/>
      <c r="HB2534" s="1"/>
      <c r="HC2534" s="1"/>
      <c r="HD2534" s="1"/>
      <c r="HE2534" s="1"/>
      <c r="HF2534" s="1"/>
      <c r="HG2534" s="1"/>
      <c r="HH2534" s="1"/>
      <c r="HI2534" s="1"/>
      <c r="HJ2534" s="1"/>
      <c r="HK2534" s="1"/>
      <c r="HL2534" s="1"/>
      <c r="HM2534" s="1"/>
      <c r="HN2534" s="1"/>
      <c r="HO2534" s="1"/>
      <c r="HP2534" s="1"/>
      <c r="HQ2534" s="1"/>
    </row>
    <row r="2535" spans="1:225" ht="15.75" customHeight="1" x14ac:dyDescent="0.35">
      <c r="A2535" s="321"/>
      <c r="B2535" s="321"/>
      <c r="C2535" s="260"/>
      <c r="D2535" s="263"/>
      <c r="E2535" s="263"/>
      <c r="F2535" s="266"/>
      <c r="G2535" s="257"/>
      <c r="H2535" s="163" t="s">
        <v>76</v>
      </c>
      <c r="I2535" s="219">
        <f>D2533*K2535</f>
        <v>157282.20000000001</v>
      </c>
      <c r="J2535" s="219">
        <f>I2535/D2533</f>
        <v>59</v>
      </c>
      <c r="K2535" s="158">
        <v>59</v>
      </c>
      <c r="L2535" s="1"/>
      <c r="M2535" s="1"/>
      <c r="N2535" s="1"/>
      <c r="O2535" s="1"/>
      <c r="P2535" s="1"/>
      <c r="Q2535" s="1"/>
      <c r="R2535" s="1"/>
      <c r="S2535" s="1"/>
      <c r="T2535" s="1"/>
      <c r="U2535" s="1"/>
      <c r="V2535" s="1"/>
      <c r="W2535" s="1"/>
      <c r="X2535" s="1"/>
      <c r="Y2535" s="1"/>
      <c r="Z2535" s="1"/>
      <c r="AA2535" s="1"/>
      <c r="AB2535" s="1"/>
      <c r="AC2535" s="1"/>
      <c r="AD2535" s="1"/>
      <c r="AE2535" s="1"/>
      <c r="AF2535" s="1"/>
      <c r="AG2535" s="1"/>
      <c r="AH2535" s="1"/>
      <c r="AI2535" s="1"/>
      <c r="AJ2535" s="1"/>
      <c r="AK2535" s="1"/>
      <c r="AL2535" s="1"/>
      <c r="AM2535" s="1"/>
      <c r="AN2535" s="1"/>
      <c r="AO2535" s="1"/>
      <c r="AP2535" s="1"/>
      <c r="AQ2535" s="1"/>
      <c r="AR2535" s="1"/>
      <c r="AS2535" s="1"/>
      <c r="AT2535" s="1"/>
      <c r="AU2535" s="1"/>
      <c r="AV2535" s="1"/>
      <c r="AW2535" s="1"/>
      <c r="AX2535" s="1"/>
      <c r="AY2535" s="1"/>
      <c r="AZ2535" s="1"/>
      <c r="BA2535" s="1"/>
      <c r="BB2535" s="1"/>
      <c r="BC2535" s="1"/>
      <c r="BD2535" s="1"/>
      <c r="BE2535" s="1"/>
      <c r="BF2535" s="1"/>
      <c r="BG2535" s="1"/>
      <c r="BH2535" s="1"/>
      <c r="BI2535" s="1"/>
      <c r="BJ2535" s="1"/>
      <c r="BK2535" s="1"/>
      <c r="BL2535" s="1"/>
      <c r="BM2535" s="1"/>
      <c r="BN2535" s="1"/>
      <c r="BO2535" s="1"/>
      <c r="BP2535" s="1"/>
      <c r="BQ2535" s="1"/>
      <c r="BR2535" s="1"/>
      <c r="BS2535" s="1"/>
      <c r="BT2535" s="1"/>
      <c r="BU2535" s="1"/>
      <c r="BV2535" s="1"/>
      <c r="BW2535" s="1"/>
      <c r="BX2535" s="1"/>
      <c r="BY2535" s="1"/>
      <c r="BZ2535" s="1"/>
      <c r="CA2535" s="1"/>
      <c r="CB2535" s="1"/>
      <c r="CC2535" s="1"/>
      <c r="CD2535" s="1"/>
      <c r="CE2535" s="1"/>
      <c r="CF2535" s="1"/>
      <c r="CG2535" s="1"/>
      <c r="CH2535" s="1"/>
      <c r="CI2535" s="1"/>
      <c r="CJ2535" s="1"/>
      <c r="CK2535" s="1"/>
      <c r="CL2535" s="1"/>
      <c r="CM2535" s="1"/>
      <c r="CN2535" s="1"/>
      <c r="CO2535" s="1"/>
      <c r="CP2535" s="1"/>
      <c r="CQ2535" s="1"/>
      <c r="CR2535" s="1"/>
      <c r="CS2535" s="1"/>
      <c r="CT2535" s="1"/>
      <c r="CU2535" s="1"/>
      <c r="CV2535" s="1"/>
      <c r="CW2535" s="1"/>
      <c r="CX2535" s="1"/>
      <c r="CY2535" s="1"/>
      <c r="CZ2535" s="1"/>
      <c r="DA2535" s="1"/>
      <c r="DB2535" s="1"/>
      <c r="DC2535" s="1"/>
      <c r="DD2535" s="1"/>
      <c r="DE2535" s="1"/>
      <c r="DF2535" s="1"/>
      <c r="DG2535" s="1"/>
      <c r="DH2535" s="1"/>
      <c r="DI2535" s="1"/>
      <c r="DJ2535" s="1"/>
      <c r="DK2535" s="1"/>
      <c r="DL2535" s="1"/>
      <c r="DM2535" s="1"/>
      <c r="DN2535" s="1"/>
      <c r="DO2535" s="1"/>
      <c r="DP2535" s="1"/>
      <c r="DQ2535" s="1"/>
      <c r="DR2535" s="1"/>
      <c r="DS2535" s="1"/>
      <c r="DT2535" s="1"/>
      <c r="DU2535" s="1"/>
      <c r="DV2535" s="1"/>
      <c r="DW2535" s="1"/>
      <c r="DX2535" s="1"/>
      <c r="DY2535" s="1"/>
      <c r="DZ2535" s="1"/>
      <c r="EA2535" s="1"/>
      <c r="EB2535" s="1"/>
      <c r="EC2535" s="1"/>
      <c r="ED2535" s="1"/>
      <c r="EE2535" s="1"/>
      <c r="EF2535" s="1"/>
      <c r="EG2535" s="1"/>
      <c r="EH2535" s="1"/>
      <c r="EI2535" s="1"/>
      <c r="EJ2535" s="1"/>
      <c r="EK2535" s="1"/>
      <c r="EL2535" s="1"/>
      <c r="EM2535" s="1"/>
      <c r="EN2535" s="1"/>
      <c r="EO2535" s="1"/>
      <c r="EP2535" s="1"/>
      <c r="EQ2535" s="1"/>
      <c r="ER2535" s="1"/>
      <c r="ES2535" s="1"/>
      <c r="ET2535" s="1"/>
      <c r="EU2535" s="1"/>
      <c r="EV2535" s="1"/>
      <c r="EW2535" s="1"/>
      <c r="EX2535" s="1"/>
      <c r="EY2535" s="1"/>
      <c r="EZ2535" s="1"/>
      <c r="FA2535" s="1"/>
      <c r="FB2535" s="1"/>
      <c r="FC2535" s="1"/>
      <c r="FD2535" s="1"/>
      <c r="FE2535" s="1"/>
      <c r="FF2535" s="1"/>
      <c r="FG2535" s="1"/>
      <c r="FH2535" s="1"/>
      <c r="FI2535" s="1"/>
      <c r="FJ2535" s="1"/>
      <c r="FK2535" s="1"/>
      <c r="FL2535" s="1"/>
      <c r="FM2535" s="1"/>
      <c r="FN2535" s="1"/>
      <c r="FO2535" s="1"/>
      <c r="FP2535" s="1"/>
      <c r="FQ2535" s="1"/>
      <c r="FR2535" s="1"/>
      <c r="FS2535" s="1"/>
      <c r="FT2535" s="1"/>
      <c r="FU2535" s="1"/>
      <c r="FV2535" s="1"/>
      <c r="FW2535" s="1"/>
      <c r="FX2535" s="1"/>
      <c r="FY2535" s="1"/>
      <c r="FZ2535" s="1"/>
      <c r="GA2535" s="1"/>
      <c r="GB2535" s="1"/>
      <c r="GC2535" s="1"/>
      <c r="GD2535" s="1"/>
      <c r="GE2535" s="1"/>
      <c r="GF2535" s="1"/>
      <c r="GG2535" s="1"/>
      <c r="GH2535" s="1"/>
      <c r="GI2535" s="1"/>
      <c r="GJ2535" s="1"/>
      <c r="GK2535" s="1"/>
      <c r="GL2535" s="1"/>
      <c r="GM2535" s="1"/>
      <c r="GN2535" s="1"/>
      <c r="GO2535" s="1"/>
      <c r="GP2535" s="1"/>
      <c r="GQ2535" s="1"/>
      <c r="GR2535" s="1"/>
      <c r="GS2535" s="1"/>
      <c r="GT2535" s="1"/>
      <c r="GU2535" s="1"/>
      <c r="GV2535" s="1"/>
      <c r="GW2535" s="1"/>
      <c r="GX2535" s="1"/>
      <c r="GY2535" s="1"/>
      <c r="GZ2535" s="1"/>
      <c r="HA2535" s="1"/>
      <c r="HB2535" s="1"/>
      <c r="HC2535" s="1"/>
      <c r="HD2535" s="1"/>
      <c r="HE2535" s="1"/>
      <c r="HF2535" s="1"/>
      <c r="HG2535" s="1"/>
      <c r="HH2535" s="1"/>
      <c r="HI2535" s="1"/>
      <c r="HJ2535" s="1"/>
      <c r="HK2535" s="1"/>
      <c r="HL2535" s="1"/>
      <c r="HM2535" s="1"/>
      <c r="HN2535" s="1"/>
      <c r="HO2535" s="1"/>
      <c r="HP2535" s="1"/>
      <c r="HQ2535" s="1"/>
    </row>
    <row r="2536" spans="1:225" ht="15.75" customHeight="1" x14ac:dyDescent="0.35">
      <c r="A2536" s="230">
        <f>A2533+1</f>
        <v>5</v>
      </c>
      <c r="B2536" s="230">
        <v>6932</v>
      </c>
      <c r="C2536" s="288" t="s">
        <v>641</v>
      </c>
      <c r="D2536" s="253">
        <v>3583.3</v>
      </c>
      <c r="E2536" s="253" t="s">
        <v>71</v>
      </c>
      <c r="F2536" s="265">
        <v>5</v>
      </c>
      <c r="G2536" s="256" t="s">
        <v>72</v>
      </c>
      <c r="H2536" s="159" t="s">
        <v>73</v>
      </c>
      <c r="I2536" s="158">
        <f>SUM(I2537:I2537)</f>
        <v>587661.19999999995</v>
      </c>
      <c r="J2536" s="158">
        <f>SUM(J2537:J2537)</f>
        <v>164</v>
      </c>
      <c r="K2536" s="158">
        <f>SUM(K2537:K2537)</f>
        <v>164</v>
      </c>
      <c r="L2536" s="1"/>
      <c r="M2536" s="1"/>
      <c r="N2536" s="1"/>
      <c r="O2536" s="1"/>
      <c r="P2536" s="1"/>
      <c r="Q2536" s="1"/>
      <c r="R2536" s="1"/>
      <c r="S2536" s="1"/>
      <c r="T2536" s="1"/>
      <c r="U2536" s="1"/>
      <c r="V2536" s="1"/>
      <c r="W2536" s="1"/>
      <c r="X2536" s="1"/>
      <c r="Y2536" s="1"/>
      <c r="Z2536" s="1"/>
      <c r="AA2536" s="1"/>
      <c r="AB2536" s="1"/>
      <c r="AC2536" s="1"/>
      <c r="AD2536" s="1"/>
      <c r="AE2536" s="1"/>
      <c r="AF2536" s="1"/>
      <c r="AG2536" s="1"/>
      <c r="AH2536" s="1"/>
      <c r="AI2536" s="1"/>
      <c r="AJ2536" s="1"/>
      <c r="AK2536" s="1"/>
      <c r="AL2536" s="1"/>
      <c r="AM2536" s="1"/>
      <c r="AN2536" s="1"/>
      <c r="AO2536" s="1"/>
      <c r="AP2536" s="1"/>
      <c r="AQ2536" s="1"/>
      <c r="AR2536" s="1"/>
      <c r="AS2536" s="1"/>
      <c r="AT2536" s="1"/>
      <c r="AU2536" s="1"/>
      <c r="AV2536" s="1"/>
      <c r="AW2536" s="1"/>
      <c r="AX2536" s="1"/>
      <c r="AY2536" s="1"/>
      <c r="AZ2536" s="1"/>
      <c r="BA2536" s="1"/>
      <c r="BB2536" s="1"/>
      <c r="BC2536" s="1"/>
      <c r="BD2536" s="1"/>
      <c r="BE2536" s="1"/>
      <c r="BF2536" s="1"/>
      <c r="BG2536" s="1"/>
      <c r="BH2536" s="1"/>
      <c r="BI2536" s="1"/>
      <c r="BJ2536" s="1"/>
      <c r="BK2536" s="1"/>
      <c r="BL2536" s="1"/>
      <c r="BM2536" s="1"/>
      <c r="BN2536" s="1"/>
      <c r="BO2536" s="1"/>
      <c r="BP2536" s="1"/>
      <c r="BQ2536" s="1"/>
      <c r="BR2536" s="1"/>
      <c r="BS2536" s="1"/>
      <c r="BT2536" s="1"/>
      <c r="BU2536" s="1"/>
      <c r="BV2536" s="1"/>
      <c r="BW2536" s="1"/>
      <c r="BX2536" s="1"/>
      <c r="BY2536" s="1"/>
      <c r="BZ2536" s="1"/>
      <c r="CA2536" s="1"/>
      <c r="CB2536" s="1"/>
      <c r="CC2536" s="1"/>
      <c r="CD2536" s="1"/>
      <c r="CE2536" s="1"/>
      <c r="CF2536" s="1"/>
      <c r="CG2536" s="1"/>
      <c r="CH2536" s="1"/>
      <c r="CI2536" s="1"/>
      <c r="CJ2536" s="1"/>
      <c r="CK2536" s="1"/>
      <c r="CL2536" s="1"/>
      <c r="CM2536" s="1"/>
      <c r="CN2536" s="1"/>
      <c r="CO2536" s="1"/>
      <c r="CP2536" s="1"/>
      <c r="CQ2536" s="1"/>
      <c r="CR2536" s="1"/>
      <c r="CS2536" s="1"/>
      <c r="CT2536" s="1"/>
      <c r="CU2536" s="1"/>
      <c r="CV2536" s="1"/>
      <c r="CW2536" s="1"/>
      <c r="CX2536" s="1"/>
      <c r="CY2536" s="1"/>
      <c r="CZ2536" s="1"/>
      <c r="DA2536" s="1"/>
      <c r="DB2536" s="1"/>
      <c r="DC2536" s="1"/>
      <c r="DD2536" s="1"/>
      <c r="DE2536" s="1"/>
      <c r="DF2536" s="1"/>
      <c r="DG2536" s="1"/>
      <c r="DH2536" s="1"/>
      <c r="DI2536" s="1"/>
      <c r="DJ2536" s="1"/>
      <c r="DK2536" s="1"/>
      <c r="DL2536" s="1"/>
      <c r="DM2536" s="1"/>
      <c r="DN2536" s="1"/>
      <c r="DO2536" s="1"/>
      <c r="DP2536" s="1"/>
      <c r="DQ2536" s="1"/>
      <c r="DR2536" s="1"/>
      <c r="DS2536" s="1"/>
      <c r="DT2536" s="1"/>
      <c r="DU2536" s="1"/>
      <c r="DV2536" s="1"/>
      <c r="DW2536" s="1"/>
      <c r="DX2536" s="1"/>
      <c r="DY2536" s="1"/>
      <c r="DZ2536" s="1"/>
      <c r="EA2536" s="1"/>
      <c r="EB2536" s="1"/>
      <c r="EC2536" s="1"/>
      <c r="ED2536" s="1"/>
      <c r="EE2536" s="1"/>
      <c r="EF2536" s="1"/>
      <c r="EG2536" s="1"/>
      <c r="EH2536" s="1"/>
      <c r="EI2536" s="1"/>
      <c r="EJ2536" s="1"/>
      <c r="EK2536" s="1"/>
      <c r="EL2536" s="1"/>
      <c r="EM2536" s="1"/>
      <c r="EN2536" s="1"/>
      <c r="EO2536" s="1"/>
      <c r="EP2536" s="1"/>
      <c r="EQ2536" s="1"/>
      <c r="ER2536" s="1"/>
      <c r="ES2536" s="1"/>
      <c r="ET2536" s="1"/>
      <c r="EU2536" s="1"/>
      <c r="EV2536" s="1"/>
      <c r="EW2536" s="1"/>
      <c r="EX2536" s="1"/>
      <c r="EY2536" s="1"/>
      <c r="EZ2536" s="1"/>
      <c r="FA2536" s="1"/>
      <c r="FB2536" s="1"/>
      <c r="FC2536" s="1"/>
      <c r="FD2536" s="1"/>
      <c r="FE2536" s="1"/>
      <c r="FF2536" s="1"/>
      <c r="FG2536" s="1"/>
      <c r="FH2536" s="1"/>
      <c r="FI2536" s="1"/>
      <c r="FJ2536" s="1"/>
      <c r="FK2536" s="1"/>
      <c r="FL2536" s="1"/>
      <c r="FM2536" s="1"/>
      <c r="FN2536" s="1"/>
      <c r="FO2536" s="1"/>
      <c r="FP2536" s="1"/>
      <c r="FQ2536" s="1"/>
      <c r="FR2536" s="1"/>
      <c r="FS2536" s="1"/>
      <c r="FT2536" s="1"/>
      <c r="FU2536" s="1"/>
      <c r="FV2536" s="1"/>
      <c r="FW2536" s="1"/>
      <c r="FX2536" s="1"/>
      <c r="FY2536" s="1"/>
      <c r="FZ2536" s="1"/>
      <c r="GA2536" s="1"/>
      <c r="GB2536" s="1"/>
      <c r="GC2536" s="1"/>
      <c r="GD2536" s="1"/>
      <c r="GE2536" s="1"/>
      <c r="GF2536" s="1"/>
      <c r="GG2536" s="1"/>
      <c r="GH2536" s="1"/>
      <c r="GI2536" s="1"/>
      <c r="GJ2536" s="1"/>
      <c r="GK2536" s="1"/>
      <c r="GL2536" s="1"/>
      <c r="GM2536" s="1"/>
      <c r="GN2536" s="1"/>
      <c r="GO2536" s="1"/>
      <c r="GP2536" s="1"/>
      <c r="GQ2536" s="1"/>
      <c r="GR2536" s="1"/>
      <c r="GS2536" s="1"/>
      <c r="GT2536" s="1"/>
      <c r="GU2536" s="1"/>
      <c r="GV2536" s="1"/>
      <c r="GW2536" s="1"/>
      <c r="GX2536" s="1"/>
      <c r="GY2536" s="1"/>
      <c r="GZ2536" s="1"/>
      <c r="HA2536" s="1"/>
      <c r="HB2536" s="1"/>
      <c r="HC2536" s="1"/>
      <c r="HD2536" s="1"/>
      <c r="HE2536" s="1"/>
      <c r="HF2536" s="1"/>
      <c r="HG2536" s="1"/>
      <c r="HH2536" s="1"/>
      <c r="HI2536" s="1"/>
      <c r="HJ2536" s="1"/>
      <c r="HK2536" s="1"/>
      <c r="HL2536" s="1"/>
      <c r="HM2536" s="1"/>
      <c r="HN2536" s="1"/>
      <c r="HO2536" s="1"/>
      <c r="HP2536" s="1"/>
      <c r="HQ2536" s="1"/>
    </row>
    <row r="2537" spans="1:225" ht="46.5" x14ac:dyDescent="0.35">
      <c r="A2537" s="338"/>
      <c r="B2537" s="338"/>
      <c r="C2537" s="290"/>
      <c r="D2537" s="264"/>
      <c r="E2537" s="264"/>
      <c r="F2537" s="267"/>
      <c r="G2537" s="258"/>
      <c r="H2537" s="159" t="s">
        <v>705</v>
      </c>
      <c r="I2537" s="158">
        <f>D2536*K2537</f>
        <v>587661.19999999995</v>
      </c>
      <c r="J2537" s="158">
        <f>I2537/D2536</f>
        <v>164</v>
      </c>
      <c r="K2537" s="158">
        <f>151+13</f>
        <v>164</v>
      </c>
      <c r="L2537" s="1"/>
      <c r="M2537" s="1"/>
      <c r="N2537" s="1"/>
      <c r="O2537" s="1"/>
      <c r="P2537" s="1"/>
      <c r="Q2537" s="1"/>
      <c r="R2537" s="1"/>
      <c r="S2537" s="1"/>
      <c r="T2537" s="1"/>
      <c r="U2537" s="1"/>
      <c r="V2537" s="1"/>
      <c r="W2537" s="1"/>
      <c r="X2537" s="1"/>
      <c r="Y2537" s="1"/>
      <c r="Z2537" s="1"/>
      <c r="AA2537" s="1"/>
      <c r="AB2537" s="1"/>
      <c r="AC2537" s="1"/>
      <c r="AD2537" s="1"/>
      <c r="AE2537" s="1"/>
      <c r="AF2537" s="1"/>
      <c r="AG2537" s="1"/>
      <c r="AH2537" s="1"/>
      <c r="AI2537" s="1"/>
      <c r="AJ2537" s="1"/>
      <c r="AK2537" s="1"/>
      <c r="AL2537" s="1"/>
      <c r="AM2537" s="1"/>
      <c r="AN2537" s="1"/>
      <c r="AO2537" s="1"/>
      <c r="AP2537" s="1"/>
      <c r="AQ2537" s="1"/>
      <c r="AR2537" s="1"/>
      <c r="AS2537" s="1"/>
      <c r="AT2537" s="1"/>
      <c r="AU2537" s="1"/>
      <c r="AV2537" s="1"/>
      <c r="AW2537" s="1"/>
      <c r="AX2537" s="1"/>
      <c r="AY2537" s="1"/>
      <c r="AZ2537" s="1"/>
      <c r="BA2537" s="1"/>
      <c r="BB2537" s="1"/>
      <c r="BC2537" s="1"/>
      <c r="BD2537" s="1"/>
      <c r="BE2537" s="1"/>
      <c r="BF2537" s="1"/>
      <c r="BG2537" s="1"/>
      <c r="BH2537" s="1"/>
      <c r="BI2537" s="1"/>
      <c r="BJ2537" s="1"/>
      <c r="BK2537" s="1"/>
      <c r="BL2537" s="1"/>
      <c r="BM2537" s="1"/>
      <c r="BN2537" s="1"/>
      <c r="BO2537" s="1"/>
      <c r="BP2537" s="1"/>
      <c r="BQ2537" s="1"/>
      <c r="BR2537" s="1"/>
      <c r="BS2537" s="1"/>
      <c r="BT2537" s="1"/>
      <c r="BU2537" s="1"/>
      <c r="BV2537" s="1"/>
      <c r="BW2537" s="1"/>
      <c r="BX2537" s="1"/>
      <c r="BY2537" s="1"/>
      <c r="BZ2537" s="1"/>
      <c r="CA2537" s="1"/>
      <c r="CB2537" s="1"/>
      <c r="CC2537" s="1"/>
      <c r="CD2537" s="1"/>
      <c r="CE2537" s="1"/>
      <c r="CF2537" s="1"/>
      <c r="CG2537" s="1"/>
      <c r="CH2537" s="1"/>
      <c r="CI2537" s="1"/>
      <c r="CJ2537" s="1"/>
      <c r="CK2537" s="1"/>
      <c r="CL2537" s="1"/>
      <c r="CM2537" s="1"/>
      <c r="CN2537" s="1"/>
      <c r="CO2537" s="1"/>
      <c r="CP2537" s="1"/>
      <c r="CQ2537" s="1"/>
      <c r="CR2537" s="1"/>
      <c r="CS2537" s="1"/>
      <c r="CT2537" s="1"/>
      <c r="CU2537" s="1"/>
      <c r="CV2537" s="1"/>
      <c r="CW2537" s="1"/>
      <c r="CX2537" s="1"/>
      <c r="CY2537" s="1"/>
      <c r="CZ2537" s="1"/>
      <c r="DA2537" s="1"/>
      <c r="DB2537" s="1"/>
      <c r="DC2537" s="1"/>
      <c r="DD2537" s="1"/>
      <c r="DE2537" s="1"/>
      <c r="DF2537" s="1"/>
      <c r="DG2537" s="1"/>
      <c r="DH2537" s="1"/>
      <c r="DI2537" s="1"/>
      <c r="DJ2537" s="1"/>
      <c r="DK2537" s="1"/>
      <c r="DL2537" s="1"/>
      <c r="DM2537" s="1"/>
      <c r="DN2537" s="1"/>
      <c r="DO2537" s="1"/>
      <c r="DP2537" s="1"/>
      <c r="DQ2537" s="1"/>
      <c r="DR2537" s="1"/>
      <c r="DS2537" s="1"/>
      <c r="DT2537" s="1"/>
      <c r="DU2537" s="1"/>
      <c r="DV2537" s="1"/>
      <c r="DW2537" s="1"/>
      <c r="DX2537" s="1"/>
      <c r="DY2537" s="1"/>
      <c r="DZ2537" s="1"/>
      <c r="EA2537" s="1"/>
      <c r="EB2537" s="1"/>
      <c r="EC2537" s="1"/>
      <c r="ED2537" s="1"/>
      <c r="EE2537" s="1"/>
      <c r="EF2537" s="1"/>
      <c r="EG2537" s="1"/>
      <c r="EH2537" s="1"/>
      <c r="EI2537" s="1"/>
      <c r="EJ2537" s="1"/>
      <c r="EK2537" s="1"/>
      <c r="EL2537" s="1"/>
      <c r="EM2537" s="1"/>
      <c r="EN2537" s="1"/>
      <c r="EO2537" s="1"/>
      <c r="EP2537" s="1"/>
      <c r="EQ2537" s="1"/>
      <c r="ER2537" s="1"/>
      <c r="ES2537" s="1"/>
      <c r="ET2537" s="1"/>
      <c r="EU2537" s="1"/>
      <c r="EV2537" s="1"/>
      <c r="EW2537" s="1"/>
      <c r="EX2537" s="1"/>
      <c r="EY2537" s="1"/>
      <c r="EZ2537" s="1"/>
      <c r="FA2537" s="1"/>
      <c r="FB2537" s="1"/>
      <c r="FC2537" s="1"/>
      <c r="FD2537" s="1"/>
      <c r="FE2537" s="1"/>
      <c r="FF2537" s="1"/>
      <c r="FG2537" s="1"/>
      <c r="FH2537" s="1"/>
      <c r="FI2537" s="1"/>
      <c r="FJ2537" s="1"/>
      <c r="FK2537" s="1"/>
      <c r="FL2537" s="1"/>
      <c r="FM2537" s="1"/>
      <c r="FN2537" s="1"/>
      <c r="FO2537" s="1"/>
      <c r="FP2537" s="1"/>
      <c r="FQ2537" s="1"/>
      <c r="FR2537" s="1"/>
      <c r="FS2537" s="1"/>
      <c r="FT2537" s="1"/>
      <c r="FU2537" s="1"/>
      <c r="FV2537" s="1"/>
      <c r="FW2537" s="1"/>
      <c r="FX2537" s="1"/>
      <c r="FY2537" s="1"/>
      <c r="FZ2537" s="1"/>
      <c r="GA2537" s="1"/>
      <c r="GB2537" s="1"/>
      <c r="GC2537" s="1"/>
      <c r="GD2537" s="1"/>
      <c r="GE2537" s="1"/>
      <c r="GF2537" s="1"/>
      <c r="GG2537" s="1"/>
      <c r="GH2537" s="1"/>
      <c r="GI2537" s="1"/>
      <c r="GJ2537" s="1"/>
      <c r="GK2537" s="1"/>
      <c r="GL2537" s="1"/>
      <c r="GM2537" s="1"/>
      <c r="GN2537" s="1"/>
      <c r="GO2537" s="1"/>
      <c r="GP2537" s="1"/>
      <c r="GQ2537" s="1"/>
      <c r="GR2537" s="1"/>
      <c r="GS2537" s="1"/>
      <c r="GT2537" s="1"/>
      <c r="GU2537" s="1"/>
      <c r="GV2537" s="1"/>
      <c r="GW2537" s="1"/>
      <c r="GX2537" s="1"/>
      <c r="GY2537" s="1"/>
      <c r="GZ2537" s="1"/>
      <c r="HA2537" s="1"/>
      <c r="HB2537" s="1"/>
      <c r="HC2537" s="1"/>
      <c r="HD2537" s="1"/>
      <c r="HE2537" s="1"/>
      <c r="HF2537" s="1"/>
      <c r="HG2537" s="1"/>
      <c r="HH2537" s="1"/>
      <c r="HI2537" s="1"/>
      <c r="HJ2537" s="1"/>
      <c r="HK2537" s="1"/>
      <c r="HL2537" s="1"/>
      <c r="HM2537" s="1"/>
      <c r="HN2537" s="1"/>
      <c r="HO2537" s="1"/>
      <c r="HP2537" s="1"/>
      <c r="HQ2537" s="1"/>
    </row>
    <row r="2538" spans="1:225" ht="15.75" customHeight="1" x14ac:dyDescent="0.35">
      <c r="A2538" s="307">
        <f>A2536+1</f>
        <v>6</v>
      </c>
      <c r="B2538" s="305">
        <v>6933</v>
      </c>
      <c r="C2538" s="259" t="s">
        <v>473</v>
      </c>
      <c r="D2538" s="262">
        <v>3603</v>
      </c>
      <c r="E2538" s="262" t="s">
        <v>71</v>
      </c>
      <c r="F2538" s="265">
        <v>5</v>
      </c>
      <c r="G2538" s="256" t="s">
        <v>72</v>
      </c>
      <c r="H2538" s="159" t="s">
        <v>73</v>
      </c>
      <c r="I2538" s="158">
        <f>I2539+I2540</f>
        <v>7203838.2000000002</v>
      </c>
      <c r="J2538" s="158">
        <f>J2539+J2540</f>
        <v>1999.4</v>
      </c>
      <c r="K2538" s="158">
        <f>K2539+K2540</f>
        <v>2831</v>
      </c>
      <c r="L2538" s="1"/>
      <c r="M2538" s="1"/>
      <c r="N2538" s="1"/>
      <c r="O2538" s="1"/>
      <c r="P2538" s="1"/>
      <c r="Q2538" s="1"/>
      <c r="R2538" s="1"/>
      <c r="S2538" s="1"/>
      <c r="T2538" s="1"/>
      <c r="U2538" s="1"/>
      <c r="V2538" s="1"/>
      <c r="W2538" s="1"/>
      <c r="X2538" s="1"/>
      <c r="Y2538" s="1"/>
      <c r="Z2538" s="1"/>
      <c r="AA2538" s="1"/>
      <c r="AB2538" s="1"/>
      <c r="AC2538" s="1"/>
      <c r="AD2538" s="1"/>
      <c r="AE2538" s="1"/>
      <c r="AF2538" s="1"/>
      <c r="AG2538" s="1"/>
      <c r="AH2538" s="1"/>
      <c r="AI2538" s="1"/>
      <c r="AJ2538" s="1"/>
      <c r="AK2538" s="1"/>
      <c r="AL2538" s="1"/>
      <c r="AM2538" s="1"/>
      <c r="AN2538" s="1"/>
      <c r="AO2538" s="1"/>
      <c r="AP2538" s="1"/>
      <c r="AQ2538" s="1"/>
      <c r="AR2538" s="1"/>
      <c r="AS2538" s="1"/>
      <c r="AT2538" s="1"/>
      <c r="AU2538" s="1"/>
      <c r="AV2538" s="1"/>
      <c r="AW2538" s="1"/>
      <c r="AX2538" s="1"/>
      <c r="AY2538" s="1"/>
      <c r="AZ2538" s="1"/>
      <c r="BA2538" s="1"/>
      <c r="BB2538" s="1"/>
      <c r="BC2538" s="1"/>
      <c r="BD2538" s="1"/>
      <c r="BE2538" s="1"/>
      <c r="BF2538" s="1"/>
      <c r="BG2538" s="1"/>
      <c r="BH2538" s="1"/>
      <c r="BI2538" s="1"/>
      <c r="BJ2538" s="1"/>
      <c r="BK2538" s="1"/>
      <c r="BL2538" s="1"/>
      <c r="BM2538" s="1"/>
      <c r="BN2538" s="1"/>
      <c r="BO2538" s="1"/>
      <c r="BP2538" s="1"/>
      <c r="BQ2538" s="1"/>
      <c r="BR2538" s="1"/>
      <c r="BS2538" s="1"/>
      <c r="BT2538" s="1"/>
      <c r="BU2538" s="1"/>
      <c r="BV2538" s="1"/>
      <c r="BW2538" s="1"/>
      <c r="BX2538" s="1"/>
      <c r="BY2538" s="1"/>
      <c r="BZ2538" s="1"/>
      <c r="CA2538" s="1"/>
      <c r="CB2538" s="1"/>
      <c r="CC2538" s="1"/>
      <c r="CD2538" s="1"/>
      <c r="CE2538" s="1"/>
      <c r="CF2538" s="1"/>
      <c r="CG2538" s="1"/>
      <c r="CH2538" s="1"/>
      <c r="CI2538" s="1"/>
      <c r="CJ2538" s="1"/>
      <c r="CK2538" s="1"/>
      <c r="CL2538" s="1"/>
      <c r="CM2538" s="1"/>
      <c r="CN2538" s="1"/>
      <c r="CO2538" s="1"/>
      <c r="CP2538" s="1"/>
      <c r="CQ2538" s="1"/>
      <c r="CR2538" s="1"/>
      <c r="CS2538" s="1"/>
      <c r="CT2538" s="1"/>
      <c r="CU2538" s="1"/>
      <c r="CV2538" s="1"/>
      <c r="CW2538" s="1"/>
      <c r="CX2538" s="1"/>
      <c r="CY2538" s="1"/>
      <c r="CZ2538" s="1"/>
      <c r="DA2538" s="1"/>
      <c r="DB2538" s="1"/>
      <c r="DC2538" s="1"/>
      <c r="DD2538" s="1"/>
      <c r="DE2538" s="1"/>
      <c r="DF2538" s="1"/>
      <c r="DG2538" s="1"/>
      <c r="DH2538" s="1"/>
      <c r="DI2538" s="1"/>
      <c r="DJ2538" s="1"/>
      <c r="DK2538" s="1"/>
      <c r="DL2538" s="1"/>
      <c r="DM2538" s="1"/>
      <c r="DN2538" s="1"/>
      <c r="DO2538" s="1"/>
      <c r="DP2538" s="1"/>
      <c r="DQ2538" s="1"/>
      <c r="DR2538" s="1"/>
      <c r="DS2538" s="1"/>
      <c r="DT2538" s="1"/>
      <c r="DU2538" s="1"/>
      <c r="DV2538" s="1"/>
      <c r="DW2538" s="1"/>
      <c r="DX2538" s="1"/>
      <c r="DY2538" s="1"/>
      <c r="DZ2538" s="1"/>
      <c r="EA2538" s="1"/>
      <c r="EB2538" s="1"/>
      <c r="EC2538" s="1"/>
      <c r="ED2538" s="1"/>
      <c r="EE2538" s="1"/>
      <c r="EF2538" s="1"/>
      <c r="EG2538" s="1"/>
      <c r="EH2538" s="1"/>
      <c r="EI2538" s="1"/>
      <c r="EJ2538" s="1"/>
      <c r="EK2538" s="1"/>
      <c r="EL2538" s="1"/>
      <c r="EM2538" s="1"/>
      <c r="EN2538" s="1"/>
      <c r="EO2538" s="1"/>
      <c r="EP2538" s="1"/>
      <c r="EQ2538" s="1"/>
      <c r="ER2538" s="1"/>
      <c r="ES2538" s="1"/>
      <c r="ET2538" s="1"/>
      <c r="EU2538" s="1"/>
      <c r="EV2538" s="1"/>
      <c r="EW2538" s="1"/>
      <c r="EX2538" s="1"/>
      <c r="EY2538" s="1"/>
      <c r="EZ2538" s="1"/>
      <c r="FA2538" s="1"/>
      <c r="FB2538" s="1"/>
      <c r="FC2538" s="1"/>
      <c r="FD2538" s="1"/>
      <c r="FE2538" s="1"/>
      <c r="FF2538" s="1"/>
      <c r="FG2538" s="1"/>
      <c r="FH2538" s="1"/>
      <c r="FI2538" s="1"/>
      <c r="FJ2538" s="1"/>
      <c r="FK2538" s="1"/>
      <c r="FL2538" s="1"/>
      <c r="FM2538" s="1"/>
      <c r="FN2538" s="1"/>
      <c r="FO2538" s="1"/>
      <c r="FP2538" s="1"/>
      <c r="FQ2538" s="1"/>
      <c r="FR2538" s="1"/>
      <c r="FS2538" s="1"/>
      <c r="FT2538" s="1"/>
      <c r="FU2538" s="1"/>
      <c r="FV2538" s="1"/>
      <c r="FW2538" s="1"/>
      <c r="FX2538" s="1"/>
      <c r="FY2538" s="1"/>
      <c r="FZ2538" s="1"/>
      <c r="GA2538" s="1"/>
      <c r="GB2538" s="1"/>
      <c r="GC2538" s="1"/>
      <c r="GD2538" s="1"/>
      <c r="GE2538" s="1"/>
      <c r="GF2538" s="1"/>
      <c r="GG2538" s="1"/>
      <c r="GH2538" s="1"/>
      <c r="GI2538" s="1"/>
      <c r="GJ2538" s="1"/>
      <c r="GK2538" s="1"/>
      <c r="GL2538" s="1"/>
      <c r="GM2538" s="1"/>
      <c r="GN2538" s="1"/>
      <c r="GO2538" s="1"/>
      <c r="GP2538" s="1"/>
      <c r="GQ2538" s="1"/>
      <c r="GR2538" s="1"/>
      <c r="GS2538" s="1"/>
      <c r="GT2538" s="1"/>
      <c r="GU2538" s="1"/>
      <c r="GV2538" s="1"/>
      <c r="GW2538" s="1"/>
      <c r="GX2538" s="1"/>
      <c r="GY2538" s="1"/>
      <c r="GZ2538" s="1"/>
      <c r="HA2538" s="1"/>
      <c r="HB2538" s="1"/>
      <c r="HC2538" s="1"/>
      <c r="HD2538" s="1"/>
      <c r="HE2538" s="1"/>
      <c r="HF2538" s="1"/>
      <c r="HG2538" s="1"/>
      <c r="HH2538" s="1"/>
      <c r="HI2538" s="1"/>
      <c r="HJ2538" s="1"/>
      <c r="HK2538" s="1"/>
      <c r="HL2538" s="1"/>
      <c r="HM2538" s="1"/>
      <c r="HN2538" s="1"/>
      <c r="HO2538" s="1"/>
      <c r="HP2538" s="1"/>
      <c r="HQ2538" s="1"/>
    </row>
    <row r="2539" spans="1:225" ht="15.75" customHeight="1" x14ac:dyDescent="0.35">
      <c r="A2539" s="306"/>
      <c r="B2539" s="306"/>
      <c r="C2539" s="260"/>
      <c r="D2539" s="263"/>
      <c r="E2539" s="263"/>
      <c r="F2539" s="266"/>
      <c r="G2539" s="257"/>
      <c r="H2539" s="163" t="s">
        <v>74</v>
      </c>
      <c r="I2539" s="219">
        <f>D2538*K2539*70/100</f>
        <v>6991261.2000000002</v>
      </c>
      <c r="J2539" s="219">
        <f>I2539/D2538</f>
        <v>1940.4</v>
      </c>
      <c r="K2539" s="158">
        <v>2772</v>
      </c>
      <c r="L2539" s="1"/>
      <c r="M2539" s="1"/>
      <c r="N2539" s="1"/>
      <c r="O2539" s="1"/>
      <c r="P2539" s="1"/>
      <c r="Q2539" s="1"/>
      <c r="R2539" s="1"/>
      <c r="S2539" s="1"/>
      <c r="T2539" s="1"/>
      <c r="U2539" s="1"/>
      <c r="V2539" s="1"/>
      <c r="W2539" s="1"/>
      <c r="X2539" s="1"/>
      <c r="Y2539" s="1"/>
      <c r="Z2539" s="1"/>
      <c r="AA2539" s="1"/>
      <c r="AB2539" s="1"/>
      <c r="AC2539" s="1"/>
      <c r="AD2539" s="1"/>
      <c r="AE2539" s="1"/>
      <c r="AF2539" s="1"/>
      <c r="AG2539" s="1"/>
      <c r="AH2539" s="1"/>
      <c r="AI2539" s="1"/>
      <c r="AJ2539" s="1"/>
      <c r="AK2539" s="1"/>
      <c r="AL2539" s="1"/>
      <c r="AM2539" s="1"/>
      <c r="AN2539" s="1"/>
      <c r="AO2539" s="1"/>
      <c r="AP2539" s="1"/>
      <c r="AQ2539" s="1"/>
      <c r="AR2539" s="1"/>
      <c r="AS2539" s="1"/>
      <c r="AT2539" s="1"/>
      <c r="AU2539" s="1"/>
      <c r="AV2539" s="1"/>
      <c r="AW2539" s="1"/>
      <c r="AX2539" s="1"/>
      <c r="AY2539" s="1"/>
      <c r="AZ2539" s="1"/>
      <c r="BA2539" s="1"/>
      <c r="BB2539" s="1"/>
      <c r="BC2539" s="1"/>
      <c r="BD2539" s="1"/>
      <c r="BE2539" s="1"/>
      <c r="BF2539" s="1"/>
      <c r="BG2539" s="1"/>
      <c r="BH2539" s="1"/>
      <c r="BI2539" s="1"/>
      <c r="BJ2539" s="1"/>
      <c r="BK2539" s="1"/>
      <c r="BL2539" s="1"/>
      <c r="BM2539" s="1"/>
      <c r="BN2539" s="1"/>
      <c r="BO2539" s="1"/>
      <c r="BP2539" s="1"/>
      <c r="BQ2539" s="1"/>
      <c r="BR2539" s="1"/>
      <c r="BS2539" s="1"/>
      <c r="BT2539" s="1"/>
      <c r="BU2539" s="1"/>
      <c r="BV2539" s="1"/>
      <c r="BW2539" s="1"/>
      <c r="BX2539" s="1"/>
      <c r="BY2539" s="1"/>
      <c r="BZ2539" s="1"/>
      <c r="CA2539" s="1"/>
      <c r="CB2539" s="1"/>
      <c r="CC2539" s="1"/>
      <c r="CD2539" s="1"/>
      <c r="CE2539" s="1"/>
      <c r="CF2539" s="1"/>
      <c r="CG2539" s="1"/>
      <c r="CH2539" s="1"/>
      <c r="CI2539" s="1"/>
      <c r="CJ2539" s="1"/>
      <c r="CK2539" s="1"/>
      <c r="CL2539" s="1"/>
      <c r="CM2539" s="1"/>
      <c r="CN2539" s="1"/>
      <c r="CO2539" s="1"/>
      <c r="CP2539" s="1"/>
      <c r="CQ2539" s="1"/>
      <c r="CR2539" s="1"/>
      <c r="CS2539" s="1"/>
      <c r="CT2539" s="1"/>
      <c r="CU2539" s="1"/>
      <c r="CV2539" s="1"/>
      <c r="CW2539" s="1"/>
      <c r="CX2539" s="1"/>
      <c r="CY2539" s="1"/>
      <c r="CZ2539" s="1"/>
      <c r="DA2539" s="1"/>
      <c r="DB2539" s="1"/>
      <c r="DC2539" s="1"/>
      <c r="DD2539" s="1"/>
      <c r="DE2539" s="1"/>
      <c r="DF2539" s="1"/>
      <c r="DG2539" s="1"/>
      <c r="DH2539" s="1"/>
      <c r="DI2539" s="1"/>
      <c r="DJ2539" s="1"/>
      <c r="DK2539" s="1"/>
      <c r="DL2539" s="1"/>
      <c r="DM2539" s="1"/>
      <c r="DN2539" s="1"/>
      <c r="DO2539" s="1"/>
      <c r="DP2539" s="1"/>
      <c r="DQ2539" s="1"/>
      <c r="DR2539" s="1"/>
      <c r="DS2539" s="1"/>
      <c r="DT2539" s="1"/>
      <c r="DU2539" s="1"/>
      <c r="DV2539" s="1"/>
      <c r="DW2539" s="1"/>
      <c r="DX2539" s="1"/>
      <c r="DY2539" s="1"/>
      <c r="DZ2539" s="1"/>
      <c r="EA2539" s="1"/>
      <c r="EB2539" s="1"/>
      <c r="EC2539" s="1"/>
      <c r="ED2539" s="1"/>
      <c r="EE2539" s="1"/>
      <c r="EF2539" s="1"/>
      <c r="EG2539" s="1"/>
      <c r="EH2539" s="1"/>
      <c r="EI2539" s="1"/>
      <c r="EJ2539" s="1"/>
      <c r="EK2539" s="1"/>
      <c r="EL2539" s="1"/>
      <c r="EM2539" s="1"/>
      <c r="EN2539" s="1"/>
      <c r="EO2539" s="1"/>
      <c r="EP2539" s="1"/>
      <c r="EQ2539" s="1"/>
      <c r="ER2539" s="1"/>
      <c r="ES2539" s="1"/>
      <c r="ET2539" s="1"/>
      <c r="EU2539" s="1"/>
      <c r="EV2539" s="1"/>
      <c r="EW2539" s="1"/>
      <c r="EX2539" s="1"/>
      <c r="EY2539" s="1"/>
      <c r="EZ2539" s="1"/>
      <c r="FA2539" s="1"/>
      <c r="FB2539" s="1"/>
      <c r="FC2539" s="1"/>
      <c r="FD2539" s="1"/>
      <c r="FE2539" s="1"/>
      <c r="FF2539" s="1"/>
      <c r="FG2539" s="1"/>
      <c r="FH2539" s="1"/>
      <c r="FI2539" s="1"/>
      <c r="FJ2539" s="1"/>
      <c r="FK2539" s="1"/>
      <c r="FL2539" s="1"/>
      <c r="FM2539" s="1"/>
      <c r="FN2539" s="1"/>
      <c r="FO2539" s="1"/>
      <c r="FP2539" s="1"/>
      <c r="FQ2539" s="1"/>
      <c r="FR2539" s="1"/>
      <c r="FS2539" s="1"/>
      <c r="FT2539" s="1"/>
      <c r="FU2539" s="1"/>
      <c r="FV2539" s="1"/>
      <c r="FW2539" s="1"/>
      <c r="FX2539" s="1"/>
      <c r="FY2539" s="1"/>
      <c r="FZ2539" s="1"/>
      <c r="GA2539" s="1"/>
      <c r="GB2539" s="1"/>
      <c r="GC2539" s="1"/>
      <c r="GD2539" s="1"/>
      <c r="GE2539" s="1"/>
      <c r="GF2539" s="1"/>
      <c r="GG2539" s="1"/>
      <c r="GH2539" s="1"/>
      <c r="GI2539" s="1"/>
      <c r="GJ2539" s="1"/>
      <c r="GK2539" s="1"/>
      <c r="GL2539" s="1"/>
      <c r="GM2539" s="1"/>
      <c r="GN2539" s="1"/>
      <c r="GO2539" s="1"/>
      <c r="GP2539" s="1"/>
      <c r="GQ2539" s="1"/>
      <c r="GR2539" s="1"/>
      <c r="GS2539" s="1"/>
      <c r="GT2539" s="1"/>
      <c r="GU2539" s="1"/>
      <c r="GV2539" s="1"/>
      <c r="GW2539" s="1"/>
      <c r="GX2539" s="1"/>
      <c r="GY2539" s="1"/>
      <c r="GZ2539" s="1"/>
      <c r="HA2539" s="1"/>
      <c r="HB2539" s="1"/>
      <c r="HC2539" s="1"/>
      <c r="HD2539" s="1"/>
      <c r="HE2539" s="1"/>
      <c r="HF2539" s="1"/>
      <c r="HG2539" s="1"/>
      <c r="HH2539" s="1"/>
      <c r="HI2539" s="1"/>
      <c r="HJ2539" s="1"/>
      <c r="HK2539" s="1"/>
      <c r="HL2539" s="1"/>
      <c r="HM2539" s="1"/>
      <c r="HN2539" s="1"/>
      <c r="HO2539" s="1"/>
      <c r="HP2539" s="1"/>
      <c r="HQ2539" s="1"/>
    </row>
    <row r="2540" spans="1:225" x14ac:dyDescent="0.35">
      <c r="A2540" s="321"/>
      <c r="B2540" s="321"/>
      <c r="C2540" s="261"/>
      <c r="D2540" s="264"/>
      <c r="E2540" s="264"/>
      <c r="F2540" s="267"/>
      <c r="G2540" s="258"/>
      <c r="H2540" s="163" t="s">
        <v>76</v>
      </c>
      <c r="I2540" s="219">
        <f>D2538*K2540</f>
        <v>212577</v>
      </c>
      <c r="J2540" s="219">
        <f>I2540/D2538</f>
        <v>59</v>
      </c>
      <c r="K2540" s="158">
        <v>59</v>
      </c>
      <c r="L2540" s="1"/>
      <c r="M2540" s="1"/>
      <c r="N2540" s="1"/>
      <c r="O2540" s="1"/>
      <c r="P2540" s="1"/>
      <c r="Q2540" s="1"/>
      <c r="R2540" s="1"/>
      <c r="S2540" s="1"/>
      <c r="T2540" s="1"/>
      <c r="U2540" s="1"/>
      <c r="V2540" s="1"/>
      <c r="W2540" s="1"/>
      <c r="X2540" s="1"/>
      <c r="Y2540" s="1"/>
      <c r="Z2540" s="1"/>
      <c r="AA2540" s="1"/>
      <c r="AB2540" s="1"/>
      <c r="AC2540" s="1"/>
      <c r="AD2540" s="1"/>
      <c r="AE2540" s="1"/>
      <c r="AF2540" s="1"/>
      <c r="AG2540" s="1"/>
      <c r="AH2540" s="1"/>
      <c r="AI2540" s="1"/>
      <c r="AJ2540" s="1"/>
      <c r="AK2540" s="1"/>
      <c r="AL2540" s="1"/>
      <c r="AM2540" s="1"/>
      <c r="AN2540" s="1"/>
      <c r="AO2540" s="1"/>
      <c r="AP2540" s="1"/>
      <c r="AQ2540" s="1"/>
      <c r="AR2540" s="1"/>
      <c r="AS2540" s="1"/>
      <c r="AT2540" s="1"/>
      <c r="AU2540" s="1"/>
      <c r="AV2540" s="1"/>
      <c r="AW2540" s="1"/>
      <c r="AX2540" s="1"/>
      <c r="AY2540" s="1"/>
      <c r="AZ2540" s="1"/>
      <c r="BA2540" s="1"/>
      <c r="BB2540" s="1"/>
      <c r="BC2540" s="1"/>
      <c r="BD2540" s="1"/>
      <c r="BE2540" s="1"/>
      <c r="BF2540" s="1"/>
      <c r="BG2540" s="1"/>
      <c r="BH2540" s="1"/>
      <c r="BI2540" s="1"/>
      <c r="BJ2540" s="1"/>
      <c r="BK2540" s="1"/>
      <c r="BL2540" s="1"/>
      <c r="BM2540" s="1"/>
      <c r="BN2540" s="1"/>
      <c r="BO2540" s="1"/>
      <c r="BP2540" s="1"/>
      <c r="BQ2540" s="1"/>
      <c r="BR2540" s="1"/>
      <c r="BS2540" s="1"/>
      <c r="BT2540" s="1"/>
      <c r="BU2540" s="1"/>
      <c r="BV2540" s="1"/>
      <c r="BW2540" s="1"/>
      <c r="BX2540" s="1"/>
      <c r="BY2540" s="1"/>
      <c r="BZ2540" s="1"/>
      <c r="CA2540" s="1"/>
      <c r="CB2540" s="1"/>
      <c r="CC2540" s="1"/>
      <c r="CD2540" s="1"/>
      <c r="CE2540" s="1"/>
      <c r="CF2540" s="1"/>
      <c r="CG2540" s="1"/>
      <c r="CH2540" s="1"/>
      <c r="CI2540" s="1"/>
      <c r="CJ2540" s="1"/>
      <c r="CK2540" s="1"/>
      <c r="CL2540" s="1"/>
      <c r="CM2540" s="1"/>
      <c r="CN2540" s="1"/>
      <c r="CO2540" s="1"/>
      <c r="CP2540" s="1"/>
      <c r="CQ2540" s="1"/>
      <c r="CR2540" s="1"/>
      <c r="CS2540" s="1"/>
      <c r="CT2540" s="1"/>
      <c r="CU2540" s="1"/>
      <c r="CV2540" s="1"/>
      <c r="CW2540" s="1"/>
      <c r="CX2540" s="1"/>
      <c r="CY2540" s="1"/>
      <c r="CZ2540" s="1"/>
      <c r="DA2540" s="1"/>
      <c r="DB2540" s="1"/>
      <c r="DC2540" s="1"/>
      <c r="DD2540" s="1"/>
      <c r="DE2540" s="1"/>
      <c r="DF2540" s="1"/>
      <c r="DG2540" s="1"/>
      <c r="DH2540" s="1"/>
      <c r="DI2540" s="1"/>
      <c r="DJ2540" s="1"/>
      <c r="DK2540" s="1"/>
      <c r="DL2540" s="1"/>
      <c r="DM2540" s="1"/>
      <c r="DN2540" s="1"/>
      <c r="DO2540" s="1"/>
      <c r="DP2540" s="1"/>
      <c r="DQ2540" s="1"/>
      <c r="DR2540" s="1"/>
      <c r="DS2540" s="1"/>
      <c r="DT2540" s="1"/>
      <c r="DU2540" s="1"/>
      <c r="DV2540" s="1"/>
      <c r="DW2540" s="1"/>
      <c r="DX2540" s="1"/>
      <c r="DY2540" s="1"/>
      <c r="DZ2540" s="1"/>
      <c r="EA2540" s="1"/>
      <c r="EB2540" s="1"/>
      <c r="EC2540" s="1"/>
      <c r="ED2540" s="1"/>
      <c r="EE2540" s="1"/>
      <c r="EF2540" s="1"/>
      <c r="EG2540" s="1"/>
      <c r="EH2540" s="1"/>
      <c r="EI2540" s="1"/>
      <c r="EJ2540" s="1"/>
      <c r="EK2540" s="1"/>
      <c r="EL2540" s="1"/>
      <c r="EM2540" s="1"/>
      <c r="EN2540" s="1"/>
      <c r="EO2540" s="1"/>
      <c r="EP2540" s="1"/>
      <c r="EQ2540" s="1"/>
      <c r="ER2540" s="1"/>
      <c r="ES2540" s="1"/>
      <c r="ET2540" s="1"/>
      <c r="EU2540" s="1"/>
      <c r="EV2540" s="1"/>
      <c r="EW2540" s="1"/>
      <c r="EX2540" s="1"/>
      <c r="EY2540" s="1"/>
      <c r="EZ2540" s="1"/>
      <c r="FA2540" s="1"/>
      <c r="FB2540" s="1"/>
      <c r="FC2540" s="1"/>
      <c r="FD2540" s="1"/>
      <c r="FE2540" s="1"/>
      <c r="FF2540" s="1"/>
      <c r="FG2540" s="1"/>
      <c r="FH2540" s="1"/>
      <c r="FI2540" s="1"/>
      <c r="FJ2540" s="1"/>
      <c r="FK2540" s="1"/>
      <c r="FL2540" s="1"/>
      <c r="FM2540" s="1"/>
      <c r="FN2540" s="1"/>
      <c r="FO2540" s="1"/>
      <c r="FP2540" s="1"/>
      <c r="FQ2540" s="1"/>
      <c r="FR2540" s="1"/>
      <c r="FS2540" s="1"/>
      <c r="FT2540" s="1"/>
      <c r="FU2540" s="1"/>
      <c r="FV2540" s="1"/>
      <c r="FW2540" s="1"/>
      <c r="FX2540" s="1"/>
      <c r="FY2540" s="1"/>
      <c r="FZ2540" s="1"/>
      <c r="GA2540" s="1"/>
      <c r="GB2540" s="1"/>
      <c r="GC2540" s="1"/>
      <c r="GD2540" s="1"/>
      <c r="GE2540" s="1"/>
      <c r="GF2540" s="1"/>
      <c r="GG2540" s="1"/>
      <c r="GH2540" s="1"/>
      <c r="GI2540" s="1"/>
      <c r="GJ2540" s="1"/>
      <c r="GK2540" s="1"/>
      <c r="GL2540" s="1"/>
      <c r="GM2540" s="1"/>
      <c r="GN2540" s="1"/>
      <c r="GO2540" s="1"/>
      <c r="GP2540" s="1"/>
      <c r="GQ2540" s="1"/>
      <c r="GR2540" s="1"/>
      <c r="GS2540" s="1"/>
      <c r="GT2540" s="1"/>
      <c r="GU2540" s="1"/>
      <c r="GV2540" s="1"/>
      <c r="GW2540" s="1"/>
      <c r="GX2540" s="1"/>
      <c r="GY2540" s="1"/>
      <c r="GZ2540" s="1"/>
      <c r="HA2540" s="1"/>
      <c r="HB2540" s="1"/>
      <c r="HC2540" s="1"/>
      <c r="HD2540" s="1"/>
      <c r="HE2540" s="1"/>
      <c r="HF2540" s="1"/>
      <c r="HG2540" s="1"/>
      <c r="HH2540" s="1"/>
      <c r="HI2540" s="1"/>
      <c r="HJ2540" s="1"/>
      <c r="HK2540" s="1"/>
      <c r="HL2540" s="1"/>
      <c r="HM2540" s="1"/>
      <c r="HN2540" s="1"/>
      <c r="HO2540" s="1"/>
      <c r="HP2540" s="1"/>
      <c r="HQ2540" s="1"/>
    </row>
    <row r="2541" spans="1:225" ht="15.75" customHeight="1" x14ac:dyDescent="0.35">
      <c r="A2541" s="230">
        <f>A2538+1</f>
        <v>7</v>
      </c>
      <c r="B2541" s="230">
        <v>6934</v>
      </c>
      <c r="C2541" s="309" t="s">
        <v>642</v>
      </c>
      <c r="D2541" s="253">
        <v>909.83</v>
      </c>
      <c r="E2541" s="253" t="s">
        <v>75</v>
      </c>
      <c r="F2541" s="255">
        <v>5</v>
      </c>
      <c r="G2541" s="251" t="s">
        <v>72</v>
      </c>
      <c r="H2541" s="159" t="s">
        <v>73</v>
      </c>
      <c r="I2541" s="158">
        <f>I2542</f>
        <v>149212.12</v>
      </c>
      <c r="J2541" s="158">
        <f>J2542</f>
        <v>164</v>
      </c>
      <c r="K2541" s="158">
        <f>K2542</f>
        <v>164</v>
      </c>
      <c r="L2541" s="1"/>
      <c r="M2541" s="1"/>
      <c r="N2541" s="1"/>
      <c r="O2541" s="1"/>
      <c r="P2541" s="1"/>
      <c r="Q2541" s="1"/>
      <c r="R2541" s="1"/>
      <c r="S2541" s="1"/>
      <c r="T2541" s="1"/>
      <c r="U2541" s="1"/>
      <c r="V2541" s="1"/>
      <c r="W2541" s="1"/>
      <c r="X2541" s="1"/>
      <c r="Y2541" s="1"/>
      <c r="Z2541" s="1"/>
      <c r="AA2541" s="1"/>
      <c r="AB2541" s="1"/>
      <c r="AC2541" s="1"/>
      <c r="AD2541" s="1"/>
      <c r="AE2541" s="1"/>
      <c r="AF2541" s="1"/>
      <c r="AG2541" s="1"/>
      <c r="AH2541" s="1"/>
      <c r="AI2541" s="1"/>
      <c r="AJ2541" s="1"/>
      <c r="AK2541" s="1"/>
      <c r="AL2541" s="1"/>
      <c r="AM2541" s="1"/>
      <c r="AN2541" s="1"/>
      <c r="AO2541" s="1"/>
      <c r="AP2541" s="1"/>
      <c r="AQ2541" s="1"/>
      <c r="AR2541" s="1"/>
      <c r="AS2541" s="1"/>
      <c r="AT2541" s="1"/>
      <c r="AU2541" s="1"/>
      <c r="AV2541" s="1"/>
      <c r="AW2541" s="1"/>
      <c r="AX2541" s="1"/>
      <c r="AY2541" s="1"/>
      <c r="AZ2541" s="1"/>
      <c r="BA2541" s="1"/>
      <c r="BB2541" s="1"/>
      <c r="BC2541" s="1"/>
      <c r="BD2541" s="1"/>
      <c r="BE2541" s="1"/>
      <c r="BF2541" s="1"/>
      <c r="BG2541" s="1"/>
      <c r="BH2541" s="1"/>
      <c r="BI2541" s="1"/>
      <c r="BJ2541" s="1"/>
      <c r="BK2541" s="1"/>
      <c r="BL2541" s="1"/>
      <c r="BM2541" s="1"/>
      <c r="BN2541" s="1"/>
      <c r="BO2541" s="1"/>
      <c r="BP2541" s="1"/>
      <c r="BQ2541" s="1"/>
      <c r="BR2541" s="1"/>
      <c r="BS2541" s="1"/>
      <c r="BT2541" s="1"/>
      <c r="BU2541" s="1"/>
      <c r="BV2541" s="1"/>
      <c r="BW2541" s="1"/>
      <c r="BX2541" s="1"/>
      <c r="BY2541" s="1"/>
      <c r="BZ2541" s="1"/>
      <c r="CA2541" s="1"/>
      <c r="CB2541" s="1"/>
      <c r="CC2541" s="1"/>
      <c r="CD2541" s="1"/>
      <c r="CE2541" s="1"/>
      <c r="CF2541" s="1"/>
      <c r="CG2541" s="1"/>
      <c r="CH2541" s="1"/>
      <c r="CI2541" s="1"/>
      <c r="CJ2541" s="1"/>
      <c r="CK2541" s="1"/>
      <c r="CL2541" s="1"/>
      <c r="CM2541" s="1"/>
      <c r="CN2541" s="1"/>
      <c r="CO2541" s="1"/>
      <c r="CP2541" s="1"/>
      <c r="CQ2541" s="1"/>
      <c r="CR2541" s="1"/>
      <c r="CS2541" s="1"/>
      <c r="CT2541" s="1"/>
      <c r="CU2541" s="1"/>
      <c r="CV2541" s="1"/>
      <c r="CW2541" s="1"/>
      <c r="CX2541" s="1"/>
      <c r="CY2541" s="1"/>
      <c r="CZ2541" s="1"/>
      <c r="DA2541" s="1"/>
      <c r="DB2541" s="1"/>
      <c r="DC2541" s="1"/>
      <c r="DD2541" s="1"/>
      <c r="DE2541" s="1"/>
      <c r="DF2541" s="1"/>
      <c r="DG2541" s="1"/>
      <c r="DH2541" s="1"/>
      <c r="DI2541" s="1"/>
      <c r="DJ2541" s="1"/>
      <c r="DK2541" s="1"/>
      <c r="DL2541" s="1"/>
      <c r="DM2541" s="1"/>
      <c r="DN2541" s="1"/>
      <c r="DO2541" s="1"/>
      <c r="DP2541" s="1"/>
      <c r="DQ2541" s="1"/>
      <c r="DR2541" s="1"/>
      <c r="DS2541" s="1"/>
      <c r="DT2541" s="1"/>
      <c r="DU2541" s="1"/>
      <c r="DV2541" s="1"/>
      <c r="DW2541" s="1"/>
      <c r="DX2541" s="1"/>
      <c r="DY2541" s="1"/>
      <c r="DZ2541" s="1"/>
      <c r="EA2541" s="1"/>
      <c r="EB2541" s="1"/>
      <c r="EC2541" s="1"/>
      <c r="ED2541" s="1"/>
      <c r="EE2541" s="1"/>
      <c r="EF2541" s="1"/>
      <c r="EG2541" s="1"/>
      <c r="EH2541" s="1"/>
      <c r="EI2541" s="1"/>
      <c r="EJ2541" s="1"/>
      <c r="EK2541" s="1"/>
      <c r="EL2541" s="1"/>
      <c r="EM2541" s="1"/>
      <c r="EN2541" s="1"/>
      <c r="EO2541" s="1"/>
      <c r="EP2541" s="1"/>
      <c r="EQ2541" s="1"/>
      <c r="ER2541" s="1"/>
      <c r="ES2541" s="1"/>
      <c r="ET2541" s="1"/>
      <c r="EU2541" s="1"/>
      <c r="EV2541" s="1"/>
      <c r="EW2541" s="1"/>
      <c r="EX2541" s="1"/>
      <c r="EY2541" s="1"/>
      <c r="EZ2541" s="1"/>
      <c r="FA2541" s="1"/>
      <c r="FB2541" s="1"/>
      <c r="FC2541" s="1"/>
      <c r="FD2541" s="1"/>
      <c r="FE2541" s="1"/>
      <c r="FF2541" s="1"/>
      <c r="FG2541" s="1"/>
      <c r="FH2541" s="1"/>
      <c r="FI2541" s="1"/>
      <c r="FJ2541" s="1"/>
      <c r="FK2541" s="1"/>
      <c r="FL2541" s="1"/>
      <c r="FM2541" s="1"/>
      <c r="FN2541" s="1"/>
      <c r="FO2541" s="1"/>
      <c r="FP2541" s="1"/>
      <c r="FQ2541" s="1"/>
      <c r="FR2541" s="1"/>
      <c r="FS2541" s="1"/>
      <c r="FT2541" s="1"/>
      <c r="FU2541" s="1"/>
      <c r="FV2541" s="1"/>
      <c r="FW2541" s="1"/>
      <c r="FX2541" s="1"/>
      <c r="FY2541" s="1"/>
      <c r="FZ2541" s="1"/>
      <c r="GA2541" s="1"/>
      <c r="GB2541" s="1"/>
      <c r="GC2541" s="1"/>
      <c r="GD2541" s="1"/>
      <c r="GE2541" s="1"/>
      <c r="GF2541" s="1"/>
      <c r="GG2541" s="1"/>
      <c r="GH2541" s="1"/>
      <c r="GI2541" s="1"/>
      <c r="GJ2541" s="1"/>
      <c r="GK2541" s="1"/>
      <c r="GL2541" s="1"/>
      <c r="GM2541" s="1"/>
      <c r="GN2541" s="1"/>
      <c r="GO2541" s="1"/>
      <c r="GP2541" s="1"/>
      <c r="GQ2541" s="1"/>
      <c r="GR2541" s="1"/>
      <c r="GS2541" s="1"/>
      <c r="GT2541" s="1"/>
      <c r="GU2541" s="1"/>
      <c r="GV2541" s="1"/>
      <c r="GW2541" s="1"/>
      <c r="GX2541" s="1"/>
      <c r="GY2541" s="1"/>
      <c r="GZ2541" s="1"/>
      <c r="HA2541" s="1"/>
      <c r="HB2541" s="1"/>
      <c r="HC2541" s="1"/>
      <c r="HD2541" s="1"/>
      <c r="HE2541" s="1"/>
      <c r="HF2541" s="1"/>
      <c r="HG2541" s="1"/>
      <c r="HH2541" s="1"/>
      <c r="HI2541" s="1"/>
      <c r="HJ2541" s="1"/>
      <c r="HK2541" s="1"/>
      <c r="HL2541" s="1"/>
      <c r="HM2541" s="1"/>
      <c r="HN2541" s="1"/>
      <c r="HO2541" s="1"/>
      <c r="HP2541" s="1"/>
      <c r="HQ2541" s="1"/>
    </row>
    <row r="2542" spans="1:225" ht="46.5" x14ac:dyDescent="0.35">
      <c r="A2542" s="230"/>
      <c r="B2542" s="230"/>
      <c r="C2542" s="309"/>
      <c r="D2542" s="253"/>
      <c r="E2542" s="253"/>
      <c r="F2542" s="255"/>
      <c r="G2542" s="251"/>
      <c r="H2542" s="159" t="s">
        <v>705</v>
      </c>
      <c r="I2542" s="158">
        <f>K2542*D2541</f>
        <v>149212.12</v>
      </c>
      <c r="J2542" s="158">
        <f>I2542/D2541</f>
        <v>164</v>
      </c>
      <c r="K2542" s="158">
        <f>151+13</f>
        <v>164</v>
      </c>
      <c r="L2542" s="1"/>
      <c r="M2542" s="1"/>
      <c r="N2542" s="1"/>
      <c r="O2542" s="1"/>
      <c r="P2542" s="1"/>
      <c r="Q2542" s="1"/>
      <c r="R2542" s="1"/>
      <c r="S2542" s="1"/>
      <c r="T2542" s="1"/>
      <c r="U2542" s="1"/>
      <c r="V2542" s="1"/>
      <c r="W2542" s="1"/>
      <c r="X2542" s="1"/>
      <c r="Y2542" s="1"/>
      <c r="Z2542" s="1"/>
      <c r="AA2542" s="1"/>
      <c r="AB2542" s="1"/>
      <c r="AC2542" s="1"/>
      <c r="AD2542" s="1"/>
      <c r="AE2542" s="1"/>
      <c r="AF2542" s="1"/>
      <c r="AG2542" s="1"/>
      <c r="AH2542" s="1"/>
      <c r="AI2542" s="1"/>
      <c r="AJ2542" s="1"/>
      <c r="AK2542" s="1"/>
      <c r="AL2542" s="1"/>
      <c r="AM2542" s="1"/>
      <c r="AN2542" s="1"/>
      <c r="AO2542" s="1"/>
      <c r="AP2542" s="1"/>
      <c r="AQ2542" s="1"/>
      <c r="AR2542" s="1"/>
      <c r="AS2542" s="1"/>
      <c r="AT2542" s="1"/>
      <c r="AU2542" s="1"/>
      <c r="AV2542" s="1"/>
      <c r="AW2542" s="1"/>
      <c r="AX2542" s="1"/>
      <c r="AY2542" s="1"/>
      <c r="AZ2542" s="1"/>
      <c r="BA2542" s="1"/>
      <c r="BB2542" s="1"/>
      <c r="BC2542" s="1"/>
      <c r="BD2542" s="1"/>
      <c r="BE2542" s="1"/>
      <c r="BF2542" s="1"/>
      <c r="BG2542" s="1"/>
      <c r="BH2542" s="1"/>
      <c r="BI2542" s="1"/>
      <c r="BJ2542" s="1"/>
      <c r="BK2542" s="1"/>
      <c r="BL2542" s="1"/>
      <c r="BM2542" s="1"/>
      <c r="BN2542" s="1"/>
      <c r="BO2542" s="1"/>
      <c r="BP2542" s="1"/>
      <c r="BQ2542" s="1"/>
      <c r="BR2542" s="1"/>
      <c r="BS2542" s="1"/>
      <c r="BT2542" s="1"/>
      <c r="BU2542" s="1"/>
      <c r="BV2542" s="1"/>
      <c r="BW2542" s="1"/>
      <c r="BX2542" s="1"/>
      <c r="BY2542" s="1"/>
      <c r="BZ2542" s="1"/>
      <c r="CA2542" s="1"/>
      <c r="CB2542" s="1"/>
      <c r="CC2542" s="1"/>
      <c r="CD2542" s="1"/>
      <c r="CE2542" s="1"/>
      <c r="CF2542" s="1"/>
      <c r="CG2542" s="1"/>
      <c r="CH2542" s="1"/>
      <c r="CI2542" s="1"/>
      <c r="CJ2542" s="1"/>
      <c r="CK2542" s="1"/>
      <c r="CL2542" s="1"/>
      <c r="CM2542" s="1"/>
      <c r="CN2542" s="1"/>
      <c r="CO2542" s="1"/>
      <c r="CP2542" s="1"/>
      <c r="CQ2542" s="1"/>
      <c r="CR2542" s="1"/>
      <c r="CS2542" s="1"/>
      <c r="CT2542" s="1"/>
      <c r="CU2542" s="1"/>
      <c r="CV2542" s="1"/>
      <c r="CW2542" s="1"/>
      <c r="CX2542" s="1"/>
      <c r="CY2542" s="1"/>
      <c r="CZ2542" s="1"/>
      <c r="DA2542" s="1"/>
      <c r="DB2542" s="1"/>
      <c r="DC2542" s="1"/>
      <c r="DD2542" s="1"/>
      <c r="DE2542" s="1"/>
      <c r="DF2542" s="1"/>
      <c r="DG2542" s="1"/>
      <c r="DH2542" s="1"/>
      <c r="DI2542" s="1"/>
      <c r="DJ2542" s="1"/>
      <c r="DK2542" s="1"/>
      <c r="DL2542" s="1"/>
      <c r="DM2542" s="1"/>
      <c r="DN2542" s="1"/>
      <c r="DO2542" s="1"/>
      <c r="DP2542" s="1"/>
      <c r="DQ2542" s="1"/>
      <c r="DR2542" s="1"/>
      <c r="DS2542" s="1"/>
      <c r="DT2542" s="1"/>
      <c r="DU2542" s="1"/>
      <c r="DV2542" s="1"/>
      <c r="DW2542" s="1"/>
      <c r="DX2542" s="1"/>
      <c r="DY2542" s="1"/>
      <c r="DZ2542" s="1"/>
      <c r="EA2542" s="1"/>
      <c r="EB2542" s="1"/>
      <c r="EC2542" s="1"/>
      <c r="ED2542" s="1"/>
      <c r="EE2542" s="1"/>
      <c r="EF2542" s="1"/>
      <c r="EG2542" s="1"/>
      <c r="EH2542" s="1"/>
      <c r="EI2542" s="1"/>
      <c r="EJ2542" s="1"/>
      <c r="EK2542" s="1"/>
      <c r="EL2542" s="1"/>
      <c r="EM2542" s="1"/>
      <c r="EN2542" s="1"/>
      <c r="EO2542" s="1"/>
      <c r="EP2542" s="1"/>
      <c r="EQ2542" s="1"/>
      <c r="ER2542" s="1"/>
      <c r="ES2542" s="1"/>
      <c r="ET2542" s="1"/>
      <c r="EU2542" s="1"/>
      <c r="EV2542" s="1"/>
      <c r="EW2542" s="1"/>
      <c r="EX2542" s="1"/>
      <c r="EY2542" s="1"/>
      <c r="EZ2542" s="1"/>
      <c r="FA2542" s="1"/>
      <c r="FB2542" s="1"/>
      <c r="FC2542" s="1"/>
      <c r="FD2542" s="1"/>
      <c r="FE2542" s="1"/>
      <c r="FF2542" s="1"/>
      <c r="FG2542" s="1"/>
      <c r="FH2542" s="1"/>
      <c r="FI2542" s="1"/>
      <c r="FJ2542" s="1"/>
      <c r="FK2542" s="1"/>
      <c r="FL2542" s="1"/>
      <c r="FM2542" s="1"/>
      <c r="FN2542" s="1"/>
      <c r="FO2542" s="1"/>
      <c r="FP2542" s="1"/>
      <c r="FQ2542" s="1"/>
      <c r="FR2542" s="1"/>
      <c r="FS2542" s="1"/>
      <c r="FT2542" s="1"/>
      <c r="FU2542" s="1"/>
      <c r="FV2542" s="1"/>
      <c r="FW2542" s="1"/>
      <c r="FX2542" s="1"/>
      <c r="FY2542" s="1"/>
      <c r="FZ2542" s="1"/>
      <c r="GA2542" s="1"/>
      <c r="GB2542" s="1"/>
      <c r="GC2542" s="1"/>
      <c r="GD2542" s="1"/>
      <c r="GE2542" s="1"/>
      <c r="GF2542" s="1"/>
      <c r="GG2542" s="1"/>
      <c r="GH2542" s="1"/>
      <c r="GI2542" s="1"/>
      <c r="GJ2542" s="1"/>
      <c r="GK2542" s="1"/>
      <c r="GL2542" s="1"/>
      <c r="GM2542" s="1"/>
      <c r="GN2542" s="1"/>
      <c r="GO2542" s="1"/>
      <c r="GP2542" s="1"/>
      <c r="GQ2542" s="1"/>
      <c r="GR2542" s="1"/>
      <c r="GS2542" s="1"/>
      <c r="GT2542" s="1"/>
      <c r="GU2542" s="1"/>
      <c r="GV2542" s="1"/>
      <c r="GW2542" s="1"/>
      <c r="GX2542" s="1"/>
      <c r="GY2542" s="1"/>
      <c r="GZ2542" s="1"/>
      <c r="HA2542" s="1"/>
      <c r="HB2542" s="1"/>
      <c r="HC2542" s="1"/>
      <c r="HD2542" s="1"/>
      <c r="HE2542" s="1"/>
      <c r="HF2542" s="1"/>
      <c r="HG2542" s="1"/>
      <c r="HH2542" s="1"/>
      <c r="HI2542" s="1"/>
      <c r="HJ2542" s="1"/>
      <c r="HK2542" s="1"/>
      <c r="HL2542" s="1"/>
      <c r="HM2542" s="1"/>
      <c r="HN2542" s="1"/>
      <c r="HO2542" s="1"/>
      <c r="HP2542" s="1"/>
      <c r="HQ2542" s="1"/>
    </row>
    <row r="2543" spans="1:225" ht="15.75" customHeight="1" x14ac:dyDescent="0.35">
      <c r="A2543" s="230">
        <f>A2541+1</f>
        <v>8</v>
      </c>
      <c r="B2543" s="230">
        <v>6939</v>
      </c>
      <c r="C2543" s="309" t="s">
        <v>643</v>
      </c>
      <c r="D2543" s="253">
        <v>721</v>
      </c>
      <c r="E2543" s="253" t="s">
        <v>75</v>
      </c>
      <c r="F2543" s="255">
        <v>2</v>
      </c>
      <c r="G2543" s="251" t="s">
        <v>72</v>
      </c>
      <c r="H2543" s="159" t="s">
        <v>73</v>
      </c>
      <c r="I2543" s="158">
        <f>SUM(I2544:I2544)</f>
        <v>118244</v>
      </c>
      <c r="J2543" s="158">
        <f>SUM(J2544:J2544)</f>
        <v>164</v>
      </c>
      <c r="K2543" s="158">
        <f>SUM(K2544:K2544)</f>
        <v>164</v>
      </c>
      <c r="L2543" s="1"/>
      <c r="M2543" s="1"/>
      <c r="N2543" s="1"/>
      <c r="O2543" s="1"/>
      <c r="P2543" s="1"/>
      <c r="Q2543" s="1"/>
      <c r="R2543" s="1"/>
      <c r="S2543" s="1"/>
      <c r="T2543" s="1"/>
      <c r="U2543" s="1"/>
      <c r="V2543" s="1"/>
      <c r="W2543" s="1"/>
      <c r="X2543" s="1"/>
      <c r="Y2543" s="1"/>
      <c r="Z2543" s="1"/>
      <c r="AA2543" s="1"/>
      <c r="AB2543" s="1"/>
      <c r="AC2543" s="1"/>
      <c r="AD2543" s="1"/>
      <c r="AE2543" s="1"/>
      <c r="AF2543" s="1"/>
      <c r="AG2543" s="1"/>
      <c r="AH2543" s="1"/>
      <c r="AI2543" s="1"/>
      <c r="AJ2543" s="1"/>
      <c r="AK2543" s="1"/>
      <c r="AL2543" s="1"/>
      <c r="AM2543" s="1"/>
      <c r="AN2543" s="1"/>
      <c r="AO2543" s="1"/>
      <c r="AP2543" s="1"/>
      <c r="AQ2543" s="1"/>
      <c r="AR2543" s="1"/>
      <c r="AS2543" s="1"/>
      <c r="AT2543" s="1"/>
      <c r="AU2543" s="1"/>
      <c r="AV2543" s="1"/>
      <c r="AW2543" s="1"/>
      <c r="AX2543" s="1"/>
      <c r="AY2543" s="1"/>
      <c r="AZ2543" s="1"/>
      <c r="BA2543" s="1"/>
      <c r="BB2543" s="1"/>
      <c r="BC2543" s="1"/>
      <c r="BD2543" s="1"/>
      <c r="BE2543" s="1"/>
      <c r="BF2543" s="1"/>
      <c r="BG2543" s="1"/>
      <c r="BH2543" s="1"/>
      <c r="BI2543" s="1"/>
      <c r="BJ2543" s="1"/>
      <c r="BK2543" s="1"/>
      <c r="BL2543" s="1"/>
      <c r="BM2543" s="1"/>
      <c r="BN2543" s="1"/>
      <c r="BO2543" s="1"/>
      <c r="BP2543" s="1"/>
      <c r="BQ2543" s="1"/>
      <c r="BR2543" s="1"/>
      <c r="BS2543" s="1"/>
      <c r="BT2543" s="1"/>
      <c r="BU2543" s="1"/>
      <c r="BV2543" s="1"/>
      <c r="BW2543" s="1"/>
      <c r="BX2543" s="1"/>
      <c r="BY2543" s="1"/>
      <c r="BZ2543" s="1"/>
      <c r="CA2543" s="1"/>
      <c r="CB2543" s="1"/>
      <c r="CC2543" s="1"/>
      <c r="CD2543" s="1"/>
      <c r="CE2543" s="1"/>
      <c r="CF2543" s="1"/>
      <c r="CG2543" s="1"/>
      <c r="CH2543" s="1"/>
      <c r="CI2543" s="1"/>
      <c r="CJ2543" s="1"/>
      <c r="CK2543" s="1"/>
      <c r="CL2543" s="1"/>
      <c r="CM2543" s="1"/>
      <c r="CN2543" s="1"/>
      <c r="CO2543" s="1"/>
      <c r="CP2543" s="1"/>
      <c r="CQ2543" s="1"/>
      <c r="CR2543" s="1"/>
      <c r="CS2543" s="1"/>
      <c r="CT2543" s="1"/>
      <c r="CU2543" s="1"/>
      <c r="CV2543" s="1"/>
      <c r="CW2543" s="1"/>
      <c r="CX2543" s="1"/>
      <c r="CY2543" s="1"/>
      <c r="CZ2543" s="1"/>
      <c r="DA2543" s="1"/>
      <c r="DB2543" s="1"/>
      <c r="DC2543" s="1"/>
      <c r="DD2543" s="1"/>
      <c r="DE2543" s="1"/>
      <c r="DF2543" s="1"/>
      <c r="DG2543" s="1"/>
      <c r="DH2543" s="1"/>
      <c r="DI2543" s="1"/>
      <c r="DJ2543" s="1"/>
      <c r="DK2543" s="1"/>
      <c r="DL2543" s="1"/>
      <c r="DM2543" s="1"/>
      <c r="DN2543" s="1"/>
      <c r="DO2543" s="1"/>
      <c r="DP2543" s="1"/>
      <c r="DQ2543" s="1"/>
      <c r="DR2543" s="1"/>
      <c r="DS2543" s="1"/>
      <c r="DT2543" s="1"/>
      <c r="DU2543" s="1"/>
      <c r="DV2543" s="1"/>
      <c r="DW2543" s="1"/>
      <c r="DX2543" s="1"/>
      <c r="DY2543" s="1"/>
      <c r="DZ2543" s="1"/>
      <c r="EA2543" s="1"/>
      <c r="EB2543" s="1"/>
      <c r="EC2543" s="1"/>
      <c r="ED2543" s="1"/>
      <c r="EE2543" s="1"/>
      <c r="EF2543" s="1"/>
      <c r="EG2543" s="1"/>
      <c r="EH2543" s="1"/>
      <c r="EI2543" s="1"/>
      <c r="EJ2543" s="1"/>
      <c r="EK2543" s="1"/>
      <c r="EL2543" s="1"/>
      <c r="EM2543" s="1"/>
      <c r="EN2543" s="1"/>
      <c r="EO2543" s="1"/>
      <c r="EP2543" s="1"/>
      <c r="EQ2543" s="1"/>
      <c r="ER2543" s="1"/>
      <c r="ES2543" s="1"/>
      <c r="ET2543" s="1"/>
      <c r="EU2543" s="1"/>
      <c r="EV2543" s="1"/>
      <c r="EW2543" s="1"/>
      <c r="EX2543" s="1"/>
      <c r="EY2543" s="1"/>
      <c r="EZ2543" s="1"/>
      <c r="FA2543" s="1"/>
      <c r="FB2543" s="1"/>
      <c r="FC2543" s="1"/>
      <c r="FD2543" s="1"/>
      <c r="FE2543" s="1"/>
      <c r="FF2543" s="1"/>
      <c r="FG2543" s="1"/>
      <c r="FH2543" s="1"/>
      <c r="FI2543" s="1"/>
      <c r="FJ2543" s="1"/>
      <c r="FK2543" s="1"/>
      <c r="FL2543" s="1"/>
      <c r="FM2543" s="1"/>
      <c r="FN2543" s="1"/>
      <c r="FO2543" s="1"/>
      <c r="FP2543" s="1"/>
      <c r="FQ2543" s="1"/>
      <c r="FR2543" s="1"/>
      <c r="FS2543" s="1"/>
      <c r="FT2543" s="1"/>
      <c r="FU2543" s="1"/>
      <c r="FV2543" s="1"/>
      <c r="FW2543" s="1"/>
      <c r="FX2543" s="1"/>
      <c r="FY2543" s="1"/>
      <c r="FZ2543" s="1"/>
      <c r="GA2543" s="1"/>
      <c r="GB2543" s="1"/>
      <c r="GC2543" s="1"/>
      <c r="GD2543" s="1"/>
      <c r="GE2543" s="1"/>
      <c r="GF2543" s="1"/>
      <c r="GG2543" s="1"/>
      <c r="GH2543" s="1"/>
      <c r="GI2543" s="1"/>
      <c r="GJ2543" s="1"/>
      <c r="GK2543" s="1"/>
      <c r="GL2543" s="1"/>
      <c r="GM2543" s="1"/>
      <c r="GN2543" s="1"/>
      <c r="GO2543" s="1"/>
      <c r="GP2543" s="1"/>
      <c r="GQ2543" s="1"/>
      <c r="GR2543" s="1"/>
      <c r="GS2543" s="1"/>
      <c r="GT2543" s="1"/>
      <c r="GU2543" s="1"/>
      <c r="GV2543" s="1"/>
      <c r="GW2543" s="1"/>
      <c r="GX2543" s="1"/>
      <c r="GY2543" s="1"/>
      <c r="GZ2543" s="1"/>
      <c r="HA2543" s="1"/>
      <c r="HB2543" s="1"/>
      <c r="HC2543" s="1"/>
      <c r="HD2543" s="1"/>
      <c r="HE2543" s="1"/>
      <c r="HF2543" s="1"/>
      <c r="HG2543" s="1"/>
      <c r="HH2543" s="1"/>
      <c r="HI2543" s="1"/>
      <c r="HJ2543" s="1"/>
      <c r="HK2543" s="1"/>
      <c r="HL2543" s="1"/>
      <c r="HM2543" s="1"/>
      <c r="HN2543" s="1"/>
      <c r="HO2543" s="1"/>
      <c r="HP2543" s="1"/>
      <c r="HQ2543" s="1"/>
    </row>
    <row r="2544" spans="1:225" ht="46.5" x14ac:dyDescent="0.35">
      <c r="A2544" s="230"/>
      <c r="B2544" s="230"/>
      <c r="C2544" s="309"/>
      <c r="D2544" s="253"/>
      <c r="E2544" s="253"/>
      <c r="F2544" s="255"/>
      <c r="G2544" s="251"/>
      <c r="H2544" s="159" t="s">
        <v>705</v>
      </c>
      <c r="I2544" s="158">
        <f>D2543*K2544</f>
        <v>118244</v>
      </c>
      <c r="J2544" s="158">
        <f>I2544/D2543</f>
        <v>164</v>
      </c>
      <c r="K2544" s="158">
        <f>151+13</f>
        <v>164</v>
      </c>
      <c r="L2544" s="1"/>
      <c r="M2544" s="1"/>
      <c r="N2544" s="1"/>
      <c r="O2544" s="1"/>
      <c r="P2544" s="1"/>
      <c r="Q2544" s="1"/>
      <c r="R2544" s="1"/>
      <c r="S2544" s="1"/>
      <c r="T2544" s="1"/>
      <c r="U2544" s="1"/>
      <c r="V2544" s="1"/>
      <c r="W2544" s="1"/>
      <c r="X2544" s="1"/>
      <c r="Y2544" s="1"/>
      <c r="Z2544" s="1"/>
      <c r="AA2544" s="1"/>
      <c r="AB2544" s="1"/>
      <c r="AC2544" s="1"/>
      <c r="AD2544" s="1"/>
      <c r="AE2544" s="1"/>
      <c r="AF2544" s="1"/>
      <c r="AG2544" s="1"/>
      <c r="AH2544" s="1"/>
      <c r="AI2544" s="1"/>
      <c r="AJ2544" s="1"/>
      <c r="AK2544" s="1"/>
      <c r="AL2544" s="1"/>
      <c r="AM2544" s="1"/>
      <c r="AN2544" s="1"/>
      <c r="AO2544" s="1"/>
      <c r="AP2544" s="1"/>
      <c r="AQ2544" s="1"/>
      <c r="AR2544" s="1"/>
      <c r="AS2544" s="1"/>
      <c r="AT2544" s="1"/>
      <c r="AU2544" s="1"/>
      <c r="AV2544" s="1"/>
      <c r="AW2544" s="1"/>
      <c r="AX2544" s="1"/>
      <c r="AY2544" s="1"/>
      <c r="AZ2544" s="1"/>
      <c r="BA2544" s="1"/>
      <c r="BB2544" s="1"/>
      <c r="BC2544" s="1"/>
      <c r="BD2544" s="1"/>
      <c r="BE2544" s="1"/>
      <c r="BF2544" s="1"/>
      <c r="BG2544" s="1"/>
      <c r="BH2544" s="1"/>
      <c r="BI2544" s="1"/>
      <c r="BJ2544" s="1"/>
      <c r="BK2544" s="1"/>
      <c r="BL2544" s="1"/>
      <c r="BM2544" s="1"/>
      <c r="BN2544" s="1"/>
      <c r="BO2544" s="1"/>
      <c r="BP2544" s="1"/>
      <c r="BQ2544" s="1"/>
      <c r="BR2544" s="1"/>
      <c r="BS2544" s="1"/>
      <c r="BT2544" s="1"/>
      <c r="BU2544" s="1"/>
      <c r="BV2544" s="1"/>
      <c r="BW2544" s="1"/>
      <c r="BX2544" s="1"/>
      <c r="BY2544" s="1"/>
      <c r="BZ2544" s="1"/>
      <c r="CA2544" s="1"/>
      <c r="CB2544" s="1"/>
      <c r="CC2544" s="1"/>
      <c r="CD2544" s="1"/>
      <c r="CE2544" s="1"/>
      <c r="CF2544" s="1"/>
      <c r="CG2544" s="1"/>
      <c r="CH2544" s="1"/>
      <c r="CI2544" s="1"/>
      <c r="CJ2544" s="1"/>
      <c r="CK2544" s="1"/>
      <c r="CL2544" s="1"/>
      <c r="CM2544" s="1"/>
      <c r="CN2544" s="1"/>
      <c r="CO2544" s="1"/>
      <c r="CP2544" s="1"/>
      <c r="CQ2544" s="1"/>
      <c r="CR2544" s="1"/>
      <c r="CS2544" s="1"/>
      <c r="CT2544" s="1"/>
      <c r="CU2544" s="1"/>
      <c r="CV2544" s="1"/>
      <c r="CW2544" s="1"/>
      <c r="CX2544" s="1"/>
      <c r="CY2544" s="1"/>
      <c r="CZ2544" s="1"/>
      <c r="DA2544" s="1"/>
      <c r="DB2544" s="1"/>
      <c r="DC2544" s="1"/>
      <c r="DD2544" s="1"/>
      <c r="DE2544" s="1"/>
      <c r="DF2544" s="1"/>
      <c r="DG2544" s="1"/>
      <c r="DH2544" s="1"/>
      <c r="DI2544" s="1"/>
      <c r="DJ2544" s="1"/>
      <c r="DK2544" s="1"/>
      <c r="DL2544" s="1"/>
      <c r="DM2544" s="1"/>
      <c r="DN2544" s="1"/>
      <c r="DO2544" s="1"/>
      <c r="DP2544" s="1"/>
      <c r="DQ2544" s="1"/>
      <c r="DR2544" s="1"/>
      <c r="DS2544" s="1"/>
      <c r="DT2544" s="1"/>
      <c r="DU2544" s="1"/>
      <c r="DV2544" s="1"/>
      <c r="DW2544" s="1"/>
      <c r="DX2544" s="1"/>
      <c r="DY2544" s="1"/>
      <c r="DZ2544" s="1"/>
      <c r="EA2544" s="1"/>
      <c r="EB2544" s="1"/>
      <c r="EC2544" s="1"/>
      <c r="ED2544" s="1"/>
      <c r="EE2544" s="1"/>
      <c r="EF2544" s="1"/>
      <c r="EG2544" s="1"/>
      <c r="EH2544" s="1"/>
      <c r="EI2544" s="1"/>
      <c r="EJ2544" s="1"/>
      <c r="EK2544" s="1"/>
      <c r="EL2544" s="1"/>
      <c r="EM2544" s="1"/>
      <c r="EN2544" s="1"/>
      <c r="EO2544" s="1"/>
      <c r="EP2544" s="1"/>
      <c r="EQ2544" s="1"/>
      <c r="ER2544" s="1"/>
      <c r="ES2544" s="1"/>
      <c r="ET2544" s="1"/>
      <c r="EU2544" s="1"/>
      <c r="EV2544" s="1"/>
      <c r="EW2544" s="1"/>
      <c r="EX2544" s="1"/>
      <c r="EY2544" s="1"/>
      <c r="EZ2544" s="1"/>
      <c r="FA2544" s="1"/>
      <c r="FB2544" s="1"/>
      <c r="FC2544" s="1"/>
      <c r="FD2544" s="1"/>
      <c r="FE2544" s="1"/>
      <c r="FF2544" s="1"/>
      <c r="FG2544" s="1"/>
      <c r="FH2544" s="1"/>
      <c r="FI2544" s="1"/>
      <c r="FJ2544" s="1"/>
      <c r="FK2544" s="1"/>
      <c r="FL2544" s="1"/>
      <c r="FM2544" s="1"/>
      <c r="FN2544" s="1"/>
      <c r="FO2544" s="1"/>
      <c r="FP2544" s="1"/>
      <c r="FQ2544" s="1"/>
      <c r="FR2544" s="1"/>
      <c r="FS2544" s="1"/>
      <c r="FT2544" s="1"/>
      <c r="FU2544" s="1"/>
      <c r="FV2544" s="1"/>
      <c r="FW2544" s="1"/>
      <c r="FX2544" s="1"/>
      <c r="FY2544" s="1"/>
      <c r="FZ2544" s="1"/>
      <c r="GA2544" s="1"/>
      <c r="GB2544" s="1"/>
      <c r="GC2544" s="1"/>
      <c r="GD2544" s="1"/>
      <c r="GE2544" s="1"/>
      <c r="GF2544" s="1"/>
      <c r="GG2544" s="1"/>
      <c r="GH2544" s="1"/>
      <c r="GI2544" s="1"/>
      <c r="GJ2544" s="1"/>
      <c r="GK2544" s="1"/>
      <c r="GL2544" s="1"/>
      <c r="GM2544" s="1"/>
      <c r="GN2544" s="1"/>
      <c r="GO2544" s="1"/>
      <c r="GP2544" s="1"/>
      <c r="GQ2544" s="1"/>
      <c r="GR2544" s="1"/>
      <c r="GS2544" s="1"/>
      <c r="GT2544" s="1"/>
      <c r="GU2544" s="1"/>
      <c r="GV2544" s="1"/>
      <c r="GW2544" s="1"/>
      <c r="GX2544" s="1"/>
      <c r="GY2544" s="1"/>
      <c r="GZ2544" s="1"/>
      <c r="HA2544" s="1"/>
      <c r="HB2544" s="1"/>
      <c r="HC2544" s="1"/>
      <c r="HD2544" s="1"/>
      <c r="HE2544" s="1"/>
      <c r="HF2544" s="1"/>
      <c r="HG2544" s="1"/>
      <c r="HH2544" s="1"/>
      <c r="HI2544" s="1"/>
      <c r="HJ2544" s="1"/>
      <c r="HK2544" s="1"/>
      <c r="HL2544" s="1"/>
      <c r="HM2544" s="1"/>
      <c r="HN2544" s="1"/>
      <c r="HO2544" s="1"/>
      <c r="HP2544" s="1"/>
      <c r="HQ2544" s="1"/>
    </row>
    <row r="2545" spans="1:225" x14ac:dyDescent="0.35">
      <c r="A2545" s="307">
        <f>A2543+1</f>
        <v>9</v>
      </c>
      <c r="B2545" s="305">
        <v>6942</v>
      </c>
      <c r="C2545" s="259" t="s">
        <v>474</v>
      </c>
      <c r="D2545" s="262">
        <v>751.3</v>
      </c>
      <c r="E2545" s="262" t="s">
        <v>75</v>
      </c>
      <c r="F2545" s="265">
        <v>4</v>
      </c>
      <c r="G2545" s="256" t="s">
        <v>72</v>
      </c>
      <c r="H2545" s="159" t="s">
        <v>73</v>
      </c>
      <c r="I2545" s="158">
        <f>I2546+I2547</f>
        <v>2508816.09</v>
      </c>
      <c r="J2545" s="158">
        <f>J2546+J2547</f>
        <v>3339.3</v>
      </c>
      <c r="K2545" s="158">
        <f>K2546+K2547</f>
        <v>4728</v>
      </c>
      <c r="L2545" s="1"/>
      <c r="M2545" s="1"/>
      <c r="N2545" s="1"/>
      <c r="O2545" s="1"/>
      <c r="P2545" s="1"/>
      <c r="Q2545" s="1"/>
      <c r="R2545" s="1"/>
      <c r="S2545" s="1"/>
      <c r="T2545" s="1"/>
      <c r="U2545" s="1"/>
      <c r="V2545" s="1"/>
      <c r="W2545" s="1"/>
      <c r="X2545" s="1"/>
      <c r="Y2545" s="1"/>
      <c r="Z2545" s="1"/>
      <c r="AA2545" s="1"/>
      <c r="AB2545" s="1"/>
      <c r="AC2545" s="1"/>
      <c r="AD2545" s="1"/>
      <c r="AE2545" s="1"/>
      <c r="AF2545" s="1"/>
      <c r="AG2545" s="1"/>
      <c r="AH2545" s="1"/>
      <c r="AI2545" s="1"/>
      <c r="AJ2545" s="1"/>
      <c r="AK2545" s="1"/>
      <c r="AL2545" s="1"/>
      <c r="AM2545" s="1"/>
      <c r="AN2545" s="1"/>
      <c r="AO2545" s="1"/>
      <c r="AP2545" s="1"/>
      <c r="AQ2545" s="1"/>
      <c r="AR2545" s="1"/>
      <c r="AS2545" s="1"/>
      <c r="AT2545" s="1"/>
      <c r="AU2545" s="1"/>
      <c r="AV2545" s="1"/>
      <c r="AW2545" s="1"/>
      <c r="AX2545" s="1"/>
      <c r="AY2545" s="1"/>
      <c r="AZ2545" s="1"/>
      <c r="BA2545" s="1"/>
      <c r="BB2545" s="1"/>
      <c r="BC2545" s="1"/>
      <c r="BD2545" s="1"/>
      <c r="BE2545" s="1"/>
      <c r="BF2545" s="1"/>
      <c r="BG2545" s="1"/>
      <c r="BH2545" s="1"/>
      <c r="BI2545" s="1"/>
      <c r="BJ2545" s="1"/>
      <c r="BK2545" s="1"/>
      <c r="BL2545" s="1"/>
      <c r="BM2545" s="1"/>
      <c r="BN2545" s="1"/>
      <c r="BO2545" s="1"/>
      <c r="BP2545" s="1"/>
      <c r="BQ2545" s="1"/>
      <c r="BR2545" s="1"/>
      <c r="BS2545" s="1"/>
      <c r="BT2545" s="1"/>
      <c r="BU2545" s="1"/>
      <c r="BV2545" s="1"/>
      <c r="BW2545" s="1"/>
      <c r="BX2545" s="1"/>
      <c r="BY2545" s="1"/>
      <c r="BZ2545" s="1"/>
      <c r="CA2545" s="1"/>
      <c r="CB2545" s="1"/>
      <c r="CC2545" s="1"/>
      <c r="CD2545" s="1"/>
      <c r="CE2545" s="1"/>
      <c r="CF2545" s="1"/>
      <c r="CG2545" s="1"/>
      <c r="CH2545" s="1"/>
      <c r="CI2545" s="1"/>
      <c r="CJ2545" s="1"/>
      <c r="CK2545" s="1"/>
      <c r="CL2545" s="1"/>
      <c r="CM2545" s="1"/>
      <c r="CN2545" s="1"/>
      <c r="CO2545" s="1"/>
      <c r="CP2545" s="1"/>
      <c r="CQ2545" s="1"/>
      <c r="CR2545" s="1"/>
      <c r="CS2545" s="1"/>
      <c r="CT2545" s="1"/>
      <c r="CU2545" s="1"/>
      <c r="CV2545" s="1"/>
      <c r="CW2545" s="1"/>
      <c r="CX2545" s="1"/>
      <c r="CY2545" s="1"/>
      <c r="CZ2545" s="1"/>
      <c r="DA2545" s="1"/>
      <c r="DB2545" s="1"/>
      <c r="DC2545" s="1"/>
      <c r="DD2545" s="1"/>
      <c r="DE2545" s="1"/>
      <c r="DF2545" s="1"/>
      <c r="DG2545" s="1"/>
      <c r="DH2545" s="1"/>
      <c r="DI2545" s="1"/>
      <c r="DJ2545" s="1"/>
      <c r="DK2545" s="1"/>
      <c r="DL2545" s="1"/>
      <c r="DM2545" s="1"/>
      <c r="DN2545" s="1"/>
      <c r="DO2545" s="1"/>
      <c r="DP2545" s="1"/>
      <c r="DQ2545" s="1"/>
      <c r="DR2545" s="1"/>
      <c r="DS2545" s="1"/>
      <c r="DT2545" s="1"/>
      <c r="DU2545" s="1"/>
      <c r="DV2545" s="1"/>
      <c r="DW2545" s="1"/>
      <c r="DX2545" s="1"/>
      <c r="DY2545" s="1"/>
      <c r="DZ2545" s="1"/>
      <c r="EA2545" s="1"/>
      <c r="EB2545" s="1"/>
      <c r="EC2545" s="1"/>
      <c r="ED2545" s="1"/>
      <c r="EE2545" s="1"/>
      <c r="EF2545" s="1"/>
      <c r="EG2545" s="1"/>
      <c r="EH2545" s="1"/>
      <c r="EI2545" s="1"/>
      <c r="EJ2545" s="1"/>
      <c r="EK2545" s="1"/>
      <c r="EL2545" s="1"/>
      <c r="EM2545" s="1"/>
      <c r="EN2545" s="1"/>
      <c r="EO2545" s="1"/>
      <c r="EP2545" s="1"/>
      <c r="EQ2545" s="1"/>
      <c r="ER2545" s="1"/>
      <c r="ES2545" s="1"/>
      <c r="ET2545" s="1"/>
      <c r="EU2545" s="1"/>
      <c r="EV2545" s="1"/>
      <c r="EW2545" s="1"/>
      <c r="EX2545" s="1"/>
      <c r="EY2545" s="1"/>
      <c r="EZ2545" s="1"/>
      <c r="FA2545" s="1"/>
      <c r="FB2545" s="1"/>
      <c r="FC2545" s="1"/>
      <c r="FD2545" s="1"/>
      <c r="FE2545" s="1"/>
      <c r="FF2545" s="1"/>
      <c r="FG2545" s="1"/>
      <c r="FH2545" s="1"/>
      <c r="FI2545" s="1"/>
      <c r="FJ2545" s="1"/>
      <c r="FK2545" s="1"/>
      <c r="FL2545" s="1"/>
      <c r="FM2545" s="1"/>
      <c r="FN2545" s="1"/>
      <c r="FO2545" s="1"/>
      <c r="FP2545" s="1"/>
      <c r="FQ2545" s="1"/>
      <c r="FR2545" s="1"/>
      <c r="FS2545" s="1"/>
      <c r="FT2545" s="1"/>
      <c r="FU2545" s="1"/>
      <c r="FV2545" s="1"/>
      <c r="FW2545" s="1"/>
      <c r="FX2545" s="1"/>
      <c r="FY2545" s="1"/>
      <c r="FZ2545" s="1"/>
      <c r="GA2545" s="1"/>
      <c r="GB2545" s="1"/>
      <c r="GC2545" s="1"/>
      <c r="GD2545" s="1"/>
      <c r="GE2545" s="1"/>
      <c r="GF2545" s="1"/>
      <c r="GG2545" s="1"/>
      <c r="GH2545" s="1"/>
      <c r="GI2545" s="1"/>
      <c r="GJ2545" s="1"/>
      <c r="GK2545" s="1"/>
      <c r="GL2545" s="1"/>
      <c r="GM2545" s="1"/>
      <c r="GN2545" s="1"/>
      <c r="GO2545" s="1"/>
      <c r="GP2545" s="1"/>
      <c r="GQ2545" s="1"/>
      <c r="GR2545" s="1"/>
      <c r="GS2545" s="1"/>
      <c r="GT2545" s="1"/>
      <c r="GU2545" s="1"/>
      <c r="GV2545" s="1"/>
      <c r="GW2545" s="1"/>
      <c r="GX2545" s="1"/>
      <c r="GY2545" s="1"/>
      <c r="GZ2545" s="1"/>
      <c r="HA2545" s="1"/>
      <c r="HB2545" s="1"/>
      <c r="HC2545" s="1"/>
      <c r="HD2545" s="1"/>
      <c r="HE2545" s="1"/>
      <c r="HF2545" s="1"/>
      <c r="HG2545" s="1"/>
      <c r="HH2545" s="1"/>
      <c r="HI2545" s="1"/>
      <c r="HJ2545" s="1"/>
      <c r="HK2545" s="1"/>
      <c r="HL2545" s="1"/>
      <c r="HM2545" s="1"/>
      <c r="HN2545" s="1"/>
      <c r="HO2545" s="1"/>
      <c r="HP2545" s="1"/>
      <c r="HQ2545" s="1"/>
    </row>
    <row r="2546" spans="1:225" x14ac:dyDescent="0.35">
      <c r="A2546" s="306"/>
      <c r="B2546" s="306"/>
      <c r="C2546" s="260"/>
      <c r="D2546" s="263"/>
      <c r="E2546" s="263"/>
      <c r="F2546" s="266"/>
      <c r="G2546" s="257"/>
      <c r="H2546" s="163" t="s">
        <v>74</v>
      </c>
      <c r="I2546" s="219">
        <f>D2545*K2546*70/100</f>
        <v>2434437.39</v>
      </c>
      <c r="J2546" s="219">
        <f>I2546/D2545</f>
        <v>3240.3</v>
      </c>
      <c r="K2546" s="219">
        <v>4629</v>
      </c>
      <c r="L2546" s="1"/>
      <c r="M2546" s="1"/>
      <c r="N2546" s="1"/>
      <c r="O2546" s="1"/>
      <c r="P2546" s="1"/>
      <c r="Q2546" s="1"/>
      <c r="R2546" s="1"/>
      <c r="S2546" s="1"/>
      <c r="T2546" s="1"/>
      <c r="U2546" s="1"/>
      <c r="V2546" s="1"/>
      <c r="W2546" s="1"/>
      <c r="X2546" s="1"/>
      <c r="Y2546" s="1"/>
      <c r="Z2546" s="1"/>
      <c r="AA2546" s="1"/>
      <c r="AB2546" s="1"/>
      <c r="AC2546" s="1"/>
      <c r="AD2546" s="1"/>
      <c r="AE2546" s="1"/>
      <c r="AF2546" s="1"/>
      <c r="AG2546" s="1"/>
      <c r="AH2546" s="1"/>
      <c r="AI2546" s="1"/>
      <c r="AJ2546" s="1"/>
      <c r="AK2546" s="1"/>
      <c r="AL2546" s="1"/>
      <c r="AM2546" s="1"/>
      <c r="AN2546" s="1"/>
      <c r="AO2546" s="1"/>
      <c r="AP2546" s="1"/>
      <c r="AQ2546" s="1"/>
      <c r="AR2546" s="1"/>
      <c r="AS2546" s="1"/>
      <c r="AT2546" s="1"/>
      <c r="AU2546" s="1"/>
      <c r="AV2546" s="1"/>
      <c r="AW2546" s="1"/>
      <c r="AX2546" s="1"/>
      <c r="AY2546" s="1"/>
      <c r="AZ2546" s="1"/>
      <c r="BA2546" s="1"/>
      <c r="BB2546" s="1"/>
      <c r="BC2546" s="1"/>
      <c r="BD2546" s="1"/>
      <c r="BE2546" s="1"/>
      <c r="BF2546" s="1"/>
      <c r="BG2546" s="1"/>
      <c r="BH2546" s="1"/>
      <c r="BI2546" s="1"/>
      <c r="BJ2546" s="1"/>
      <c r="BK2546" s="1"/>
      <c r="BL2546" s="1"/>
      <c r="BM2546" s="1"/>
      <c r="BN2546" s="1"/>
      <c r="BO2546" s="1"/>
      <c r="BP2546" s="1"/>
      <c r="BQ2546" s="1"/>
      <c r="BR2546" s="1"/>
      <c r="BS2546" s="1"/>
      <c r="BT2546" s="1"/>
      <c r="BU2546" s="1"/>
      <c r="BV2546" s="1"/>
      <c r="BW2546" s="1"/>
      <c r="BX2546" s="1"/>
      <c r="BY2546" s="1"/>
      <c r="BZ2546" s="1"/>
      <c r="CA2546" s="1"/>
      <c r="CB2546" s="1"/>
      <c r="CC2546" s="1"/>
      <c r="CD2546" s="1"/>
      <c r="CE2546" s="1"/>
      <c r="CF2546" s="1"/>
      <c r="CG2546" s="1"/>
      <c r="CH2546" s="1"/>
      <c r="CI2546" s="1"/>
      <c r="CJ2546" s="1"/>
      <c r="CK2546" s="1"/>
      <c r="CL2546" s="1"/>
      <c r="CM2546" s="1"/>
      <c r="CN2546" s="1"/>
      <c r="CO2546" s="1"/>
      <c r="CP2546" s="1"/>
      <c r="CQ2546" s="1"/>
      <c r="CR2546" s="1"/>
      <c r="CS2546" s="1"/>
      <c r="CT2546" s="1"/>
      <c r="CU2546" s="1"/>
      <c r="CV2546" s="1"/>
      <c r="CW2546" s="1"/>
      <c r="CX2546" s="1"/>
      <c r="CY2546" s="1"/>
      <c r="CZ2546" s="1"/>
      <c r="DA2546" s="1"/>
      <c r="DB2546" s="1"/>
      <c r="DC2546" s="1"/>
      <c r="DD2546" s="1"/>
      <c r="DE2546" s="1"/>
      <c r="DF2546" s="1"/>
      <c r="DG2546" s="1"/>
      <c r="DH2546" s="1"/>
      <c r="DI2546" s="1"/>
      <c r="DJ2546" s="1"/>
      <c r="DK2546" s="1"/>
      <c r="DL2546" s="1"/>
      <c r="DM2546" s="1"/>
      <c r="DN2546" s="1"/>
      <c r="DO2546" s="1"/>
      <c r="DP2546" s="1"/>
      <c r="DQ2546" s="1"/>
      <c r="DR2546" s="1"/>
      <c r="DS2546" s="1"/>
      <c r="DT2546" s="1"/>
      <c r="DU2546" s="1"/>
      <c r="DV2546" s="1"/>
      <c r="DW2546" s="1"/>
      <c r="DX2546" s="1"/>
      <c r="DY2546" s="1"/>
      <c r="DZ2546" s="1"/>
      <c r="EA2546" s="1"/>
      <c r="EB2546" s="1"/>
      <c r="EC2546" s="1"/>
      <c r="ED2546" s="1"/>
      <c r="EE2546" s="1"/>
      <c r="EF2546" s="1"/>
      <c r="EG2546" s="1"/>
      <c r="EH2546" s="1"/>
      <c r="EI2546" s="1"/>
      <c r="EJ2546" s="1"/>
      <c r="EK2546" s="1"/>
      <c r="EL2546" s="1"/>
      <c r="EM2546" s="1"/>
      <c r="EN2546" s="1"/>
      <c r="EO2546" s="1"/>
      <c r="EP2546" s="1"/>
      <c r="EQ2546" s="1"/>
      <c r="ER2546" s="1"/>
      <c r="ES2546" s="1"/>
      <c r="ET2546" s="1"/>
      <c r="EU2546" s="1"/>
      <c r="EV2546" s="1"/>
      <c r="EW2546" s="1"/>
      <c r="EX2546" s="1"/>
      <c r="EY2546" s="1"/>
      <c r="EZ2546" s="1"/>
      <c r="FA2546" s="1"/>
      <c r="FB2546" s="1"/>
      <c r="FC2546" s="1"/>
      <c r="FD2546" s="1"/>
      <c r="FE2546" s="1"/>
      <c r="FF2546" s="1"/>
      <c r="FG2546" s="1"/>
      <c r="FH2546" s="1"/>
      <c r="FI2546" s="1"/>
      <c r="FJ2546" s="1"/>
      <c r="FK2546" s="1"/>
      <c r="FL2546" s="1"/>
      <c r="FM2546" s="1"/>
      <c r="FN2546" s="1"/>
      <c r="FO2546" s="1"/>
      <c r="FP2546" s="1"/>
      <c r="FQ2546" s="1"/>
      <c r="FR2546" s="1"/>
      <c r="FS2546" s="1"/>
      <c r="FT2546" s="1"/>
      <c r="FU2546" s="1"/>
      <c r="FV2546" s="1"/>
      <c r="FW2546" s="1"/>
      <c r="FX2546" s="1"/>
      <c r="FY2546" s="1"/>
      <c r="FZ2546" s="1"/>
      <c r="GA2546" s="1"/>
      <c r="GB2546" s="1"/>
      <c r="GC2546" s="1"/>
      <c r="GD2546" s="1"/>
      <c r="GE2546" s="1"/>
      <c r="GF2546" s="1"/>
      <c r="GG2546" s="1"/>
      <c r="GH2546" s="1"/>
      <c r="GI2546" s="1"/>
      <c r="GJ2546" s="1"/>
      <c r="GK2546" s="1"/>
      <c r="GL2546" s="1"/>
      <c r="GM2546" s="1"/>
      <c r="GN2546" s="1"/>
      <c r="GO2546" s="1"/>
      <c r="GP2546" s="1"/>
      <c r="GQ2546" s="1"/>
      <c r="GR2546" s="1"/>
      <c r="GS2546" s="1"/>
      <c r="GT2546" s="1"/>
      <c r="GU2546" s="1"/>
      <c r="GV2546" s="1"/>
      <c r="GW2546" s="1"/>
      <c r="GX2546" s="1"/>
      <c r="GY2546" s="1"/>
      <c r="GZ2546" s="1"/>
      <c r="HA2546" s="1"/>
      <c r="HB2546" s="1"/>
      <c r="HC2546" s="1"/>
      <c r="HD2546" s="1"/>
      <c r="HE2546" s="1"/>
      <c r="HF2546" s="1"/>
      <c r="HG2546" s="1"/>
      <c r="HH2546" s="1"/>
      <c r="HI2546" s="1"/>
      <c r="HJ2546" s="1"/>
      <c r="HK2546" s="1"/>
      <c r="HL2546" s="1"/>
      <c r="HM2546" s="1"/>
      <c r="HN2546" s="1"/>
      <c r="HO2546" s="1"/>
      <c r="HP2546" s="1"/>
      <c r="HQ2546" s="1"/>
    </row>
    <row r="2547" spans="1:225" x14ac:dyDescent="0.35">
      <c r="A2547" s="321"/>
      <c r="B2547" s="321"/>
      <c r="C2547" s="261"/>
      <c r="D2547" s="264"/>
      <c r="E2547" s="264"/>
      <c r="F2547" s="267"/>
      <c r="G2547" s="258"/>
      <c r="H2547" s="163" t="s">
        <v>76</v>
      </c>
      <c r="I2547" s="219">
        <f>D2545*K2547</f>
        <v>74378.7</v>
      </c>
      <c r="J2547" s="219">
        <f>I2547/D2545</f>
        <v>99</v>
      </c>
      <c r="K2547" s="219">
        <v>99</v>
      </c>
      <c r="L2547" s="1"/>
      <c r="M2547" s="1"/>
      <c r="N2547" s="1"/>
      <c r="O2547" s="1"/>
      <c r="P2547" s="1"/>
      <c r="Q2547" s="1"/>
      <c r="R2547" s="1"/>
      <c r="S2547" s="1"/>
      <c r="T2547" s="1"/>
      <c r="U2547" s="1"/>
      <c r="V2547" s="1"/>
      <c r="W2547" s="1"/>
      <c r="X2547" s="1"/>
      <c r="Y2547" s="1"/>
      <c r="Z2547" s="1"/>
      <c r="AA2547" s="1"/>
      <c r="AB2547" s="1"/>
      <c r="AC2547" s="1"/>
      <c r="AD2547" s="1"/>
      <c r="AE2547" s="1"/>
      <c r="AF2547" s="1"/>
      <c r="AG2547" s="1"/>
      <c r="AH2547" s="1"/>
      <c r="AI2547" s="1"/>
      <c r="AJ2547" s="1"/>
      <c r="AK2547" s="1"/>
      <c r="AL2547" s="1"/>
      <c r="AM2547" s="1"/>
      <c r="AN2547" s="1"/>
      <c r="AO2547" s="1"/>
      <c r="AP2547" s="1"/>
      <c r="AQ2547" s="1"/>
      <c r="AR2547" s="1"/>
      <c r="AS2547" s="1"/>
      <c r="AT2547" s="1"/>
      <c r="AU2547" s="1"/>
      <c r="AV2547" s="1"/>
      <c r="AW2547" s="1"/>
      <c r="AX2547" s="1"/>
      <c r="AY2547" s="1"/>
      <c r="AZ2547" s="1"/>
      <c r="BA2547" s="1"/>
      <c r="BB2547" s="1"/>
      <c r="BC2547" s="1"/>
      <c r="BD2547" s="1"/>
      <c r="BE2547" s="1"/>
      <c r="BF2547" s="1"/>
      <c r="BG2547" s="1"/>
      <c r="BH2547" s="1"/>
      <c r="BI2547" s="1"/>
      <c r="BJ2547" s="1"/>
      <c r="BK2547" s="1"/>
      <c r="BL2547" s="1"/>
      <c r="BM2547" s="1"/>
      <c r="BN2547" s="1"/>
      <c r="BO2547" s="1"/>
      <c r="BP2547" s="1"/>
      <c r="BQ2547" s="1"/>
      <c r="BR2547" s="1"/>
      <c r="BS2547" s="1"/>
      <c r="BT2547" s="1"/>
      <c r="BU2547" s="1"/>
      <c r="BV2547" s="1"/>
      <c r="BW2547" s="1"/>
      <c r="BX2547" s="1"/>
      <c r="BY2547" s="1"/>
      <c r="BZ2547" s="1"/>
      <c r="CA2547" s="1"/>
      <c r="CB2547" s="1"/>
      <c r="CC2547" s="1"/>
      <c r="CD2547" s="1"/>
      <c r="CE2547" s="1"/>
      <c r="CF2547" s="1"/>
      <c r="CG2547" s="1"/>
      <c r="CH2547" s="1"/>
      <c r="CI2547" s="1"/>
      <c r="CJ2547" s="1"/>
      <c r="CK2547" s="1"/>
      <c r="CL2547" s="1"/>
      <c r="CM2547" s="1"/>
      <c r="CN2547" s="1"/>
      <c r="CO2547" s="1"/>
      <c r="CP2547" s="1"/>
      <c r="CQ2547" s="1"/>
      <c r="CR2547" s="1"/>
      <c r="CS2547" s="1"/>
      <c r="CT2547" s="1"/>
      <c r="CU2547" s="1"/>
      <c r="CV2547" s="1"/>
      <c r="CW2547" s="1"/>
      <c r="CX2547" s="1"/>
      <c r="CY2547" s="1"/>
      <c r="CZ2547" s="1"/>
      <c r="DA2547" s="1"/>
      <c r="DB2547" s="1"/>
      <c r="DC2547" s="1"/>
      <c r="DD2547" s="1"/>
      <c r="DE2547" s="1"/>
      <c r="DF2547" s="1"/>
      <c r="DG2547" s="1"/>
      <c r="DH2547" s="1"/>
      <c r="DI2547" s="1"/>
      <c r="DJ2547" s="1"/>
      <c r="DK2547" s="1"/>
      <c r="DL2547" s="1"/>
      <c r="DM2547" s="1"/>
      <c r="DN2547" s="1"/>
      <c r="DO2547" s="1"/>
      <c r="DP2547" s="1"/>
      <c r="DQ2547" s="1"/>
      <c r="DR2547" s="1"/>
      <c r="DS2547" s="1"/>
      <c r="DT2547" s="1"/>
      <c r="DU2547" s="1"/>
      <c r="DV2547" s="1"/>
      <c r="DW2547" s="1"/>
      <c r="DX2547" s="1"/>
      <c r="DY2547" s="1"/>
      <c r="DZ2547" s="1"/>
      <c r="EA2547" s="1"/>
      <c r="EB2547" s="1"/>
      <c r="EC2547" s="1"/>
      <c r="ED2547" s="1"/>
      <c r="EE2547" s="1"/>
      <c r="EF2547" s="1"/>
      <c r="EG2547" s="1"/>
      <c r="EH2547" s="1"/>
      <c r="EI2547" s="1"/>
      <c r="EJ2547" s="1"/>
      <c r="EK2547" s="1"/>
      <c r="EL2547" s="1"/>
      <c r="EM2547" s="1"/>
      <c r="EN2547" s="1"/>
      <c r="EO2547" s="1"/>
      <c r="EP2547" s="1"/>
      <c r="EQ2547" s="1"/>
      <c r="ER2547" s="1"/>
      <c r="ES2547" s="1"/>
      <c r="ET2547" s="1"/>
      <c r="EU2547" s="1"/>
      <c r="EV2547" s="1"/>
      <c r="EW2547" s="1"/>
      <c r="EX2547" s="1"/>
      <c r="EY2547" s="1"/>
      <c r="EZ2547" s="1"/>
      <c r="FA2547" s="1"/>
      <c r="FB2547" s="1"/>
      <c r="FC2547" s="1"/>
      <c r="FD2547" s="1"/>
      <c r="FE2547" s="1"/>
      <c r="FF2547" s="1"/>
      <c r="FG2547" s="1"/>
      <c r="FH2547" s="1"/>
      <c r="FI2547" s="1"/>
      <c r="FJ2547" s="1"/>
      <c r="FK2547" s="1"/>
      <c r="FL2547" s="1"/>
      <c r="FM2547" s="1"/>
      <c r="FN2547" s="1"/>
      <c r="FO2547" s="1"/>
      <c r="FP2547" s="1"/>
      <c r="FQ2547" s="1"/>
      <c r="FR2547" s="1"/>
      <c r="FS2547" s="1"/>
      <c r="FT2547" s="1"/>
      <c r="FU2547" s="1"/>
      <c r="FV2547" s="1"/>
      <c r="FW2547" s="1"/>
      <c r="FX2547" s="1"/>
      <c r="FY2547" s="1"/>
      <c r="FZ2547" s="1"/>
      <c r="GA2547" s="1"/>
      <c r="GB2547" s="1"/>
      <c r="GC2547" s="1"/>
      <c r="GD2547" s="1"/>
      <c r="GE2547" s="1"/>
      <c r="GF2547" s="1"/>
      <c r="GG2547" s="1"/>
      <c r="GH2547" s="1"/>
      <c r="GI2547" s="1"/>
      <c r="GJ2547" s="1"/>
      <c r="GK2547" s="1"/>
      <c r="GL2547" s="1"/>
      <c r="GM2547" s="1"/>
      <c r="GN2547" s="1"/>
      <c r="GO2547" s="1"/>
      <c r="GP2547" s="1"/>
      <c r="GQ2547" s="1"/>
      <c r="GR2547" s="1"/>
      <c r="GS2547" s="1"/>
      <c r="GT2547" s="1"/>
      <c r="GU2547" s="1"/>
      <c r="GV2547" s="1"/>
      <c r="GW2547" s="1"/>
      <c r="GX2547" s="1"/>
      <c r="GY2547" s="1"/>
      <c r="GZ2547" s="1"/>
      <c r="HA2547" s="1"/>
      <c r="HB2547" s="1"/>
      <c r="HC2547" s="1"/>
      <c r="HD2547" s="1"/>
      <c r="HE2547" s="1"/>
      <c r="HF2547" s="1"/>
      <c r="HG2547" s="1"/>
      <c r="HH2547" s="1"/>
      <c r="HI2547" s="1"/>
      <c r="HJ2547" s="1"/>
      <c r="HK2547" s="1"/>
      <c r="HL2547" s="1"/>
      <c r="HM2547" s="1"/>
      <c r="HN2547" s="1"/>
      <c r="HO2547" s="1"/>
      <c r="HP2547" s="1"/>
      <c r="HQ2547" s="1"/>
    </row>
    <row r="2548" spans="1:225" ht="15.75" customHeight="1" x14ac:dyDescent="0.35">
      <c r="A2548" s="307">
        <f>A2545+1</f>
        <v>10</v>
      </c>
      <c r="B2548" s="305">
        <v>6834</v>
      </c>
      <c r="C2548" s="288" t="s">
        <v>644</v>
      </c>
      <c r="D2548" s="262">
        <v>341.7</v>
      </c>
      <c r="E2548" s="262" t="s">
        <v>75</v>
      </c>
      <c r="F2548" s="265">
        <v>2</v>
      </c>
      <c r="G2548" s="256" t="s">
        <v>72</v>
      </c>
      <c r="H2548" s="163" t="s">
        <v>73</v>
      </c>
      <c r="I2548" s="219">
        <f>I2549</f>
        <v>56038.8</v>
      </c>
      <c r="J2548" s="219">
        <f>J2549</f>
        <v>164</v>
      </c>
      <c r="K2548" s="219">
        <f>K2549</f>
        <v>164</v>
      </c>
      <c r="L2548" s="1"/>
      <c r="M2548" s="1"/>
      <c r="N2548" s="1"/>
      <c r="O2548" s="1"/>
      <c r="P2548" s="1"/>
      <c r="Q2548" s="1"/>
      <c r="R2548" s="1"/>
      <c r="S2548" s="1"/>
      <c r="T2548" s="1"/>
      <c r="U2548" s="1"/>
      <c r="V2548" s="1"/>
      <c r="W2548" s="1"/>
      <c r="X2548" s="1"/>
      <c r="Y2548" s="1"/>
      <c r="Z2548" s="1"/>
      <c r="AA2548" s="1"/>
      <c r="AB2548" s="1"/>
      <c r="AC2548" s="1"/>
      <c r="AD2548" s="1"/>
      <c r="AE2548" s="1"/>
      <c r="AF2548" s="1"/>
      <c r="AG2548" s="1"/>
      <c r="AH2548" s="1"/>
      <c r="AI2548" s="1"/>
      <c r="AJ2548" s="1"/>
      <c r="AK2548" s="1"/>
      <c r="AL2548" s="1"/>
      <c r="AM2548" s="1"/>
      <c r="AN2548" s="1"/>
      <c r="AO2548" s="1"/>
      <c r="AP2548" s="1"/>
      <c r="AQ2548" s="1"/>
      <c r="AR2548" s="1"/>
      <c r="AS2548" s="1"/>
      <c r="AT2548" s="1"/>
      <c r="AU2548" s="1"/>
      <c r="AV2548" s="1"/>
      <c r="AW2548" s="1"/>
      <c r="AX2548" s="1"/>
      <c r="AY2548" s="1"/>
      <c r="AZ2548" s="1"/>
      <c r="BA2548" s="1"/>
      <c r="BB2548" s="1"/>
      <c r="BC2548" s="1"/>
      <c r="BD2548" s="1"/>
      <c r="BE2548" s="1"/>
      <c r="BF2548" s="1"/>
      <c r="BG2548" s="1"/>
      <c r="BH2548" s="1"/>
      <c r="BI2548" s="1"/>
      <c r="BJ2548" s="1"/>
      <c r="BK2548" s="1"/>
      <c r="BL2548" s="1"/>
      <c r="BM2548" s="1"/>
      <c r="BN2548" s="1"/>
      <c r="BO2548" s="1"/>
      <c r="BP2548" s="1"/>
      <c r="BQ2548" s="1"/>
      <c r="BR2548" s="1"/>
      <c r="BS2548" s="1"/>
      <c r="BT2548" s="1"/>
      <c r="BU2548" s="1"/>
      <c r="BV2548" s="1"/>
      <c r="BW2548" s="1"/>
      <c r="BX2548" s="1"/>
      <c r="BY2548" s="1"/>
      <c r="BZ2548" s="1"/>
      <c r="CA2548" s="1"/>
      <c r="CB2548" s="1"/>
      <c r="CC2548" s="1"/>
      <c r="CD2548" s="1"/>
      <c r="CE2548" s="1"/>
      <c r="CF2548" s="1"/>
      <c r="CG2548" s="1"/>
      <c r="CH2548" s="1"/>
      <c r="CI2548" s="1"/>
      <c r="CJ2548" s="1"/>
      <c r="CK2548" s="1"/>
      <c r="CL2548" s="1"/>
      <c r="CM2548" s="1"/>
      <c r="CN2548" s="1"/>
      <c r="CO2548" s="1"/>
      <c r="CP2548" s="1"/>
      <c r="CQ2548" s="1"/>
      <c r="CR2548" s="1"/>
      <c r="CS2548" s="1"/>
      <c r="CT2548" s="1"/>
      <c r="CU2548" s="1"/>
      <c r="CV2548" s="1"/>
      <c r="CW2548" s="1"/>
      <c r="CX2548" s="1"/>
      <c r="CY2548" s="1"/>
      <c r="CZ2548" s="1"/>
      <c r="DA2548" s="1"/>
      <c r="DB2548" s="1"/>
      <c r="DC2548" s="1"/>
      <c r="DD2548" s="1"/>
      <c r="DE2548" s="1"/>
      <c r="DF2548" s="1"/>
      <c r="DG2548" s="1"/>
      <c r="DH2548" s="1"/>
      <c r="DI2548" s="1"/>
      <c r="DJ2548" s="1"/>
      <c r="DK2548" s="1"/>
      <c r="DL2548" s="1"/>
      <c r="DM2548" s="1"/>
      <c r="DN2548" s="1"/>
      <c r="DO2548" s="1"/>
      <c r="DP2548" s="1"/>
      <c r="DQ2548" s="1"/>
      <c r="DR2548" s="1"/>
      <c r="DS2548" s="1"/>
      <c r="DT2548" s="1"/>
      <c r="DU2548" s="1"/>
      <c r="DV2548" s="1"/>
      <c r="DW2548" s="1"/>
      <c r="DX2548" s="1"/>
      <c r="DY2548" s="1"/>
      <c r="DZ2548" s="1"/>
      <c r="EA2548" s="1"/>
      <c r="EB2548" s="1"/>
      <c r="EC2548" s="1"/>
      <c r="ED2548" s="1"/>
      <c r="EE2548" s="1"/>
      <c r="EF2548" s="1"/>
      <c r="EG2548" s="1"/>
      <c r="EH2548" s="1"/>
      <c r="EI2548" s="1"/>
      <c r="EJ2548" s="1"/>
      <c r="EK2548" s="1"/>
      <c r="EL2548" s="1"/>
      <c r="EM2548" s="1"/>
      <c r="EN2548" s="1"/>
      <c r="EO2548" s="1"/>
      <c r="EP2548" s="1"/>
      <c r="EQ2548" s="1"/>
      <c r="ER2548" s="1"/>
      <c r="ES2548" s="1"/>
      <c r="ET2548" s="1"/>
      <c r="EU2548" s="1"/>
      <c r="EV2548" s="1"/>
      <c r="EW2548" s="1"/>
      <c r="EX2548" s="1"/>
      <c r="EY2548" s="1"/>
      <c r="EZ2548" s="1"/>
      <c r="FA2548" s="1"/>
      <c r="FB2548" s="1"/>
      <c r="FC2548" s="1"/>
      <c r="FD2548" s="1"/>
      <c r="FE2548" s="1"/>
      <c r="FF2548" s="1"/>
      <c r="FG2548" s="1"/>
      <c r="FH2548" s="1"/>
      <c r="FI2548" s="1"/>
      <c r="FJ2548" s="1"/>
      <c r="FK2548" s="1"/>
      <c r="FL2548" s="1"/>
      <c r="FM2548" s="1"/>
      <c r="FN2548" s="1"/>
      <c r="FO2548" s="1"/>
      <c r="FP2548" s="1"/>
      <c r="FQ2548" s="1"/>
      <c r="FR2548" s="1"/>
      <c r="FS2548" s="1"/>
      <c r="FT2548" s="1"/>
      <c r="FU2548" s="1"/>
      <c r="FV2548" s="1"/>
      <c r="FW2548" s="1"/>
      <c r="FX2548" s="1"/>
      <c r="FY2548" s="1"/>
      <c r="FZ2548" s="1"/>
      <c r="GA2548" s="1"/>
      <c r="GB2548" s="1"/>
      <c r="GC2548" s="1"/>
      <c r="GD2548" s="1"/>
      <c r="GE2548" s="1"/>
      <c r="GF2548" s="1"/>
      <c r="GG2548" s="1"/>
      <c r="GH2548" s="1"/>
      <c r="GI2548" s="1"/>
      <c r="GJ2548" s="1"/>
      <c r="GK2548" s="1"/>
      <c r="GL2548" s="1"/>
      <c r="GM2548" s="1"/>
      <c r="GN2548" s="1"/>
      <c r="GO2548" s="1"/>
      <c r="GP2548" s="1"/>
      <c r="GQ2548" s="1"/>
      <c r="GR2548" s="1"/>
      <c r="GS2548" s="1"/>
      <c r="GT2548" s="1"/>
      <c r="GU2548" s="1"/>
      <c r="GV2548" s="1"/>
      <c r="GW2548" s="1"/>
      <c r="GX2548" s="1"/>
      <c r="GY2548" s="1"/>
      <c r="GZ2548" s="1"/>
      <c r="HA2548" s="1"/>
      <c r="HB2548" s="1"/>
      <c r="HC2548" s="1"/>
      <c r="HD2548" s="1"/>
      <c r="HE2548" s="1"/>
      <c r="HF2548" s="1"/>
      <c r="HG2548" s="1"/>
      <c r="HH2548" s="1"/>
      <c r="HI2548" s="1"/>
      <c r="HJ2548" s="1"/>
      <c r="HK2548" s="1"/>
      <c r="HL2548" s="1"/>
      <c r="HM2548" s="1"/>
      <c r="HN2548" s="1"/>
      <c r="HO2548" s="1"/>
      <c r="HP2548" s="1"/>
      <c r="HQ2548" s="1"/>
    </row>
    <row r="2549" spans="1:225" ht="46.5" x14ac:dyDescent="0.35">
      <c r="A2549" s="306"/>
      <c r="B2549" s="306"/>
      <c r="C2549" s="290"/>
      <c r="D2549" s="263"/>
      <c r="E2549" s="263"/>
      <c r="F2549" s="266"/>
      <c r="G2549" s="257"/>
      <c r="H2549" s="159" t="s">
        <v>705</v>
      </c>
      <c r="I2549" s="219">
        <f>D2548*K2549</f>
        <v>56038.8</v>
      </c>
      <c r="J2549" s="219">
        <f>I2549/D2548</f>
        <v>164</v>
      </c>
      <c r="K2549" s="219">
        <f>151+13</f>
        <v>164</v>
      </c>
      <c r="L2549" s="1"/>
      <c r="M2549" s="1"/>
      <c r="N2549" s="1"/>
      <c r="O2549" s="1"/>
      <c r="P2549" s="1"/>
      <c r="Q2549" s="1"/>
      <c r="R2549" s="1"/>
      <c r="S2549" s="1"/>
      <c r="T2549" s="1"/>
      <c r="U2549" s="1"/>
      <c r="V2549" s="1"/>
      <c r="W2549" s="1"/>
      <c r="X2549" s="1"/>
      <c r="Y2549" s="1"/>
      <c r="Z2549" s="1"/>
      <c r="AA2549" s="1"/>
      <c r="AB2549" s="1"/>
      <c r="AC2549" s="1"/>
      <c r="AD2549" s="1"/>
      <c r="AE2549" s="1"/>
      <c r="AF2549" s="1"/>
      <c r="AG2549" s="1"/>
      <c r="AH2549" s="1"/>
      <c r="AI2549" s="1"/>
      <c r="AJ2549" s="1"/>
      <c r="AK2549" s="1"/>
      <c r="AL2549" s="1"/>
      <c r="AM2549" s="1"/>
      <c r="AN2549" s="1"/>
      <c r="AO2549" s="1"/>
      <c r="AP2549" s="1"/>
      <c r="AQ2549" s="1"/>
      <c r="AR2549" s="1"/>
      <c r="AS2549" s="1"/>
      <c r="AT2549" s="1"/>
      <c r="AU2549" s="1"/>
      <c r="AV2549" s="1"/>
      <c r="AW2549" s="1"/>
      <c r="AX2549" s="1"/>
      <c r="AY2549" s="1"/>
      <c r="AZ2549" s="1"/>
      <c r="BA2549" s="1"/>
      <c r="BB2549" s="1"/>
      <c r="BC2549" s="1"/>
      <c r="BD2549" s="1"/>
      <c r="BE2549" s="1"/>
      <c r="BF2549" s="1"/>
      <c r="BG2549" s="1"/>
      <c r="BH2549" s="1"/>
      <c r="BI2549" s="1"/>
      <c r="BJ2549" s="1"/>
      <c r="BK2549" s="1"/>
      <c r="BL2549" s="1"/>
      <c r="BM2549" s="1"/>
      <c r="BN2549" s="1"/>
      <c r="BO2549" s="1"/>
      <c r="BP2549" s="1"/>
      <c r="BQ2549" s="1"/>
      <c r="BR2549" s="1"/>
      <c r="BS2549" s="1"/>
      <c r="BT2549" s="1"/>
      <c r="BU2549" s="1"/>
      <c r="BV2549" s="1"/>
      <c r="BW2549" s="1"/>
      <c r="BX2549" s="1"/>
      <c r="BY2549" s="1"/>
      <c r="BZ2549" s="1"/>
      <c r="CA2549" s="1"/>
      <c r="CB2549" s="1"/>
      <c r="CC2549" s="1"/>
      <c r="CD2549" s="1"/>
      <c r="CE2549" s="1"/>
      <c r="CF2549" s="1"/>
      <c r="CG2549" s="1"/>
      <c r="CH2549" s="1"/>
      <c r="CI2549" s="1"/>
      <c r="CJ2549" s="1"/>
      <c r="CK2549" s="1"/>
      <c r="CL2549" s="1"/>
      <c r="CM2549" s="1"/>
      <c r="CN2549" s="1"/>
      <c r="CO2549" s="1"/>
      <c r="CP2549" s="1"/>
      <c r="CQ2549" s="1"/>
      <c r="CR2549" s="1"/>
      <c r="CS2549" s="1"/>
      <c r="CT2549" s="1"/>
      <c r="CU2549" s="1"/>
      <c r="CV2549" s="1"/>
      <c r="CW2549" s="1"/>
      <c r="CX2549" s="1"/>
      <c r="CY2549" s="1"/>
      <c r="CZ2549" s="1"/>
      <c r="DA2549" s="1"/>
      <c r="DB2549" s="1"/>
      <c r="DC2549" s="1"/>
      <c r="DD2549" s="1"/>
      <c r="DE2549" s="1"/>
      <c r="DF2549" s="1"/>
      <c r="DG2549" s="1"/>
      <c r="DH2549" s="1"/>
      <c r="DI2549" s="1"/>
      <c r="DJ2549" s="1"/>
      <c r="DK2549" s="1"/>
      <c r="DL2549" s="1"/>
      <c r="DM2549" s="1"/>
      <c r="DN2549" s="1"/>
      <c r="DO2549" s="1"/>
      <c r="DP2549" s="1"/>
      <c r="DQ2549" s="1"/>
      <c r="DR2549" s="1"/>
      <c r="DS2549" s="1"/>
      <c r="DT2549" s="1"/>
      <c r="DU2549" s="1"/>
      <c r="DV2549" s="1"/>
      <c r="DW2549" s="1"/>
      <c r="DX2549" s="1"/>
      <c r="DY2549" s="1"/>
      <c r="DZ2549" s="1"/>
      <c r="EA2549" s="1"/>
      <c r="EB2549" s="1"/>
      <c r="EC2549" s="1"/>
      <c r="ED2549" s="1"/>
      <c r="EE2549" s="1"/>
      <c r="EF2549" s="1"/>
      <c r="EG2549" s="1"/>
      <c r="EH2549" s="1"/>
      <c r="EI2549" s="1"/>
      <c r="EJ2549" s="1"/>
      <c r="EK2549" s="1"/>
      <c r="EL2549" s="1"/>
      <c r="EM2549" s="1"/>
      <c r="EN2549" s="1"/>
      <c r="EO2549" s="1"/>
      <c r="EP2549" s="1"/>
      <c r="EQ2549" s="1"/>
      <c r="ER2549" s="1"/>
      <c r="ES2549" s="1"/>
      <c r="ET2549" s="1"/>
      <c r="EU2549" s="1"/>
      <c r="EV2549" s="1"/>
      <c r="EW2549" s="1"/>
      <c r="EX2549" s="1"/>
      <c r="EY2549" s="1"/>
      <c r="EZ2549" s="1"/>
      <c r="FA2549" s="1"/>
      <c r="FB2549" s="1"/>
      <c r="FC2549" s="1"/>
      <c r="FD2549" s="1"/>
      <c r="FE2549" s="1"/>
      <c r="FF2549" s="1"/>
      <c r="FG2549" s="1"/>
      <c r="FH2549" s="1"/>
      <c r="FI2549" s="1"/>
      <c r="FJ2549" s="1"/>
      <c r="FK2549" s="1"/>
      <c r="FL2549" s="1"/>
      <c r="FM2549" s="1"/>
      <c r="FN2549" s="1"/>
      <c r="FO2549" s="1"/>
      <c r="FP2549" s="1"/>
      <c r="FQ2549" s="1"/>
      <c r="FR2549" s="1"/>
      <c r="FS2549" s="1"/>
      <c r="FT2549" s="1"/>
      <c r="FU2549" s="1"/>
      <c r="FV2549" s="1"/>
      <c r="FW2549" s="1"/>
      <c r="FX2549" s="1"/>
      <c r="FY2549" s="1"/>
      <c r="FZ2549" s="1"/>
      <c r="GA2549" s="1"/>
      <c r="GB2549" s="1"/>
      <c r="GC2549" s="1"/>
      <c r="GD2549" s="1"/>
      <c r="GE2549" s="1"/>
      <c r="GF2549" s="1"/>
      <c r="GG2549" s="1"/>
      <c r="GH2549" s="1"/>
      <c r="GI2549" s="1"/>
      <c r="GJ2549" s="1"/>
      <c r="GK2549" s="1"/>
      <c r="GL2549" s="1"/>
      <c r="GM2549" s="1"/>
      <c r="GN2549" s="1"/>
      <c r="GO2549" s="1"/>
      <c r="GP2549" s="1"/>
      <c r="GQ2549" s="1"/>
      <c r="GR2549" s="1"/>
      <c r="GS2549" s="1"/>
      <c r="GT2549" s="1"/>
      <c r="GU2549" s="1"/>
      <c r="GV2549" s="1"/>
      <c r="GW2549" s="1"/>
      <c r="GX2549" s="1"/>
      <c r="GY2549" s="1"/>
      <c r="GZ2549" s="1"/>
      <c r="HA2549" s="1"/>
      <c r="HB2549" s="1"/>
      <c r="HC2549" s="1"/>
      <c r="HD2549" s="1"/>
      <c r="HE2549" s="1"/>
      <c r="HF2549" s="1"/>
      <c r="HG2549" s="1"/>
      <c r="HH2549" s="1"/>
      <c r="HI2549" s="1"/>
      <c r="HJ2549" s="1"/>
      <c r="HK2549" s="1"/>
      <c r="HL2549" s="1"/>
      <c r="HM2549" s="1"/>
      <c r="HN2549" s="1"/>
      <c r="HO2549" s="1"/>
      <c r="HP2549" s="1"/>
      <c r="HQ2549" s="1"/>
    </row>
    <row r="2550" spans="1:225" ht="15.75" customHeight="1" x14ac:dyDescent="0.35">
      <c r="A2550" s="307">
        <f>A2548+1</f>
        <v>11</v>
      </c>
      <c r="B2550" s="305">
        <v>6835</v>
      </c>
      <c r="C2550" s="288" t="s">
        <v>645</v>
      </c>
      <c r="D2550" s="262">
        <v>356.8</v>
      </c>
      <c r="E2550" s="262" t="s">
        <v>75</v>
      </c>
      <c r="F2550" s="265">
        <v>2</v>
      </c>
      <c r="G2550" s="256" t="s">
        <v>72</v>
      </c>
      <c r="H2550" s="163" t="s">
        <v>73</v>
      </c>
      <c r="I2550" s="219">
        <f>I2551</f>
        <v>58515.199999999997</v>
      </c>
      <c r="J2550" s="219">
        <f>J2551</f>
        <v>164</v>
      </c>
      <c r="K2550" s="219">
        <f>K2551</f>
        <v>164</v>
      </c>
      <c r="L2550" s="1"/>
      <c r="M2550" s="1"/>
      <c r="N2550" s="1"/>
      <c r="O2550" s="1"/>
      <c r="P2550" s="1"/>
      <c r="Q2550" s="1"/>
      <c r="R2550" s="1"/>
      <c r="S2550" s="1"/>
      <c r="T2550" s="1"/>
      <c r="U2550" s="1"/>
      <c r="V2550" s="1"/>
      <c r="W2550" s="1"/>
      <c r="X2550" s="1"/>
      <c r="Y2550" s="1"/>
      <c r="Z2550" s="1"/>
      <c r="AA2550" s="1"/>
      <c r="AB2550" s="1"/>
      <c r="AC2550" s="1"/>
      <c r="AD2550" s="1"/>
      <c r="AE2550" s="1"/>
      <c r="AF2550" s="1"/>
      <c r="AG2550" s="1"/>
      <c r="AH2550" s="1"/>
      <c r="AI2550" s="1"/>
      <c r="AJ2550" s="1"/>
      <c r="AK2550" s="1"/>
      <c r="AL2550" s="1"/>
      <c r="AM2550" s="1"/>
      <c r="AN2550" s="1"/>
      <c r="AO2550" s="1"/>
      <c r="AP2550" s="1"/>
      <c r="AQ2550" s="1"/>
      <c r="AR2550" s="1"/>
      <c r="AS2550" s="1"/>
      <c r="AT2550" s="1"/>
      <c r="AU2550" s="1"/>
      <c r="AV2550" s="1"/>
      <c r="AW2550" s="1"/>
      <c r="AX2550" s="1"/>
      <c r="AY2550" s="1"/>
      <c r="AZ2550" s="1"/>
      <c r="BA2550" s="1"/>
      <c r="BB2550" s="1"/>
      <c r="BC2550" s="1"/>
      <c r="BD2550" s="1"/>
      <c r="BE2550" s="1"/>
      <c r="BF2550" s="1"/>
      <c r="BG2550" s="1"/>
      <c r="BH2550" s="1"/>
      <c r="BI2550" s="1"/>
      <c r="BJ2550" s="1"/>
      <c r="BK2550" s="1"/>
      <c r="BL2550" s="1"/>
      <c r="BM2550" s="1"/>
      <c r="BN2550" s="1"/>
      <c r="BO2550" s="1"/>
      <c r="BP2550" s="1"/>
      <c r="BQ2550" s="1"/>
      <c r="BR2550" s="1"/>
      <c r="BS2550" s="1"/>
      <c r="BT2550" s="1"/>
      <c r="BU2550" s="1"/>
      <c r="BV2550" s="1"/>
      <c r="BW2550" s="1"/>
      <c r="BX2550" s="1"/>
      <c r="BY2550" s="1"/>
      <c r="BZ2550" s="1"/>
      <c r="CA2550" s="1"/>
      <c r="CB2550" s="1"/>
      <c r="CC2550" s="1"/>
      <c r="CD2550" s="1"/>
      <c r="CE2550" s="1"/>
      <c r="CF2550" s="1"/>
      <c r="CG2550" s="1"/>
      <c r="CH2550" s="1"/>
      <c r="CI2550" s="1"/>
      <c r="CJ2550" s="1"/>
      <c r="CK2550" s="1"/>
      <c r="CL2550" s="1"/>
      <c r="CM2550" s="1"/>
      <c r="CN2550" s="1"/>
      <c r="CO2550" s="1"/>
      <c r="CP2550" s="1"/>
      <c r="CQ2550" s="1"/>
      <c r="CR2550" s="1"/>
      <c r="CS2550" s="1"/>
      <c r="CT2550" s="1"/>
      <c r="CU2550" s="1"/>
      <c r="CV2550" s="1"/>
      <c r="CW2550" s="1"/>
      <c r="CX2550" s="1"/>
      <c r="CY2550" s="1"/>
      <c r="CZ2550" s="1"/>
      <c r="DA2550" s="1"/>
      <c r="DB2550" s="1"/>
      <c r="DC2550" s="1"/>
      <c r="DD2550" s="1"/>
      <c r="DE2550" s="1"/>
      <c r="DF2550" s="1"/>
      <c r="DG2550" s="1"/>
      <c r="DH2550" s="1"/>
      <c r="DI2550" s="1"/>
      <c r="DJ2550" s="1"/>
      <c r="DK2550" s="1"/>
      <c r="DL2550" s="1"/>
      <c r="DM2550" s="1"/>
      <c r="DN2550" s="1"/>
      <c r="DO2550" s="1"/>
      <c r="DP2550" s="1"/>
      <c r="DQ2550" s="1"/>
      <c r="DR2550" s="1"/>
      <c r="DS2550" s="1"/>
      <c r="DT2550" s="1"/>
      <c r="DU2550" s="1"/>
      <c r="DV2550" s="1"/>
      <c r="DW2550" s="1"/>
      <c r="DX2550" s="1"/>
      <c r="DY2550" s="1"/>
      <c r="DZ2550" s="1"/>
      <c r="EA2550" s="1"/>
      <c r="EB2550" s="1"/>
      <c r="EC2550" s="1"/>
      <c r="ED2550" s="1"/>
      <c r="EE2550" s="1"/>
      <c r="EF2550" s="1"/>
      <c r="EG2550" s="1"/>
      <c r="EH2550" s="1"/>
      <c r="EI2550" s="1"/>
      <c r="EJ2550" s="1"/>
      <c r="EK2550" s="1"/>
      <c r="EL2550" s="1"/>
      <c r="EM2550" s="1"/>
      <c r="EN2550" s="1"/>
      <c r="EO2550" s="1"/>
      <c r="EP2550" s="1"/>
      <c r="EQ2550" s="1"/>
      <c r="ER2550" s="1"/>
      <c r="ES2550" s="1"/>
      <c r="ET2550" s="1"/>
      <c r="EU2550" s="1"/>
      <c r="EV2550" s="1"/>
      <c r="EW2550" s="1"/>
      <c r="EX2550" s="1"/>
      <c r="EY2550" s="1"/>
      <c r="EZ2550" s="1"/>
      <c r="FA2550" s="1"/>
      <c r="FB2550" s="1"/>
      <c r="FC2550" s="1"/>
      <c r="FD2550" s="1"/>
      <c r="FE2550" s="1"/>
      <c r="FF2550" s="1"/>
      <c r="FG2550" s="1"/>
      <c r="FH2550" s="1"/>
      <c r="FI2550" s="1"/>
      <c r="FJ2550" s="1"/>
      <c r="FK2550" s="1"/>
      <c r="FL2550" s="1"/>
      <c r="FM2550" s="1"/>
      <c r="FN2550" s="1"/>
      <c r="FO2550" s="1"/>
      <c r="FP2550" s="1"/>
      <c r="FQ2550" s="1"/>
      <c r="FR2550" s="1"/>
      <c r="FS2550" s="1"/>
      <c r="FT2550" s="1"/>
      <c r="FU2550" s="1"/>
      <c r="FV2550" s="1"/>
      <c r="FW2550" s="1"/>
      <c r="FX2550" s="1"/>
      <c r="FY2550" s="1"/>
      <c r="FZ2550" s="1"/>
      <c r="GA2550" s="1"/>
      <c r="GB2550" s="1"/>
      <c r="GC2550" s="1"/>
      <c r="GD2550" s="1"/>
      <c r="GE2550" s="1"/>
      <c r="GF2550" s="1"/>
      <c r="GG2550" s="1"/>
      <c r="GH2550" s="1"/>
      <c r="GI2550" s="1"/>
      <c r="GJ2550" s="1"/>
      <c r="GK2550" s="1"/>
      <c r="GL2550" s="1"/>
      <c r="GM2550" s="1"/>
      <c r="GN2550" s="1"/>
      <c r="GO2550" s="1"/>
      <c r="GP2550" s="1"/>
      <c r="GQ2550" s="1"/>
      <c r="GR2550" s="1"/>
      <c r="GS2550" s="1"/>
      <c r="GT2550" s="1"/>
      <c r="GU2550" s="1"/>
      <c r="GV2550" s="1"/>
      <c r="GW2550" s="1"/>
      <c r="GX2550" s="1"/>
      <c r="GY2550" s="1"/>
      <c r="GZ2550" s="1"/>
      <c r="HA2550" s="1"/>
      <c r="HB2550" s="1"/>
      <c r="HC2550" s="1"/>
      <c r="HD2550" s="1"/>
      <c r="HE2550" s="1"/>
      <c r="HF2550" s="1"/>
      <c r="HG2550" s="1"/>
      <c r="HH2550" s="1"/>
      <c r="HI2550" s="1"/>
      <c r="HJ2550" s="1"/>
      <c r="HK2550" s="1"/>
      <c r="HL2550" s="1"/>
      <c r="HM2550" s="1"/>
      <c r="HN2550" s="1"/>
      <c r="HO2550" s="1"/>
      <c r="HP2550" s="1"/>
      <c r="HQ2550" s="1"/>
    </row>
    <row r="2551" spans="1:225" ht="46.5" x14ac:dyDescent="0.35">
      <c r="A2551" s="306"/>
      <c r="B2551" s="306"/>
      <c r="C2551" s="290"/>
      <c r="D2551" s="263"/>
      <c r="E2551" s="263"/>
      <c r="F2551" s="266"/>
      <c r="G2551" s="257"/>
      <c r="H2551" s="159" t="s">
        <v>705</v>
      </c>
      <c r="I2551" s="219">
        <f>D2550*K2551</f>
        <v>58515.199999999997</v>
      </c>
      <c r="J2551" s="219">
        <f>I2551/D2550</f>
        <v>164</v>
      </c>
      <c r="K2551" s="219">
        <f>151+13</f>
        <v>164</v>
      </c>
      <c r="L2551" s="1"/>
      <c r="M2551" s="1"/>
      <c r="N2551" s="1"/>
      <c r="O2551" s="1"/>
      <c r="P2551" s="1"/>
      <c r="Q2551" s="1"/>
      <c r="R2551" s="1"/>
      <c r="S2551" s="1"/>
      <c r="T2551" s="1"/>
      <c r="U2551" s="1"/>
      <c r="V2551" s="1"/>
      <c r="W2551" s="1"/>
      <c r="X2551" s="1"/>
      <c r="Y2551" s="1"/>
      <c r="Z2551" s="1"/>
      <c r="AA2551" s="1"/>
      <c r="AB2551" s="1"/>
      <c r="AC2551" s="1"/>
      <c r="AD2551" s="1"/>
      <c r="AE2551" s="1"/>
      <c r="AF2551" s="1"/>
      <c r="AG2551" s="1"/>
      <c r="AH2551" s="1"/>
      <c r="AI2551" s="1"/>
      <c r="AJ2551" s="1"/>
      <c r="AK2551" s="1"/>
      <c r="AL2551" s="1"/>
      <c r="AM2551" s="1"/>
      <c r="AN2551" s="1"/>
      <c r="AO2551" s="1"/>
      <c r="AP2551" s="1"/>
      <c r="AQ2551" s="1"/>
      <c r="AR2551" s="1"/>
      <c r="AS2551" s="1"/>
      <c r="AT2551" s="1"/>
      <c r="AU2551" s="1"/>
      <c r="AV2551" s="1"/>
      <c r="AW2551" s="1"/>
      <c r="AX2551" s="1"/>
      <c r="AY2551" s="1"/>
      <c r="AZ2551" s="1"/>
      <c r="BA2551" s="1"/>
      <c r="BB2551" s="1"/>
      <c r="BC2551" s="1"/>
      <c r="BD2551" s="1"/>
      <c r="BE2551" s="1"/>
      <c r="BF2551" s="1"/>
      <c r="BG2551" s="1"/>
      <c r="BH2551" s="1"/>
      <c r="BI2551" s="1"/>
      <c r="BJ2551" s="1"/>
      <c r="BK2551" s="1"/>
      <c r="BL2551" s="1"/>
      <c r="BM2551" s="1"/>
      <c r="BN2551" s="1"/>
      <c r="BO2551" s="1"/>
      <c r="BP2551" s="1"/>
      <c r="BQ2551" s="1"/>
      <c r="BR2551" s="1"/>
      <c r="BS2551" s="1"/>
      <c r="BT2551" s="1"/>
      <c r="BU2551" s="1"/>
      <c r="BV2551" s="1"/>
      <c r="BW2551" s="1"/>
      <c r="BX2551" s="1"/>
      <c r="BY2551" s="1"/>
      <c r="BZ2551" s="1"/>
      <c r="CA2551" s="1"/>
      <c r="CB2551" s="1"/>
      <c r="CC2551" s="1"/>
      <c r="CD2551" s="1"/>
      <c r="CE2551" s="1"/>
      <c r="CF2551" s="1"/>
      <c r="CG2551" s="1"/>
      <c r="CH2551" s="1"/>
      <c r="CI2551" s="1"/>
      <c r="CJ2551" s="1"/>
      <c r="CK2551" s="1"/>
      <c r="CL2551" s="1"/>
      <c r="CM2551" s="1"/>
      <c r="CN2551" s="1"/>
      <c r="CO2551" s="1"/>
      <c r="CP2551" s="1"/>
      <c r="CQ2551" s="1"/>
      <c r="CR2551" s="1"/>
      <c r="CS2551" s="1"/>
      <c r="CT2551" s="1"/>
      <c r="CU2551" s="1"/>
      <c r="CV2551" s="1"/>
      <c r="CW2551" s="1"/>
      <c r="CX2551" s="1"/>
      <c r="CY2551" s="1"/>
      <c r="CZ2551" s="1"/>
      <c r="DA2551" s="1"/>
      <c r="DB2551" s="1"/>
      <c r="DC2551" s="1"/>
      <c r="DD2551" s="1"/>
      <c r="DE2551" s="1"/>
      <c r="DF2551" s="1"/>
      <c r="DG2551" s="1"/>
      <c r="DH2551" s="1"/>
      <c r="DI2551" s="1"/>
      <c r="DJ2551" s="1"/>
      <c r="DK2551" s="1"/>
      <c r="DL2551" s="1"/>
      <c r="DM2551" s="1"/>
      <c r="DN2551" s="1"/>
      <c r="DO2551" s="1"/>
      <c r="DP2551" s="1"/>
      <c r="DQ2551" s="1"/>
      <c r="DR2551" s="1"/>
      <c r="DS2551" s="1"/>
      <c r="DT2551" s="1"/>
      <c r="DU2551" s="1"/>
      <c r="DV2551" s="1"/>
      <c r="DW2551" s="1"/>
      <c r="DX2551" s="1"/>
      <c r="DY2551" s="1"/>
      <c r="DZ2551" s="1"/>
      <c r="EA2551" s="1"/>
      <c r="EB2551" s="1"/>
      <c r="EC2551" s="1"/>
      <c r="ED2551" s="1"/>
      <c r="EE2551" s="1"/>
      <c r="EF2551" s="1"/>
      <c r="EG2551" s="1"/>
      <c r="EH2551" s="1"/>
      <c r="EI2551" s="1"/>
      <c r="EJ2551" s="1"/>
      <c r="EK2551" s="1"/>
      <c r="EL2551" s="1"/>
      <c r="EM2551" s="1"/>
      <c r="EN2551" s="1"/>
      <c r="EO2551" s="1"/>
      <c r="EP2551" s="1"/>
      <c r="EQ2551" s="1"/>
      <c r="ER2551" s="1"/>
      <c r="ES2551" s="1"/>
      <c r="ET2551" s="1"/>
      <c r="EU2551" s="1"/>
      <c r="EV2551" s="1"/>
      <c r="EW2551" s="1"/>
      <c r="EX2551" s="1"/>
      <c r="EY2551" s="1"/>
      <c r="EZ2551" s="1"/>
      <c r="FA2551" s="1"/>
      <c r="FB2551" s="1"/>
      <c r="FC2551" s="1"/>
      <c r="FD2551" s="1"/>
      <c r="FE2551" s="1"/>
      <c r="FF2551" s="1"/>
      <c r="FG2551" s="1"/>
      <c r="FH2551" s="1"/>
      <c r="FI2551" s="1"/>
      <c r="FJ2551" s="1"/>
      <c r="FK2551" s="1"/>
      <c r="FL2551" s="1"/>
      <c r="FM2551" s="1"/>
      <c r="FN2551" s="1"/>
      <c r="FO2551" s="1"/>
      <c r="FP2551" s="1"/>
      <c r="FQ2551" s="1"/>
      <c r="FR2551" s="1"/>
      <c r="FS2551" s="1"/>
      <c r="FT2551" s="1"/>
      <c r="FU2551" s="1"/>
      <c r="FV2551" s="1"/>
      <c r="FW2551" s="1"/>
      <c r="FX2551" s="1"/>
      <c r="FY2551" s="1"/>
      <c r="FZ2551" s="1"/>
      <c r="GA2551" s="1"/>
      <c r="GB2551" s="1"/>
      <c r="GC2551" s="1"/>
      <c r="GD2551" s="1"/>
      <c r="GE2551" s="1"/>
      <c r="GF2551" s="1"/>
      <c r="GG2551" s="1"/>
      <c r="GH2551" s="1"/>
      <c r="GI2551" s="1"/>
      <c r="GJ2551" s="1"/>
      <c r="GK2551" s="1"/>
      <c r="GL2551" s="1"/>
      <c r="GM2551" s="1"/>
      <c r="GN2551" s="1"/>
      <c r="GO2551" s="1"/>
      <c r="GP2551" s="1"/>
      <c r="GQ2551" s="1"/>
      <c r="GR2551" s="1"/>
      <c r="GS2551" s="1"/>
      <c r="GT2551" s="1"/>
      <c r="GU2551" s="1"/>
      <c r="GV2551" s="1"/>
      <c r="GW2551" s="1"/>
      <c r="GX2551" s="1"/>
      <c r="GY2551" s="1"/>
      <c r="GZ2551" s="1"/>
      <c r="HA2551" s="1"/>
      <c r="HB2551" s="1"/>
      <c r="HC2551" s="1"/>
      <c r="HD2551" s="1"/>
      <c r="HE2551" s="1"/>
      <c r="HF2551" s="1"/>
      <c r="HG2551" s="1"/>
      <c r="HH2551" s="1"/>
      <c r="HI2551" s="1"/>
      <c r="HJ2551" s="1"/>
      <c r="HK2551" s="1"/>
      <c r="HL2551" s="1"/>
      <c r="HM2551" s="1"/>
      <c r="HN2551" s="1"/>
      <c r="HO2551" s="1"/>
      <c r="HP2551" s="1"/>
      <c r="HQ2551" s="1"/>
    </row>
    <row r="2552" spans="1:225" ht="15.75" customHeight="1" x14ac:dyDescent="0.35">
      <c r="A2552" s="307">
        <f>A2550+1</f>
        <v>12</v>
      </c>
      <c r="B2552" s="307">
        <v>6831</v>
      </c>
      <c r="C2552" s="259" t="s">
        <v>475</v>
      </c>
      <c r="D2552" s="262">
        <v>3997.52</v>
      </c>
      <c r="E2552" s="262" t="s">
        <v>71</v>
      </c>
      <c r="F2552" s="265">
        <v>5</v>
      </c>
      <c r="G2552" s="256" t="s">
        <v>72</v>
      </c>
      <c r="H2552" s="159" t="s">
        <v>73</v>
      </c>
      <c r="I2552" s="158">
        <f>I2553+I2554</f>
        <v>7992641.4900000002</v>
      </c>
      <c r="J2552" s="158">
        <f>J2553+J2554</f>
        <v>1999.4</v>
      </c>
      <c r="K2552" s="158">
        <f>K2553+K2554</f>
        <v>2831</v>
      </c>
      <c r="L2552" s="1"/>
      <c r="M2552" s="1"/>
      <c r="N2552" s="1"/>
      <c r="O2552" s="1"/>
      <c r="P2552" s="1"/>
      <c r="Q2552" s="1"/>
      <c r="R2552" s="1"/>
      <c r="S2552" s="1"/>
      <c r="T2552" s="1"/>
      <c r="U2552" s="1"/>
      <c r="V2552" s="1"/>
      <c r="W2552" s="1"/>
      <c r="X2552" s="1"/>
      <c r="Y2552" s="1"/>
      <c r="Z2552" s="1"/>
      <c r="AA2552" s="1"/>
      <c r="AB2552" s="1"/>
      <c r="AC2552" s="1"/>
      <c r="AD2552" s="1"/>
      <c r="AE2552" s="1"/>
      <c r="AF2552" s="1"/>
      <c r="AG2552" s="1"/>
      <c r="AH2552" s="1"/>
      <c r="AI2552" s="1"/>
      <c r="AJ2552" s="1"/>
      <c r="AK2552" s="1"/>
      <c r="AL2552" s="1"/>
      <c r="AM2552" s="1"/>
      <c r="AN2552" s="1"/>
      <c r="AO2552" s="1"/>
      <c r="AP2552" s="1"/>
      <c r="AQ2552" s="1"/>
      <c r="AR2552" s="1"/>
      <c r="AS2552" s="1"/>
      <c r="AT2552" s="1"/>
      <c r="AU2552" s="1"/>
      <c r="AV2552" s="1"/>
      <c r="AW2552" s="1"/>
      <c r="AX2552" s="1"/>
      <c r="AY2552" s="1"/>
      <c r="AZ2552" s="1"/>
      <c r="BA2552" s="1"/>
      <c r="BB2552" s="1"/>
      <c r="BC2552" s="1"/>
      <c r="BD2552" s="1"/>
      <c r="BE2552" s="1"/>
      <c r="BF2552" s="1"/>
      <c r="BG2552" s="1"/>
      <c r="BH2552" s="1"/>
      <c r="BI2552" s="1"/>
      <c r="BJ2552" s="1"/>
      <c r="BK2552" s="1"/>
      <c r="BL2552" s="1"/>
      <c r="BM2552" s="1"/>
      <c r="BN2552" s="1"/>
      <c r="BO2552" s="1"/>
      <c r="BP2552" s="1"/>
      <c r="BQ2552" s="1"/>
      <c r="BR2552" s="1"/>
      <c r="BS2552" s="1"/>
      <c r="BT2552" s="1"/>
      <c r="BU2552" s="1"/>
      <c r="BV2552" s="1"/>
      <c r="BW2552" s="1"/>
      <c r="BX2552" s="1"/>
      <c r="BY2552" s="1"/>
      <c r="BZ2552" s="1"/>
      <c r="CA2552" s="1"/>
      <c r="CB2552" s="1"/>
      <c r="CC2552" s="1"/>
      <c r="CD2552" s="1"/>
      <c r="CE2552" s="1"/>
      <c r="CF2552" s="1"/>
      <c r="CG2552" s="1"/>
      <c r="CH2552" s="1"/>
      <c r="CI2552" s="1"/>
      <c r="CJ2552" s="1"/>
      <c r="CK2552" s="1"/>
      <c r="CL2552" s="1"/>
      <c r="CM2552" s="1"/>
      <c r="CN2552" s="1"/>
      <c r="CO2552" s="1"/>
      <c r="CP2552" s="1"/>
      <c r="CQ2552" s="1"/>
      <c r="CR2552" s="1"/>
      <c r="CS2552" s="1"/>
      <c r="CT2552" s="1"/>
      <c r="CU2552" s="1"/>
      <c r="CV2552" s="1"/>
      <c r="CW2552" s="1"/>
      <c r="CX2552" s="1"/>
      <c r="CY2552" s="1"/>
      <c r="CZ2552" s="1"/>
      <c r="DA2552" s="1"/>
      <c r="DB2552" s="1"/>
      <c r="DC2552" s="1"/>
      <c r="DD2552" s="1"/>
      <c r="DE2552" s="1"/>
      <c r="DF2552" s="1"/>
      <c r="DG2552" s="1"/>
      <c r="DH2552" s="1"/>
      <c r="DI2552" s="1"/>
      <c r="DJ2552" s="1"/>
      <c r="DK2552" s="1"/>
      <c r="DL2552" s="1"/>
      <c r="DM2552" s="1"/>
      <c r="DN2552" s="1"/>
      <c r="DO2552" s="1"/>
      <c r="DP2552" s="1"/>
      <c r="DQ2552" s="1"/>
      <c r="DR2552" s="1"/>
      <c r="DS2552" s="1"/>
      <c r="DT2552" s="1"/>
      <c r="DU2552" s="1"/>
      <c r="DV2552" s="1"/>
      <c r="DW2552" s="1"/>
      <c r="DX2552" s="1"/>
      <c r="DY2552" s="1"/>
      <c r="DZ2552" s="1"/>
      <c r="EA2552" s="1"/>
      <c r="EB2552" s="1"/>
      <c r="EC2552" s="1"/>
      <c r="ED2552" s="1"/>
      <c r="EE2552" s="1"/>
      <c r="EF2552" s="1"/>
      <c r="EG2552" s="1"/>
      <c r="EH2552" s="1"/>
      <c r="EI2552" s="1"/>
      <c r="EJ2552" s="1"/>
      <c r="EK2552" s="1"/>
      <c r="EL2552" s="1"/>
      <c r="EM2552" s="1"/>
      <c r="EN2552" s="1"/>
      <c r="EO2552" s="1"/>
      <c r="EP2552" s="1"/>
      <c r="EQ2552" s="1"/>
      <c r="ER2552" s="1"/>
      <c r="ES2552" s="1"/>
      <c r="ET2552" s="1"/>
      <c r="EU2552" s="1"/>
      <c r="EV2552" s="1"/>
      <c r="EW2552" s="1"/>
      <c r="EX2552" s="1"/>
      <c r="EY2552" s="1"/>
      <c r="EZ2552" s="1"/>
      <c r="FA2552" s="1"/>
      <c r="FB2552" s="1"/>
      <c r="FC2552" s="1"/>
      <c r="FD2552" s="1"/>
      <c r="FE2552" s="1"/>
      <c r="FF2552" s="1"/>
      <c r="FG2552" s="1"/>
      <c r="FH2552" s="1"/>
      <c r="FI2552" s="1"/>
      <c r="FJ2552" s="1"/>
      <c r="FK2552" s="1"/>
      <c r="FL2552" s="1"/>
      <c r="FM2552" s="1"/>
      <c r="FN2552" s="1"/>
      <c r="FO2552" s="1"/>
      <c r="FP2552" s="1"/>
      <c r="FQ2552" s="1"/>
      <c r="FR2552" s="1"/>
      <c r="FS2552" s="1"/>
      <c r="FT2552" s="1"/>
      <c r="FU2552" s="1"/>
      <c r="FV2552" s="1"/>
      <c r="FW2552" s="1"/>
      <c r="FX2552" s="1"/>
      <c r="FY2552" s="1"/>
      <c r="FZ2552" s="1"/>
      <c r="GA2552" s="1"/>
      <c r="GB2552" s="1"/>
      <c r="GC2552" s="1"/>
      <c r="GD2552" s="1"/>
      <c r="GE2552" s="1"/>
      <c r="GF2552" s="1"/>
      <c r="GG2552" s="1"/>
      <c r="GH2552" s="1"/>
      <c r="GI2552" s="1"/>
      <c r="GJ2552" s="1"/>
      <c r="GK2552" s="1"/>
      <c r="GL2552" s="1"/>
      <c r="GM2552" s="1"/>
      <c r="GN2552" s="1"/>
      <c r="GO2552" s="1"/>
      <c r="GP2552" s="1"/>
      <c r="GQ2552" s="1"/>
      <c r="GR2552" s="1"/>
      <c r="GS2552" s="1"/>
      <c r="GT2552" s="1"/>
      <c r="GU2552" s="1"/>
      <c r="GV2552" s="1"/>
      <c r="GW2552" s="1"/>
      <c r="GX2552" s="1"/>
      <c r="GY2552" s="1"/>
      <c r="GZ2552" s="1"/>
      <c r="HA2552" s="1"/>
      <c r="HB2552" s="1"/>
      <c r="HC2552" s="1"/>
      <c r="HD2552" s="1"/>
      <c r="HE2552" s="1"/>
      <c r="HF2552" s="1"/>
      <c r="HG2552" s="1"/>
      <c r="HH2552" s="1"/>
      <c r="HI2552" s="1"/>
      <c r="HJ2552" s="1"/>
      <c r="HK2552" s="1"/>
      <c r="HL2552" s="1"/>
      <c r="HM2552" s="1"/>
      <c r="HN2552" s="1"/>
      <c r="HO2552" s="1"/>
      <c r="HP2552" s="1"/>
      <c r="HQ2552" s="1"/>
    </row>
    <row r="2553" spans="1:225" ht="15.75" customHeight="1" x14ac:dyDescent="0.35">
      <c r="A2553" s="344"/>
      <c r="B2553" s="344"/>
      <c r="C2553" s="260"/>
      <c r="D2553" s="263"/>
      <c r="E2553" s="263"/>
      <c r="F2553" s="266"/>
      <c r="G2553" s="257"/>
      <c r="H2553" s="159" t="s">
        <v>74</v>
      </c>
      <c r="I2553" s="158">
        <f>K2553*D2552*70/100</f>
        <v>7756787.8099999996</v>
      </c>
      <c r="J2553" s="158">
        <f>I2553/D2552</f>
        <v>1940.4</v>
      </c>
      <c r="K2553" s="158">
        <v>2772</v>
      </c>
      <c r="L2553" s="1"/>
      <c r="M2553" s="1"/>
      <c r="N2553" s="1"/>
      <c r="O2553" s="1"/>
      <c r="P2553" s="1"/>
      <c r="Q2553" s="1"/>
      <c r="R2553" s="1"/>
      <c r="S2553" s="1"/>
      <c r="T2553" s="1"/>
      <c r="U2553" s="1"/>
      <c r="V2553" s="1"/>
      <c r="W2553" s="1"/>
      <c r="X2553" s="1"/>
      <c r="Y2553" s="1"/>
      <c r="Z2553" s="1"/>
      <c r="AA2553" s="1"/>
      <c r="AB2553" s="1"/>
      <c r="AC2553" s="1"/>
      <c r="AD2553" s="1"/>
      <c r="AE2553" s="1"/>
      <c r="AF2553" s="1"/>
      <c r="AG2553" s="1"/>
      <c r="AH2553" s="1"/>
      <c r="AI2553" s="1"/>
      <c r="AJ2553" s="1"/>
      <c r="AK2553" s="1"/>
      <c r="AL2553" s="1"/>
      <c r="AM2553" s="1"/>
      <c r="AN2553" s="1"/>
      <c r="AO2553" s="1"/>
      <c r="AP2553" s="1"/>
      <c r="AQ2553" s="1"/>
      <c r="AR2553" s="1"/>
      <c r="AS2553" s="1"/>
      <c r="AT2553" s="1"/>
      <c r="AU2553" s="1"/>
      <c r="AV2553" s="1"/>
      <c r="AW2553" s="1"/>
      <c r="AX2553" s="1"/>
      <c r="AY2553" s="1"/>
      <c r="AZ2553" s="1"/>
      <c r="BA2553" s="1"/>
      <c r="BB2553" s="1"/>
      <c r="BC2553" s="1"/>
      <c r="BD2553" s="1"/>
      <c r="BE2553" s="1"/>
      <c r="BF2553" s="1"/>
      <c r="BG2553" s="1"/>
      <c r="BH2553" s="1"/>
      <c r="BI2553" s="1"/>
      <c r="BJ2553" s="1"/>
      <c r="BK2553" s="1"/>
      <c r="BL2553" s="1"/>
      <c r="BM2553" s="1"/>
      <c r="BN2553" s="1"/>
      <c r="BO2553" s="1"/>
      <c r="BP2553" s="1"/>
      <c r="BQ2553" s="1"/>
      <c r="BR2553" s="1"/>
      <c r="BS2553" s="1"/>
      <c r="BT2553" s="1"/>
      <c r="BU2553" s="1"/>
      <c r="BV2553" s="1"/>
      <c r="BW2553" s="1"/>
      <c r="BX2553" s="1"/>
      <c r="BY2553" s="1"/>
      <c r="BZ2553" s="1"/>
      <c r="CA2553" s="1"/>
      <c r="CB2553" s="1"/>
      <c r="CC2553" s="1"/>
      <c r="CD2553" s="1"/>
      <c r="CE2553" s="1"/>
      <c r="CF2553" s="1"/>
      <c r="CG2553" s="1"/>
      <c r="CH2553" s="1"/>
      <c r="CI2553" s="1"/>
      <c r="CJ2553" s="1"/>
      <c r="CK2553" s="1"/>
      <c r="CL2553" s="1"/>
      <c r="CM2553" s="1"/>
      <c r="CN2553" s="1"/>
      <c r="CO2553" s="1"/>
      <c r="CP2553" s="1"/>
      <c r="CQ2553" s="1"/>
      <c r="CR2553" s="1"/>
      <c r="CS2553" s="1"/>
      <c r="CT2553" s="1"/>
      <c r="CU2553" s="1"/>
      <c r="CV2553" s="1"/>
      <c r="CW2553" s="1"/>
      <c r="CX2553" s="1"/>
      <c r="CY2553" s="1"/>
      <c r="CZ2553" s="1"/>
      <c r="DA2553" s="1"/>
      <c r="DB2553" s="1"/>
      <c r="DC2553" s="1"/>
      <c r="DD2553" s="1"/>
      <c r="DE2553" s="1"/>
      <c r="DF2553" s="1"/>
      <c r="DG2553" s="1"/>
      <c r="DH2553" s="1"/>
      <c r="DI2553" s="1"/>
      <c r="DJ2553" s="1"/>
      <c r="DK2553" s="1"/>
      <c r="DL2553" s="1"/>
      <c r="DM2553" s="1"/>
      <c r="DN2553" s="1"/>
      <c r="DO2553" s="1"/>
      <c r="DP2553" s="1"/>
      <c r="DQ2553" s="1"/>
      <c r="DR2553" s="1"/>
      <c r="DS2553" s="1"/>
      <c r="DT2553" s="1"/>
      <c r="DU2553" s="1"/>
      <c r="DV2553" s="1"/>
      <c r="DW2553" s="1"/>
      <c r="DX2553" s="1"/>
      <c r="DY2553" s="1"/>
      <c r="DZ2553" s="1"/>
      <c r="EA2553" s="1"/>
      <c r="EB2553" s="1"/>
      <c r="EC2553" s="1"/>
      <c r="ED2553" s="1"/>
      <c r="EE2553" s="1"/>
      <c r="EF2553" s="1"/>
      <c r="EG2553" s="1"/>
      <c r="EH2553" s="1"/>
      <c r="EI2553" s="1"/>
      <c r="EJ2553" s="1"/>
      <c r="EK2553" s="1"/>
      <c r="EL2553" s="1"/>
      <c r="EM2553" s="1"/>
      <c r="EN2553" s="1"/>
      <c r="EO2553" s="1"/>
      <c r="EP2553" s="1"/>
      <c r="EQ2553" s="1"/>
      <c r="ER2553" s="1"/>
      <c r="ES2553" s="1"/>
      <c r="ET2553" s="1"/>
      <c r="EU2553" s="1"/>
      <c r="EV2553" s="1"/>
      <c r="EW2553" s="1"/>
      <c r="EX2553" s="1"/>
      <c r="EY2553" s="1"/>
      <c r="EZ2553" s="1"/>
      <c r="FA2553" s="1"/>
      <c r="FB2553" s="1"/>
      <c r="FC2553" s="1"/>
      <c r="FD2553" s="1"/>
      <c r="FE2553" s="1"/>
      <c r="FF2553" s="1"/>
      <c r="FG2553" s="1"/>
      <c r="FH2553" s="1"/>
      <c r="FI2553" s="1"/>
      <c r="FJ2553" s="1"/>
      <c r="FK2553" s="1"/>
      <c r="FL2553" s="1"/>
      <c r="FM2553" s="1"/>
      <c r="FN2553" s="1"/>
      <c r="FO2553" s="1"/>
      <c r="FP2553" s="1"/>
      <c r="FQ2553" s="1"/>
      <c r="FR2553" s="1"/>
      <c r="FS2553" s="1"/>
      <c r="FT2553" s="1"/>
      <c r="FU2553" s="1"/>
      <c r="FV2553" s="1"/>
      <c r="FW2553" s="1"/>
      <c r="FX2553" s="1"/>
      <c r="FY2553" s="1"/>
      <c r="FZ2553" s="1"/>
      <c r="GA2553" s="1"/>
      <c r="GB2553" s="1"/>
      <c r="GC2553" s="1"/>
      <c r="GD2553" s="1"/>
      <c r="GE2553" s="1"/>
      <c r="GF2553" s="1"/>
      <c r="GG2553" s="1"/>
      <c r="GH2553" s="1"/>
      <c r="GI2553" s="1"/>
      <c r="GJ2553" s="1"/>
      <c r="GK2553" s="1"/>
      <c r="GL2553" s="1"/>
      <c r="GM2553" s="1"/>
      <c r="GN2553" s="1"/>
      <c r="GO2553" s="1"/>
      <c r="GP2553" s="1"/>
      <c r="GQ2553" s="1"/>
      <c r="GR2553" s="1"/>
      <c r="GS2553" s="1"/>
      <c r="GT2553" s="1"/>
      <c r="GU2553" s="1"/>
      <c r="GV2553" s="1"/>
      <c r="GW2553" s="1"/>
      <c r="GX2553" s="1"/>
      <c r="GY2553" s="1"/>
      <c r="GZ2553" s="1"/>
      <c r="HA2553" s="1"/>
      <c r="HB2553" s="1"/>
      <c r="HC2553" s="1"/>
      <c r="HD2553" s="1"/>
      <c r="HE2553" s="1"/>
      <c r="HF2553" s="1"/>
      <c r="HG2553" s="1"/>
      <c r="HH2553" s="1"/>
      <c r="HI2553" s="1"/>
      <c r="HJ2553" s="1"/>
      <c r="HK2553" s="1"/>
      <c r="HL2553" s="1"/>
      <c r="HM2553" s="1"/>
      <c r="HN2553" s="1"/>
      <c r="HO2553" s="1"/>
      <c r="HP2553" s="1"/>
      <c r="HQ2553" s="1"/>
    </row>
    <row r="2554" spans="1:225" ht="15.75" customHeight="1" x14ac:dyDescent="0.35">
      <c r="A2554" s="338"/>
      <c r="B2554" s="338"/>
      <c r="C2554" s="261"/>
      <c r="D2554" s="264"/>
      <c r="E2554" s="264"/>
      <c r="F2554" s="267"/>
      <c r="G2554" s="258"/>
      <c r="H2554" s="159" t="s">
        <v>76</v>
      </c>
      <c r="I2554" s="158">
        <f>D2552*K2554</f>
        <v>235853.68</v>
      </c>
      <c r="J2554" s="158">
        <f>I2554/D2552</f>
        <v>59</v>
      </c>
      <c r="K2554" s="158">
        <v>59</v>
      </c>
      <c r="L2554" s="1"/>
      <c r="M2554" s="1"/>
      <c r="N2554" s="1"/>
      <c r="O2554" s="1"/>
      <c r="P2554" s="1"/>
      <c r="Q2554" s="1"/>
      <c r="R2554" s="1"/>
      <c r="S2554" s="1"/>
      <c r="T2554" s="1"/>
      <c r="U2554" s="1"/>
      <c r="V2554" s="1"/>
      <c r="W2554" s="1"/>
      <c r="X2554" s="1"/>
      <c r="Y2554" s="1"/>
      <c r="Z2554" s="1"/>
      <c r="AA2554" s="1"/>
      <c r="AB2554" s="1"/>
      <c r="AC2554" s="1"/>
      <c r="AD2554" s="1"/>
      <c r="AE2554" s="1"/>
      <c r="AF2554" s="1"/>
      <c r="AG2554" s="1"/>
      <c r="AH2554" s="1"/>
      <c r="AI2554" s="1"/>
      <c r="AJ2554" s="1"/>
      <c r="AK2554" s="1"/>
      <c r="AL2554" s="1"/>
      <c r="AM2554" s="1"/>
      <c r="AN2554" s="1"/>
      <c r="AO2554" s="1"/>
      <c r="AP2554" s="1"/>
      <c r="AQ2554" s="1"/>
      <c r="AR2554" s="1"/>
      <c r="AS2554" s="1"/>
      <c r="AT2554" s="1"/>
      <c r="AU2554" s="1"/>
      <c r="AV2554" s="1"/>
      <c r="AW2554" s="1"/>
      <c r="AX2554" s="1"/>
      <c r="AY2554" s="1"/>
      <c r="AZ2554" s="1"/>
      <c r="BA2554" s="1"/>
      <c r="BB2554" s="1"/>
      <c r="BC2554" s="1"/>
      <c r="BD2554" s="1"/>
      <c r="BE2554" s="1"/>
      <c r="BF2554" s="1"/>
      <c r="BG2554" s="1"/>
      <c r="BH2554" s="1"/>
      <c r="BI2554" s="1"/>
      <c r="BJ2554" s="1"/>
      <c r="BK2554" s="1"/>
      <c r="BL2554" s="1"/>
      <c r="BM2554" s="1"/>
      <c r="BN2554" s="1"/>
      <c r="BO2554" s="1"/>
      <c r="BP2554" s="1"/>
      <c r="BQ2554" s="1"/>
      <c r="BR2554" s="1"/>
      <c r="BS2554" s="1"/>
      <c r="BT2554" s="1"/>
      <c r="BU2554" s="1"/>
      <c r="BV2554" s="1"/>
      <c r="BW2554" s="1"/>
      <c r="BX2554" s="1"/>
      <c r="BY2554" s="1"/>
      <c r="BZ2554" s="1"/>
      <c r="CA2554" s="1"/>
      <c r="CB2554" s="1"/>
      <c r="CC2554" s="1"/>
      <c r="CD2554" s="1"/>
      <c r="CE2554" s="1"/>
      <c r="CF2554" s="1"/>
      <c r="CG2554" s="1"/>
      <c r="CH2554" s="1"/>
      <c r="CI2554" s="1"/>
      <c r="CJ2554" s="1"/>
      <c r="CK2554" s="1"/>
      <c r="CL2554" s="1"/>
      <c r="CM2554" s="1"/>
      <c r="CN2554" s="1"/>
      <c r="CO2554" s="1"/>
      <c r="CP2554" s="1"/>
      <c r="CQ2554" s="1"/>
      <c r="CR2554" s="1"/>
      <c r="CS2554" s="1"/>
      <c r="CT2554" s="1"/>
      <c r="CU2554" s="1"/>
      <c r="CV2554" s="1"/>
      <c r="CW2554" s="1"/>
      <c r="CX2554" s="1"/>
      <c r="CY2554" s="1"/>
      <c r="CZ2554" s="1"/>
      <c r="DA2554" s="1"/>
      <c r="DB2554" s="1"/>
      <c r="DC2554" s="1"/>
      <c r="DD2554" s="1"/>
      <c r="DE2554" s="1"/>
      <c r="DF2554" s="1"/>
      <c r="DG2554" s="1"/>
      <c r="DH2554" s="1"/>
      <c r="DI2554" s="1"/>
      <c r="DJ2554" s="1"/>
      <c r="DK2554" s="1"/>
      <c r="DL2554" s="1"/>
      <c r="DM2554" s="1"/>
      <c r="DN2554" s="1"/>
      <c r="DO2554" s="1"/>
      <c r="DP2554" s="1"/>
      <c r="DQ2554" s="1"/>
      <c r="DR2554" s="1"/>
      <c r="DS2554" s="1"/>
      <c r="DT2554" s="1"/>
      <c r="DU2554" s="1"/>
      <c r="DV2554" s="1"/>
      <c r="DW2554" s="1"/>
      <c r="DX2554" s="1"/>
      <c r="DY2554" s="1"/>
      <c r="DZ2554" s="1"/>
      <c r="EA2554" s="1"/>
      <c r="EB2554" s="1"/>
      <c r="EC2554" s="1"/>
      <c r="ED2554" s="1"/>
      <c r="EE2554" s="1"/>
      <c r="EF2554" s="1"/>
      <c r="EG2554" s="1"/>
      <c r="EH2554" s="1"/>
      <c r="EI2554" s="1"/>
      <c r="EJ2554" s="1"/>
      <c r="EK2554" s="1"/>
      <c r="EL2554" s="1"/>
      <c r="EM2554" s="1"/>
      <c r="EN2554" s="1"/>
      <c r="EO2554" s="1"/>
      <c r="EP2554" s="1"/>
      <c r="EQ2554" s="1"/>
      <c r="ER2554" s="1"/>
      <c r="ES2554" s="1"/>
      <c r="ET2554" s="1"/>
      <c r="EU2554" s="1"/>
      <c r="EV2554" s="1"/>
      <c r="EW2554" s="1"/>
      <c r="EX2554" s="1"/>
      <c r="EY2554" s="1"/>
      <c r="EZ2554" s="1"/>
      <c r="FA2554" s="1"/>
      <c r="FB2554" s="1"/>
      <c r="FC2554" s="1"/>
      <c r="FD2554" s="1"/>
      <c r="FE2554" s="1"/>
      <c r="FF2554" s="1"/>
      <c r="FG2554" s="1"/>
      <c r="FH2554" s="1"/>
      <c r="FI2554" s="1"/>
      <c r="FJ2554" s="1"/>
      <c r="FK2554" s="1"/>
      <c r="FL2554" s="1"/>
      <c r="FM2554" s="1"/>
      <c r="FN2554" s="1"/>
      <c r="FO2554" s="1"/>
      <c r="FP2554" s="1"/>
      <c r="FQ2554" s="1"/>
      <c r="FR2554" s="1"/>
      <c r="FS2554" s="1"/>
      <c r="FT2554" s="1"/>
      <c r="FU2554" s="1"/>
      <c r="FV2554" s="1"/>
      <c r="FW2554" s="1"/>
      <c r="FX2554" s="1"/>
      <c r="FY2554" s="1"/>
      <c r="FZ2554" s="1"/>
      <c r="GA2554" s="1"/>
      <c r="GB2554" s="1"/>
      <c r="GC2554" s="1"/>
      <c r="GD2554" s="1"/>
      <c r="GE2554" s="1"/>
      <c r="GF2554" s="1"/>
      <c r="GG2554" s="1"/>
      <c r="GH2554" s="1"/>
      <c r="GI2554" s="1"/>
      <c r="GJ2554" s="1"/>
      <c r="GK2554" s="1"/>
      <c r="GL2554" s="1"/>
      <c r="GM2554" s="1"/>
      <c r="GN2554" s="1"/>
      <c r="GO2554" s="1"/>
      <c r="GP2554" s="1"/>
      <c r="GQ2554" s="1"/>
      <c r="GR2554" s="1"/>
      <c r="GS2554" s="1"/>
      <c r="GT2554" s="1"/>
      <c r="GU2554" s="1"/>
      <c r="GV2554" s="1"/>
      <c r="GW2554" s="1"/>
      <c r="GX2554" s="1"/>
      <c r="GY2554" s="1"/>
      <c r="GZ2554" s="1"/>
      <c r="HA2554" s="1"/>
      <c r="HB2554" s="1"/>
      <c r="HC2554" s="1"/>
      <c r="HD2554" s="1"/>
      <c r="HE2554" s="1"/>
      <c r="HF2554" s="1"/>
      <c r="HG2554" s="1"/>
      <c r="HH2554" s="1"/>
      <c r="HI2554" s="1"/>
      <c r="HJ2554" s="1"/>
      <c r="HK2554" s="1"/>
      <c r="HL2554" s="1"/>
      <c r="HM2554" s="1"/>
      <c r="HN2554" s="1"/>
      <c r="HO2554" s="1"/>
      <c r="HP2554" s="1"/>
      <c r="HQ2554" s="1"/>
    </row>
    <row r="2555" spans="1:225" ht="15.75" customHeight="1" x14ac:dyDescent="0.35">
      <c r="A2555" s="307">
        <f>A2552+1</f>
        <v>13</v>
      </c>
      <c r="B2555" s="307">
        <v>6832</v>
      </c>
      <c r="C2555" s="259" t="s">
        <v>476</v>
      </c>
      <c r="D2555" s="262">
        <v>2867.33</v>
      </c>
      <c r="E2555" s="262" t="s">
        <v>75</v>
      </c>
      <c r="F2555" s="265">
        <v>5</v>
      </c>
      <c r="G2555" s="256" t="s">
        <v>72</v>
      </c>
      <c r="H2555" s="159" t="s">
        <v>73</v>
      </c>
      <c r="I2555" s="158">
        <f>I2556+I2557</f>
        <v>5732939.5999999996</v>
      </c>
      <c r="J2555" s="158">
        <f>J2556+J2557</f>
        <v>1999.4</v>
      </c>
      <c r="K2555" s="158">
        <f>K2556+K2557</f>
        <v>2831</v>
      </c>
      <c r="L2555" s="1"/>
      <c r="M2555" s="1"/>
      <c r="N2555" s="1"/>
      <c r="O2555" s="1"/>
      <c r="P2555" s="1"/>
      <c r="Q2555" s="1"/>
      <c r="R2555" s="1"/>
      <c r="S2555" s="1"/>
      <c r="T2555" s="1"/>
      <c r="U2555" s="1"/>
      <c r="V2555" s="1"/>
      <c r="W2555" s="1"/>
      <c r="X2555" s="1"/>
      <c r="Y2555" s="1"/>
      <c r="Z2555" s="1"/>
      <c r="AA2555" s="1"/>
      <c r="AB2555" s="1"/>
      <c r="AC2555" s="1"/>
      <c r="AD2555" s="1"/>
      <c r="AE2555" s="1"/>
      <c r="AF2555" s="1"/>
      <c r="AG2555" s="1"/>
      <c r="AH2555" s="1"/>
      <c r="AI2555" s="1"/>
      <c r="AJ2555" s="1"/>
      <c r="AK2555" s="1"/>
      <c r="AL2555" s="1"/>
      <c r="AM2555" s="1"/>
      <c r="AN2555" s="1"/>
      <c r="AO2555" s="1"/>
      <c r="AP2555" s="1"/>
      <c r="AQ2555" s="1"/>
      <c r="AR2555" s="1"/>
      <c r="AS2555" s="1"/>
      <c r="AT2555" s="1"/>
      <c r="AU2555" s="1"/>
      <c r="AV2555" s="1"/>
      <c r="AW2555" s="1"/>
      <c r="AX2555" s="1"/>
      <c r="AY2555" s="1"/>
      <c r="AZ2555" s="1"/>
      <c r="BA2555" s="1"/>
      <c r="BB2555" s="1"/>
      <c r="BC2555" s="1"/>
      <c r="BD2555" s="1"/>
      <c r="BE2555" s="1"/>
      <c r="BF2555" s="1"/>
      <c r="BG2555" s="1"/>
      <c r="BH2555" s="1"/>
      <c r="BI2555" s="1"/>
      <c r="BJ2555" s="1"/>
      <c r="BK2555" s="1"/>
      <c r="BL2555" s="1"/>
      <c r="BM2555" s="1"/>
      <c r="BN2555" s="1"/>
      <c r="BO2555" s="1"/>
      <c r="BP2555" s="1"/>
      <c r="BQ2555" s="1"/>
      <c r="BR2555" s="1"/>
      <c r="BS2555" s="1"/>
      <c r="BT2555" s="1"/>
      <c r="BU2555" s="1"/>
      <c r="BV2555" s="1"/>
      <c r="BW2555" s="1"/>
      <c r="BX2555" s="1"/>
      <c r="BY2555" s="1"/>
      <c r="BZ2555" s="1"/>
      <c r="CA2555" s="1"/>
      <c r="CB2555" s="1"/>
      <c r="CC2555" s="1"/>
      <c r="CD2555" s="1"/>
      <c r="CE2555" s="1"/>
      <c r="CF2555" s="1"/>
      <c r="CG2555" s="1"/>
      <c r="CH2555" s="1"/>
      <c r="CI2555" s="1"/>
      <c r="CJ2555" s="1"/>
      <c r="CK2555" s="1"/>
      <c r="CL2555" s="1"/>
      <c r="CM2555" s="1"/>
      <c r="CN2555" s="1"/>
      <c r="CO2555" s="1"/>
      <c r="CP2555" s="1"/>
      <c r="CQ2555" s="1"/>
      <c r="CR2555" s="1"/>
      <c r="CS2555" s="1"/>
      <c r="CT2555" s="1"/>
      <c r="CU2555" s="1"/>
      <c r="CV2555" s="1"/>
      <c r="CW2555" s="1"/>
      <c r="CX2555" s="1"/>
      <c r="CY2555" s="1"/>
      <c r="CZ2555" s="1"/>
      <c r="DA2555" s="1"/>
      <c r="DB2555" s="1"/>
      <c r="DC2555" s="1"/>
      <c r="DD2555" s="1"/>
      <c r="DE2555" s="1"/>
      <c r="DF2555" s="1"/>
      <c r="DG2555" s="1"/>
      <c r="DH2555" s="1"/>
      <c r="DI2555" s="1"/>
      <c r="DJ2555" s="1"/>
      <c r="DK2555" s="1"/>
      <c r="DL2555" s="1"/>
      <c r="DM2555" s="1"/>
      <c r="DN2555" s="1"/>
      <c r="DO2555" s="1"/>
      <c r="DP2555" s="1"/>
      <c r="DQ2555" s="1"/>
      <c r="DR2555" s="1"/>
      <c r="DS2555" s="1"/>
      <c r="DT2555" s="1"/>
      <c r="DU2555" s="1"/>
      <c r="DV2555" s="1"/>
      <c r="DW2555" s="1"/>
      <c r="DX2555" s="1"/>
      <c r="DY2555" s="1"/>
      <c r="DZ2555" s="1"/>
      <c r="EA2555" s="1"/>
      <c r="EB2555" s="1"/>
      <c r="EC2555" s="1"/>
      <c r="ED2555" s="1"/>
      <c r="EE2555" s="1"/>
      <c r="EF2555" s="1"/>
      <c r="EG2555" s="1"/>
      <c r="EH2555" s="1"/>
      <c r="EI2555" s="1"/>
      <c r="EJ2555" s="1"/>
      <c r="EK2555" s="1"/>
      <c r="EL2555" s="1"/>
      <c r="EM2555" s="1"/>
      <c r="EN2555" s="1"/>
      <c r="EO2555" s="1"/>
      <c r="EP2555" s="1"/>
      <c r="EQ2555" s="1"/>
      <c r="ER2555" s="1"/>
      <c r="ES2555" s="1"/>
      <c r="ET2555" s="1"/>
      <c r="EU2555" s="1"/>
      <c r="EV2555" s="1"/>
      <c r="EW2555" s="1"/>
      <c r="EX2555" s="1"/>
      <c r="EY2555" s="1"/>
      <c r="EZ2555" s="1"/>
      <c r="FA2555" s="1"/>
      <c r="FB2555" s="1"/>
      <c r="FC2555" s="1"/>
      <c r="FD2555" s="1"/>
      <c r="FE2555" s="1"/>
      <c r="FF2555" s="1"/>
      <c r="FG2555" s="1"/>
      <c r="FH2555" s="1"/>
      <c r="FI2555" s="1"/>
      <c r="FJ2555" s="1"/>
      <c r="FK2555" s="1"/>
      <c r="FL2555" s="1"/>
      <c r="FM2555" s="1"/>
      <c r="FN2555" s="1"/>
      <c r="FO2555" s="1"/>
      <c r="FP2555" s="1"/>
      <c r="FQ2555" s="1"/>
      <c r="FR2555" s="1"/>
      <c r="FS2555" s="1"/>
      <c r="FT2555" s="1"/>
      <c r="FU2555" s="1"/>
      <c r="FV2555" s="1"/>
      <c r="FW2555" s="1"/>
      <c r="FX2555" s="1"/>
      <c r="FY2555" s="1"/>
      <c r="FZ2555" s="1"/>
      <c r="GA2555" s="1"/>
      <c r="GB2555" s="1"/>
      <c r="GC2555" s="1"/>
      <c r="GD2555" s="1"/>
      <c r="GE2555" s="1"/>
      <c r="GF2555" s="1"/>
      <c r="GG2555" s="1"/>
      <c r="GH2555" s="1"/>
      <c r="GI2555" s="1"/>
      <c r="GJ2555" s="1"/>
      <c r="GK2555" s="1"/>
      <c r="GL2555" s="1"/>
      <c r="GM2555" s="1"/>
      <c r="GN2555" s="1"/>
      <c r="GO2555" s="1"/>
      <c r="GP2555" s="1"/>
      <c r="GQ2555" s="1"/>
      <c r="GR2555" s="1"/>
      <c r="GS2555" s="1"/>
      <c r="GT2555" s="1"/>
      <c r="GU2555" s="1"/>
      <c r="GV2555" s="1"/>
      <c r="GW2555" s="1"/>
      <c r="GX2555" s="1"/>
      <c r="GY2555" s="1"/>
      <c r="GZ2555" s="1"/>
      <c r="HA2555" s="1"/>
      <c r="HB2555" s="1"/>
      <c r="HC2555" s="1"/>
      <c r="HD2555" s="1"/>
      <c r="HE2555" s="1"/>
      <c r="HF2555" s="1"/>
      <c r="HG2555" s="1"/>
      <c r="HH2555" s="1"/>
      <c r="HI2555" s="1"/>
      <c r="HJ2555" s="1"/>
      <c r="HK2555" s="1"/>
      <c r="HL2555" s="1"/>
      <c r="HM2555" s="1"/>
      <c r="HN2555" s="1"/>
      <c r="HO2555" s="1"/>
      <c r="HP2555" s="1"/>
      <c r="HQ2555" s="1"/>
    </row>
    <row r="2556" spans="1:225" ht="15.75" customHeight="1" x14ac:dyDescent="0.35">
      <c r="A2556" s="344"/>
      <c r="B2556" s="344"/>
      <c r="C2556" s="260"/>
      <c r="D2556" s="263"/>
      <c r="E2556" s="263"/>
      <c r="F2556" s="266"/>
      <c r="G2556" s="257"/>
      <c r="H2556" s="159" t="s">
        <v>74</v>
      </c>
      <c r="I2556" s="158">
        <f>K2556*D2555*70/100</f>
        <v>5563767.1299999999</v>
      </c>
      <c r="J2556" s="158">
        <f>I2556/D2555</f>
        <v>1940.4</v>
      </c>
      <c r="K2556" s="158">
        <v>2772</v>
      </c>
      <c r="L2556" s="1"/>
      <c r="M2556" s="1"/>
      <c r="N2556" s="1"/>
      <c r="O2556" s="1"/>
      <c r="P2556" s="1"/>
      <c r="Q2556" s="1"/>
      <c r="R2556" s="1"/>
      <c r="S2556" s="1"/>
      <c r="T2556" s="1"/>
      <c r="U2556" s="1"/>
      <c r="V2556" s="1"/>
      <c r="W2556" s="1"/>
      <c r="X2556" s="1"/>
      <c r="Y2556" s="1"/>
      <c r="Z2556" s="1"/>
      <c r="AA2556" s="1"/>
      <c r="AB2556" s="1"/>
      <c r="AC2556" s="1"/>
      <c r="AD2556" s="1"/>
      <c r="AE2556" s="1"/>
      <c r="AF2556" s="1"/>
      <c r="AG2556" s="1"/>
      <c r="AH2556" s="1"/>
      <c r="AI2556" s="1"/>
      <c r="AJ2556" s="1"/>
      <c r="AK2556" s="1"/>
      <c r="AL2556" s="1"/>
      <c r="AM2556" s="1"/>
      <c r="AN2556" s="1"/>
      <c r="AO2556" s="1"/>
      <c r="AP2556" s="1"/>
      <c r="AQ2556" s="1"/>
      <c r="AR2556" s="1"/>
      <c r="AS2556" s="1"/>
      <c r="AT2556" s="1"/>
      <c r="AU2556" s="1"/>
      <c r="AV2556" s="1"/>
      <c r="AW2556" s="1"/>
      <c r="AX2556" s="1"/>
      <c r="AY2556" s="1"/>
      <c r="AZ2556" s="1"/>
      <c r="BA2556" s="1"/>
      <c r="BB2556" s="1"/>
      <c r="BC2556" s="1"/>
      <c r="BD2556" s="1"/>
      <c r="BE2556" s="1"/>
      <c r="BF2556" s="1"/>
      <c r="BG2556" s="1"/>
      <c r="BH2556" s="1"/>
      <c r="BI2556" s="1"/>
      <c r="BJ2556" s="1"/>
      <c r="BK2556" s="1"/>
      <c r="BL2556" s="1"/>
      <c r="BM2556" s="1"/>
      <c r="BN2556" s="1"/>
      <c r="BO2556" s="1"/>
      <c r="BP2556" s="1"/>
      <c r="BQ2556" s="1"/>
      <c r="BR2556" s="1"/>
      <c r="BS2556" s="1"/>
      <c r="BT2556" s="1"/>
      <c r="BU2556" s="1"/>
      <c r="BV2556" s="1"/>
      <c r="BW2556" s="1"/>
      <c r="BX2556" s="1"/>
      <c r="BY2556" s="1"/>
      <c r="BZ2556" s="1"/>
      <c r="CA2556" s="1"/>
      <c r="CB2556" s="1"/>
      <c r="CC2556" s="1"/>
      <c r="CD2556" s="1"/>
      <c r="CE2556" s="1"/>
      <c r="CF2556" s="1"/>
      <c r="CG2556" s="1"/>
      <c r="CH2556" s="1"/>
      <c r="CI2556" s="1"/>
      <c r="CJ2556" s="1"/>
      <c r="CK2556" s="1"/>
      <c r="CL2556" s="1"/>
      <c r="CM2556" s="1"/>
      <c r="CN2556" s="1"/>
      <c r="CO2556" s="1"/>
      <c r="CP2556" s="1"/>
      <c r="CQ2556" s="1"/>
      <c r="CR2556" s="1"/>
      <c r="CS2556" s="1"/>
      <c r="CT2556" s="1"/>
      <c r="CU2556" s="1"/>
      <c r="CV2556" s="1"/>
      <c r="CW2556" s="1"/>
      <c r="CX2556" s="1"/>
      <c r="CY2556" s="1"/>
      <c r="CZ2556" s="1"/>
      <c r="DA2556" s="1"/>
      <c r="DB2556" s="1"/>
      <c r="DC2556" s="1"/>
      <c r="DD2556" s="1"/>
      <c r="DE2556" s="1"/>
      <c r="DF2556" s="1"/>
      <c r="DG2556" s="1"/>
      <c r="DH2556" s="1"/>
      <c r="DI2556" s="1"/>
      <c r="DJ2556" s="1"/>
      <c r="DK2556" s="1"/>
      <c r="DL2556" s="1"/>
      <c r="DM2556" s="1"/>
      <c r="DN2556" s="1"/>
      <c r="DO2556" s="1"/>
      <c r="DP2556" s="1"/>
      <c r="DQ2556" s="1"/>
      <c r="DR2556" s="1"/>
      <c r="DS2556" s="1"/>
      <c r="DT2556" s="1"/>
      <c r="DU2556" s="1"/>
      <c r="DV2556" s="1"/>
      <c r="DW2556" s="1"/>
      <c r="DX2556" s="1"/>
      <c r="DY2556" s="1"/>
      <c r="DZ2556" s="1"/>
      <c r="EA2556" s="1"/>
      <c r="EB2556" s="1"/>
      <c r="EC2556" s="1"/>
      <c r="ED2556" s="1"/>
      <c r="EE2556" s="1"/>
      <c r="EF2556" s="1"/>
      <c r="EG2556" s="1"/>
      <c r="EH2556" s="1"/>
      <c r="EI2556" s="1"/>
      <c r="EJ2556" s="1"/>
      <c r="EK2556" s="1"/>
      <c r="EL2556" s="1"/>
      <c r="EM2556" s="1"/>
      <c r="EN2556" s="1"/>
      <c r="EO2556" s="1"/>
      <c r="EP2556" s="1"/>
      <c r="EQ2556" s="1"/>
      <c r="ER2556" s="1"/>
      <c r="ES2556" s="1"/>
      <c r="ET2556" s="1"/>
      <c r="EU2556" s="1"/>
      <c r="EV2556" s="1"/>
      <c r="EW2556" s="1"/>
      <c r="EX2556" s="1"/>
      <c r="EY2556" s="1"/>
      <c r="EZ2556" s="1"/>
      <c r="FA2556" s="1"/>
      <c r="FB2556" s="1"/>
      <c r="FC2556" s="1"/>
      <c r="FD2556" s="1"/>
      <c r="FE2556" s="1"/>
      <c r="FF2556" s="1"/>
      <c r="FG2556" s="1"/>
      <c r="FH2556" s="1"/>
      <c r="FI2556" s="1"/>
      <c r="FJ2556" s="1"/>
      <c r="FK2556" s="1"/>
      <c r="FL2556" s="1"/>
      <c r="FM2556" s="1"/>
      <c r="FN2556" s="1"/>
      <c r="FO2556" s="1"/>
      <c r="FP2556" s="1"/>
      <c r="FQ2556" s="1"/>
      <c r="FR2556" s="1"/>
      <c r="FS2556" s="1"/>
      <c r="FT2556" s="1"/>
      <c r="FU2556" s="1"/>
      <c r="FV2556" s="1"/>
      <c r="FW2556" s="1"/>
      <c r="FX2556" s="1"/>
      <c r="FY2556" s="1"/>
      <c r="FZ2556" s="1"/>
      <c r="GA2556" s="1"/>
      <c r="GB2556" s="1"/>
      <c r="GC2556" s="1"/>
      <c r="GD2556" s="1"/>
      <c r="GE2556" s="1"/>
      <c r="GF2556" s="1"/>
      <c r="GG2556" s="1"/>
      <c r="GH2556" s="1"/>
      <c r="GI2556" s="1"/>
      <c r="GJ2556" s="1"/>
      <c r="GK2556" s="1"/>
      <c r="GL2556" s="1"/>
      <c r="GM2556" s="1"/>
      <c r="GN2556" s="1"/>
      <c r="GO2556" s="1"/>
      <c r="GP2556" s="1"/>
      <c r="GQ2556" s="1"/>
      <c r="GR2556" s="1"/>
      <c r="GS2556" s="1"/>
      <c r="GT2556" s="1"/>
      <c r="GU2556" s="1"/>
      <c r="GV2556" s="1"/>
      <c r="GW2556" s="1"/>
      <c r="GX2556" s="1"/>
      <c r="GY2556" s="1"/>
      <c r="GZ2556" s="1"/>
      <c r="HA2556" s="1"/>
      <c r="HB2556" s="1"/>
      <c r="HC2556" s="1"/>
      <c r="HD2556" s="1"/>
      <c r="HE2556" s="1"/>
      <c r="HF2556" s="1"/>
      <c r="HG2556" s="1"/>
      <c r="HH2556" s="1"/>
      <c r="HI2556" s="1"/>
      <c r="HJ2556" s="1"/>
      <c r="HK2556" s="1"/>
      <c r="HL2556" s="1"/>
      <c r="HM2556" s="1"/>
      <c r="HN2556" s="1"/>
      <c r="HO2556" s="1"/>
      <c r="HP2556" s="1"/>
      <c r="HQ2556" s="1"/>
    </row>
    <row r="2557" spans="1:225" ht="15.75" customHeight="1" x14ac:dyDescent="0.35">
      <c r="A2557" s="338"/>
      <c r="B2557" s="338"/>
      <c r="C2557" s="261"/>
      <c r="D2557" s="264"/>
      <c r="E2557" s="264"/>
      <c r="F2557" s="267"/>
      <c r="G2557" s="258"/>
      <c r="H2557" s="159" t="s">
        <v>76</v>
      </c>
      <c r="I2557" s="158">
        <f>D2555*K2557</f>
        <v>169172.47</v>
      </c>
      <c r="J2557" s="158">
        <f>I2557/D2555</f>
        <v>59</v>
      </c>
      <c r="K2557" s="158">
        <v>59</v>
      </c>
      <c r="L2557" s="1"/>
      <c r="M2557" s="1"/>
      <c r="N2557" s="1"/>
      <c r="O2557" s="1"/>
      <c r="P2557" s="1"/>
      <c r="Q2557" s="1"/>
      <c r="R2557" s="1"/>
      <c r="S2557" s="1"/>
      <c r="T2557" s="1"/>
      <c r="U2557" s="1"/>
      <c r="V2557" s="1"/>
      <c r="W2557" s="1"/>
      <c r="X2557" s="1"/>
      <c r="Y2557" s="1"/>
      <c r="Z2557" s="1"/>
      <c r="AA2557" s="1"/>
      <c r="AB2557" s="1"/>
      <c r="AC2557" s="1"/>
      <c r="AD2557" s="1"/>
      <c r="AE2557" s="1"/>
      <c r="AF2557" s="1"/>
      <c r="AG2557" s="1"/>
      <c r="AH2557" s="1"/>
      <c r="AI2557" s="1"/>
      <c r="AJ2557" s="1"/>
      <c r="AK2557" s="1"/>
      <c r="AL2557" s="1"/>
      <c r="AM2557" s="1"/>
      <c r="AN2557" s="1"/>
      <c r="AO2557" s="1"/>
      <c r="AP2557" s="1"/>
      <c r="AQ2557" s="1"/>
      <c r="AR2557" s="1"/>
      <c r="AS2557" s="1"/>
      <c r="AT2557" s="1"/>
      <c r="AU2557" s="1"/>
      <c r="AV2557" s="1"/>
      <c r="AW2557" s="1"/>
      <c r="AX2557" s="1"/>
      <c r="AY2557" s="1"/>
      <c r="AZ2557" s="1"/>
      <c r="BA2557" s="1"/>
      <c r="BB2557" s="1"/>
      <c r="BC2557" s="1"/>
      <c r="BD2557" s="1"/>
      <c r="BE2557" s="1"/>
      <c r="BF2557" s="1"/>
      <c r="BG2557" s="1"/>
      <c r="BH2557" s="1"/>
      <c r="BI2557" s="1"/>
      <c r="BJ2557" s="1"/>
      <c r="BK2557" s="1"/>
      <c r="BL2557" s="1"/>
      <c r="BM2557" s="1"/>
      <c r="BN2557" s="1"/>
      <c r="BO2557" s="1"/>
      <c r="BP2557" s="1"/>
      <c r="BQ2557" s="1"/>
      <c r="BR2557" s="1"/>
      <c r="BS2557" s="1"/>
      <c r="BT2557" s="1"/>
      <c r="BU2557" s="1"/>
      <c r="BV2557" s="1"/>
      <c r="BW2557" s="1"/>
      <c r="BX2557" s="1"/>
      <c r="BY2557" s="1"/>
      <c r="BZ2557" s="1"/>
      <c r="CA2557" s="1"/>
      <c r="CB2557" s="1"/>
      <c r="CC2557" s="1"/>
      <c r="CD2557" s="1"/>
      <c r="CE2557" s="1"/>
      <c r="CF2557" s="1"/>
      <c r="CG2557" s="1"/>
      <c r="CH2557" s="1"/>
      <c r="CI2557" s="1"/>
      <c r="CJ2557" s="1"/>
      <c r="CK2557" s="1"/>
      <c r="CL2557" s="1"/>
      <c r="CM2557" s="1"/>
      <c r="CN2557" s="1"/>
      <c r="CO2557" s="1"/>
      <c r="CP2557" s="1"/>
      <c r="CQ2557" s="1"/>
      <c r="CR2557" s="1"/>
      <c r="CS2557" s="1"/>
      <c r="CT2557" s="1"/>
      <c r="CU2557" s="1"/>
      <c r="CV2557" s="1"/>
      <c r="CW2557" s="1"/>
      <c r="CX2557" s="1"/>
      <c r="CY2557" s="1"/>
      <c r="CZ2557" s="1"/>
      <c r="DA2557" s="1"/>
      <c r="DB2557" s="1"/>
      <c r="DC2557" s="1"/>
      <c r="DD2557" s="1"/>
      <c r="DE2557" s="1"/>
      <c r="DF2557" s="1"/>
      <c r="DG2557" s="1"/>
      <c r="DH2557" s="1"/>
      <c r="DI2557" s="1"/>
      <c r="DJ2557" s="1"/>
      <c r="DK2557" s="1"/>
      <c r="DL2557" s="1"/>
      <c r="DM2557" s="1"/>
      <c r="DN2557" s="1"/>
      <c r="DO2557" s="1"/>
      <c r="DP2557" s="1"/>
      <c r="DQ2557" s="1"/>
      <c r="DR2557" s="1"/>
      <c r="DS2557" s="1"/>
      <c r="DT2557" s="1"/>
      <c r="DU2557" s="1"/>
      <c r="DV2557" s="1"/>
      <c r="DW2557" s="1"/>
      <c r="DX2557" s="1"/>
      <c r="DY2557" s="1"/>
      <c r="DZ2557" s="1"/>
      <c r="EA2557" s="1"/>
      <c r="EB2557" s="1"/>
      <c r="EC2557" s="1"/>
      <c r="ED2557" s="1"/>
      <c r="EE2557" s="1"/>
      <c r="EF2557" s="1"/>
      <c r="EG2557" s="1"/>
      <c r="EH2557" s="1"/>
      <c r="EI2557" s="1"/>
      <c r="EJ2557" s="1"/>
      <c r="EK2557" s="1"/>
      <c r="EL2557" s="1"/>
      <c r="EM2557" s="1"/>
      <c r="EN2557" s="1"/>
      <c r="EO2557" s="1"/>
      <c r="EP2557" s="1"/>
      <c r="EQ2557" s="1"/>
      <c r="ER2557" s="1"/>
      <c r="ES2557" s="1"/>
      <c r="ET2557" s="1"/>
      <c r="EU2557" s="1"/>
      <c r="EV2557" s="1"/>
      <c r="EW2557" s="1"/>
      <c r="EX2557" s="1"/>
      <c r="EY2557" s="1"/>
      <c r="EZ2557" s="1"/>
      <c r="FA2557" s="1"/>
      <c r="FB2557" s="1"/>
      <c r="FC2557" s="1"/>
      <c r="FD2557" s="1"/>
      <c r="FE2557" s="1"/>
      <c r="FF2557" s="1"/>
      <c r="FG2557" s="1"/>
      <c r="FH2557" s="1"/>
      <c r="FI2557" s="1"/>
      <c r="FJ2557" s="1"/>
      <c r="FK2557" s="1"/>
      <c r="FL2557" s="1"/>
      <c r="FM2557" s="1"/>
      <c r="FN2557" s="1"/>
      <c r="FO2557" s="1"/>
      <c r="FP2557" s="1"/>
      <c r="FQ2557" s="1"/>
      <c r="FR2557" s="1"/>
      <c r="FS2557" s="1"/>
      <c r="FT2557" s="1"/>
      <c r="FU2557" s="1"/>
      <c r="FV2557" s="1"/>
      <c r="FW2557" s="1"/>
      <c r="FX2557" s="1"/>
      <c r="FY2557" s="1"/>
      <c r="FZ2557" s="1"/>
      <c r="GA2557" s="1"/>
      <c r="GB2557" s="1"/>
      <c r="GC2557" s="1"/>
      <c r="GD2557" s="1"/>
      <c r="GE2557" s="1"/>
      <c r="GF2557" s="1"/>
      <c r="GG2557" s="1"/>
      <c r="GH2557" s="1"/>
      <c r="GI2557" s="1"/>
      <c r="GJ2557" s="1"/>
      <c r="GK2557" s="1"/>
      <c r="GL2557" s="1"/>
      <c r="GM2557" s="1"/>
      <c r="GN2557" s="1"/>
      <c r="GO2557" s="1"/>
      <c r="GP2557" s="1"/>
      <c r="GQ2557" s="1"/>
      <c r="GR2557" s="1"/>
      <c r="GS2557" s="1"/>
      <c r="GT2557" s="1"/>
      <c r="GU2557" s="1"/>
      <c r="GV2557" s="1"/>
      <c r="GW2557" s="1"/>
      <c r="GX2557" s="1"/>
      <c r="GY2557" s="1"/>
      <c r="GZ2557" s="1"/>
      <c r="HA2557" s="1"/>
      <c r="HB2557" s="1"/>
      <c r="HC2557" s="1"/>
      <c r="HD2557" s="1"/>
      <c r="HE2557" s="1"/>
      <c r="HF2557" s="1"/>
      <c r="HG2557" s="1"/>
      <c r="HH2557" s="1"/>
      <c r="HI2557" s="1"/>
      <c r="HJ2557" s="1"/>
      <c r="HK2557" s="1"/>
      <c r="HL2557" s="1"/>
      <c r="HM2557" s="1"/>
      <c r="HN2557" s="1"/>
      <c r="HO2557" s="1"/>
      <c r="HP2557" s="1"/>
      <c r="HQ2557" s="1"/>
    </row>
    <row r="2558" spans="1:225" ht="15.75" customHeight="1" x14ac:dyDescent="0.35">
      <c r="A2558" s="307">
        <f>A2555+1</f>
        <v>14</v>
      </c>
      <c r="B2558" s="345">
        <v>7021</v>
      </c>
      <c r="C2558" s="259" t="s">
        <v>477</v>
      </c>
      <c r="D2558" s="262">
        <v>871.7</v>
      </c>
      <c r="E2558" s="262" t="s">
        <v>71</v>
      </c>
      <c r="F2558" s="265">
        <v>2</v>
      </c>
      <c r="G2558" s="123"/>
      <c r="H2558" s="159" t="s">
        <v>73</v>
      </c>
      <c r="I2558" s="158">
        <f>SUM(I2559:I2566)</f>
        <v>5301679.4000000004</v>
      </c>
      <c r="J2558" s="158">
        <f>SUM(J2559:J2566)</f>
        <v>6082</v>
      </c>
      <c r="K2558" s="158">
        <f>SUM(K2559:K2566)</f>
        <v>6082</v>
      </c>
      <c r="L2558" s="1"/>
      <c r="M2558" s="1"/>
      <c r="N2558" s="1"/>
      <c r="O2558" s="1"/>
      <c r="P2558" s="1"/>
      <c r="Q2558" s="1"/>
      <c r="R2558" s="1"/>
      <c r="S2558" s="1"/>
      <c r="T2558" s="1"/>
      <c r="U2558" s="1"/>
      <c r="V2558" s="1"/>
      <c r="W2558" s="1"/>
      <c r="X2558" s="1"/>
      <c r="Y2558" s="1"/>
      <c r="Z2558" s="1"/>
      <c r="AA2558" s="1"/>
      <c r="AB2558" s="1"/>
      <c r="AC2558" s="1"/>
      <c r="AD2558" s="1"/>
      <c r="AE2558" s="1"/>
      <c r="AF2558" s="1"/>
      <c r="AG2558" s="1"/>
      <c r="AH2558" s="1"/>
      <c r="AI2558" s="1"/>
      <c r="AJ2558" s="1"/>
      <c r="AK2558" s="1"/>
      <c r="AL2558" s="1"/>
      <c r="AM2558" s="1"/>
      <c r="AN2558" s="1"/>
      <c r="AO2558" s="1"/>
      <c r="AP2558" s="1"/>
      <c r="AQ2558" s="1"/>
      <c r="AR2558" s="1"/>
      <c r="AS2558" s="1"/>
      <c r="AT2558" s="1"/>
      <c r="AU2558" s="1"/>
      <c r="AV2558" s="1"/>
      <c r="AW2558" s="1"/>
      <c r="AX2558" s="1"/>
      <c r="AY2558" s="1"/>
      <c r="AZ2558" s="1"/>
      <c r="BA2558" s="1"/>
      <c r="BB2558" s="1"/>
      <c r="BC2558" s="1"/>
      <c r="BD2558" s="1"/>
      <c r="BE2558" s="1"/>
      <c r="BF2558" s="1"/>
      <c r="BG2558" s="1"/>
      <c r="BH2558" s="1"/>
      <c r="BI2558" s="1"/>
      <c r="BJ2558" s="1"/>
      <c r="BK2558" s="1"/>
      <c r="BL2558" s="1"/>
      <c r="BM2558" s="1"/>
      <c r="BN2558" s="1"/>
      <c r="BO2558" s="1"/>
      <c r="BP2558" s="1"/>
      <c r="BQ2558" s="1"/>
      <c r="BR2558" s="1"/>
      <c r="BS2558" s="1"/>
      <c r="BT2558" s="1"/>
      <c r="BU2558" s="1"/>
      <c r="BV2558" s="1"/>
      <c r="BW2558" s="1"/>
      <c r="BX2558" s="1"/>
      <c r="BY2558" s="1"/>
      <c r="BZ2558" s="1"/>
      <c r="CA2558" s="1"/>
      <c r="CB2558" s="1"/>
      <c r="CC2558" s="1"/>
      <c r="CD2558" s="1"/>
      <c r="CE2558" s="1"/>
      <c r="CF2558" s="1"/>
      <c r="CG2558" s="1"/>
      <c r="CH2558" s="1"/>
      <c r="CI2558" s="1"/>
      <c r="CJ2558" s="1"/>
      <c r="CK2558" s="1"/>
      <c r="CL2558" s="1"/>
      <c r="CM2558" s="1"/>
      <c r="CN2558" s="1"/>
      <c r="CO2558" s="1"/>
      <c r="CP2558" s="1"/>
      <c r="CQ2558" s="1"/>
      <c r="CR2558" s="1"/>
      <c r="CS2558" s="1"/>
      <c r="CT2558" s="1"/>
      <c r="CU2558" s="1"/>
      <c r="CV2558" s="1"/>
      <c r="CW2558" s="1"/>
      <c r="CX2558" s="1"/>
      <c r="CY2558" s="1"/>
      <c r="CZ2558" s="1"/>
      <c r="DA2558" s="1"/>
      <c r="DB2558" s="1"/>
      <c r="DC2558" s="1"/>
      <c r="DD2558" s="1"/>
      <c r="DE2558" s="1"/>
      <c r="DF2558" s="1"/>
      <c r="DG2558" s="1"/>
      <c r="DH2558" s="1"/>
      <c r="DI2558" s="1"/>
      <c r="DJ2558" s="1"/>
      <c r="DK2558" s="1"/>
      <c r="DL2558" s="1"/>
      <c r="DM2558" s="1"/>
      <c r="DN2558" s="1"/>
      <c r="DO2558" s="1"/>
      <c r="DP2558" s="1"/>
      <c r="DQ2558" s="1"/>
      <c r="DR2558" s="1"/>
      <c r="DS2558" s="1"/>
      <c r="DT2558" s="1"/>
      <c r="DU2558" s="1"/>
      <c r="DV2558" s="1"/>
      <c r="DW2558" s="1"/>
      <c r="DX2558" s="1"/>
      <c r="DY2558" s="1"/>
      <c r="DZ2558" s="1"/>
      <c r="EA2558" s="1"/>
      <c r="EB2558" s="1"/>
      <c r="EC2558" s="1"/>
      <c r="ED2558" s="1"/>
      <c r="EE2558" s="1"/>
      <c r="EF2558" s="1"/>
      <c r="EG2558" s="1"/>
      <c r="EH2558" s="1"/>
      <c r="EI2558" s="1"/>
      <c r="EJ2558" s="1"/>
      <c r="EK2558" s="1"/>
      <c r="EL2558" s="1"/>
      <c r="EM2558" s="1"/>
      <c r="EN2558" s="1"/>
      <c r="EO2558" s="1"/>
      <c r="EP2558" s="1"/>
      <c r="EQ2558" s="1"/>
      <c r="ER2558" s="1"/>
      <c r="ES2558" s="1"/>
      <c r="ET2558" s="1"/>
      <c r="EU2558" s="1"/>
      <c r="EV2558" s="1"/>
      <c r="EW2558" s="1"/>
      <c r="EX2558" s="1"/>
      <c r="EY2558" s="1"/>
      <c r="EZ2558" s="1"/>
      <c r="FA2558" s="1"/>
      <c r="FB2558" s="1"/>
      <c r="FC2558" s="1"/>
      <c r="FD2558" s="1"/>
      <c r="FE2558" s="1"/>
      <c r="FF2558" s="1"/>
      <c r="FG2558" s="1"/>
      <c r="FH2558" s="1"/>
      <c r="FI2558" s="1"/>
      <c r="FJ2558" s="1"/>
      <c r="FK2558" s="1"/>
      <c r="FL2558" s="1"/>
      <c r="FM2558" s="1"/>
      <c r="FN2558" s="1"/>
      <c r="FO2558" s="1"/>
      <c r="FP2558" s="1"/>
      <c r="FQ2558" s="1"/>
      <c r="FR2558" s="1"/>
      <c r="FS2558" s="1"/>
      <c r="FT2558" s="1"/>
      <c r="FU2558" s="1"/>
      <c r="FV2558" s="1"/>
      <c r="FW2558" s="1"/>
      <c r="FX2558" s="1"/>
      <c r="FY2558" s="1"/>
      <c r="FZ2558" s="1"/>
      <c r="GA2558" s="1"/>
      <c r="GB2558" s="1"/>
      <c r="GC2558" s="1"/>
      <c r="GD2558" s="1"/>
      <c r="GE2558" s="1"/>
      <c r="GF2558" s="1"/>
      <c r="GG2558" s="1"/>
      <c r="GH2558" s="1"/>
      <c r="GI2558" s="1"/>
      <c r="GJ2558" s="1"/>
      <c r="GK2558" s="1"/>
      <c r="GL2558" s="1"/>
      <c r="GM2558" s="1"/>
      <c r="GN2558" s="1"/>
      <c r="GO2558" s="1"/>
      <c r="GP2558" s="1"/>
      <c r="GQ2558" s="1"/>
      <c r="GR2558" s="1"/>
      <c r="GS2558" s="1"/>
      <c r="GT2558" s="1"/>
      <c r="GU2558" s="1"/>
      <c r="GV2558" s="1"/>
      <c r="GW2558" s="1"/>
      <c r="GX2558" s="1"/>
      <c r="GY2558" s="1"/>
      <c r="GZ2558" s="1"/>
      <c r="HA2558" s="1"/>
      <c r="HB2558" s="1"/>
      <c r="HC2558" s="1"/>
      <c r="HD2558" s="1"/>
      <c r="HE2558" s="1"/>
      <c r="HF2558" s="1"/>
      <c r="HG2558" s="1"/>
      <c r="HH2558" s="1"/>
      <c r="HI2558" s="1"/>
      <c r="HJ2558" s="1"/>
      <c r="HK2558" s="1"/>
      <c r="HL2558" s="1"/>
      <c r="HM2558" s="1"/>
      <c r="HN2558" s="1"/>
      <c r="HO2558" s="1"/>
      <c r="HP2558" s="1"/>
      <c r="HQ2558" s="1"/>
    </row>
    <row r="2559" spans="1:225" ht="15.75" customHeight="1" x14ac:dyDescent="0.35">
      <c r="A2559" s="344"/>
      <c r="B2559" s="346"/>
      <c r="C2559" s="260"/>
      <c r="D2559" s="263"/>
      <c r="E2559" s="263"/>
      <c r="F2559" s="266"/>
      <c r="G2559" s="257" t="s">
        <v>77</v>
      </c>
      <c r="H2559" s="159" t="s">
        <v>74</v>
      </c>
      <c r="I2559" s="158">
        <f>D2558*K2559</f>
        <v>2345744.7000000002</v>
      </c>
      <c r="J2559" s="158">
        <f>I2559/D2558</f>
        <v>2691</v>
      </c>
      <c r="K2559" s="158">
        <v>2691</v>
      </c>
      <c r="L2559" s="1"/>
      <c r="M2559" s="1"/>
      <c r="N2559" s="1"/>
      <c r="O2559" s="1"/>
      <c r="P2559" s="1"/>
      <c r="Q2559" s="1"/>
      <c r="R2559" s="1"/>
      <c r="S2559" s="1"/>
      <c r="T2559" s="1"/>
      <c r="U2559" s="1"/>
      <c r="V2559" s="1"/>
      <c r="W2559" s="1"/>
      <c r="X2559" s="1"/>
      <c r="Y2559" s="1"/>
      <c r="Z2559" s="1"/>
      <c r="AA2559" s="1"/>
      <c r="AB2559" s="1"/>
      <c r="AC2559" s="1"/>
      <c r="AD2559" s="1"/>
      <c r="AE2559" s="1"/>
      <c r="AF2559" s="1"/>
      <c r="AG2559" s="1"/>
      <c r="AH2559" s="1"/>
      <c r="AI2559" s="1"/>
      <c r="AJ2559" s="1"/>
      <c r="AK2559" s="1"/>
      <c r="AL2559" s="1"/>
      <c r="AM2559" s="1"/>
      <c r="AN2559" s="1"/>
      <c r="AO2559" s="1"/>
      <c r="AP2559" s="1"/>
      <c r="AQ2559" s="1"/>
      <c r="AR2559" s="1"/>
      <c r="AS2559" s="1"/>
      <c r="AT2559" s="1"/>
      <c r="AU2559" s="1"/>
      <c r="AV2559" s="1"/>
      <c r="AW2559" s="1"/>
      <c r="AX2559" s="1"/>
      <c r="AY2559" s="1"/>
      <c r="AZ2559" s="1"/>
      <c r="BA2559" s="1"/>
      <c r="BB2559" s="1"/>
      <c r="BC2559" s="1"/>
      <c r="BD2559" s="1"/>
      <c r="BE2559" s="1"/>
      <c r="BF2559" s="1"/>
      <c r="BG2559" s="1"/>
      <c r="BH2559" s="1"/>
      <c r="BI2559" s="1"/>
      <c r="BJ2559" s="1"/>
      <c r="BK2559" s="1"/>
      <c r="BL2559" s="1"/>
      <c r="BM2559" s="1"/>
      <c r="BN2559" s="1"/>
      <c r="BO2559" s="1"/>
      <c r="BP2559" s="1"/>
      <c r="BQ2559" s="1"/>
      <c r="BR2559" s="1"/>
      <c r="BS2559" s="1"/>
      <c r="BT2559" s="1"/>
      <c r="BU2559" s="1"/>
      <c r="BV2559" s="1"/>
      <c r="BW2559" s="1"/>
      <c r="BX2559" s="1"/>
      <c r="BY2559" s="1"/>
      <c r="BZ2559" s="1"/>
      <c r="CA2559" s="1"/>
      <c r="CB2559" s="1"/>
      <c r="CC2559" s="1"/>
      <c r="CD2559" s="1"/>
      <c r="CE2559" s="1"/>
      <c r="CF2559" s="1"/>
      <c r="CG2559" s="1"/>
      <c r="CH2559" s="1"/>
      <c r="CI2559" s="1"/>
      <c r="CJ2559" s="1"/>
      <c r="CK2559" s="1"/>
      <c r="CL2559" s="1"/>
      <c r="CM2559" s="1"/>
      <c r="CN2559" s="1"/>
      <c r="CO2559" s="1"/>
      <c r="CP2559" s="1"/>
      <c r="CQ2559" s="1"/>
      <c r="CR2559" s="1"/>
      <c r="CS2559" s="1"/>
      <c r="CT2559" s="1"/>
      <c r="CU2559" s="1"/>
      <c r="CV2559" s="1"/>
      <c r="CW2559" s="1"/>
      <c r="CX2559" s="1"/>
      <c r="CY2559" s="1"/>
      <c r="CZ2559" s="1"/>
      <c r="DA2559" s="1"/>
      <c r="DB2559" s="1"/>
      <c r="DC2559" s="1"/>
      <c r="DD2559" s="1"/>
      <c r="DE2559" s="1"/>
      <c r="DF2559" s="1"/>
      <c r="DG2559" s="1"/>
      <c r="DH2559" s="1"/>
      <c r="DI2559" s="1"/>
      <c r="DJ2559" s="1"/>
      <c r="DK2559" s="1"/>
      <c r="DL2559" s="1"/>
      <c r="DM2559" s="1"/>
      <c r="DN2559" s="1"/>
      <c r="DO2559" s="1"/>
      <c r="DP2559" s="1"/>
      <c r="DQ2559" s="1"/>
      <c r="DR2559" s="1"/>
      <c r="DS2559" s="1"/>
      <c r="DT2559" s="1"/>
      <c r="DU2559" s="1"/>
      <c r="DV2559" s="1"/>
      <c r="DW2559" s="1"/>
      <c r="DX2559" s="1"/>
      <c r="DY2559" s="1"/>
      <c r="DZ2559" s="1"/>
      <c r="EA2559" s="1"/>
      <c r="EB2559" s="1"/>
      <c r="EC2559" s="1"/>
      <c r="ED2559" s="1"/>
      <c r="EE2559" s="1"/>
      <c r="EF2559" s="1"/>
      <c r="EG2559" s="1"/>
      <c r="EH2559" s="1"/>
      <c r="EI2559" s="1"/>
      <c r="EJ2559" s="1"/>
      <c r="EK2559" s="1"/>
      <c r="EL2559" s="1"/>
      <c r="EM2559" s="1"/>
      <c r="EN2559" s="1"/>
      <c r="EO2559" s="1"/>
      <c r="EP2559" s="1"/>
      <c r="EQ2559" s="1"/>
      <c r="ER2559" s="1"/>
      <c r="ES2559" s="1"/>
      <c r="ET2559" s="1"/>
      <c r="EU2559" s="1"/>
      <c r="EV2559" s="1"/>
      <c r="EW2559" s="1"/>
      <c r="EX2559" s="1"/>
      <c r="EY2559" s="1"/>
      <c r="EZ2559" s="1"/>
      <c r="FA2559" s="1"/>
      <c r="FB2559" s="1"/>
      <c r="FC2559" s="1"/>
      <c r="FD2559" s="1"/>
      <c r="FE2559" s="1"/>
      <c r="FF2559" s="1"/>
      <c r="FG2559" s="1"/>
      <c r="FH2559" s="1"/>
      <c r="FI2559" s="1"/>
      <c r="FJ2559" s="1"/>
      <c r="FK2559" s="1"/>
      <c r="FL2559" s="1"/>
      <c r="FM2559" s="1"/>
      <c r="FN2559" s="1"/>
      <c r="FO2559" s="1"/>
      <c r="FP2559" s="1"/>
      <c r="FQ2559" s="1"/>
      <c r="FR2559" s="1"/>
      <c r="FS2559" s="1"/>
      <c r="FT2559" s="1"/>
      <c r="FU2559" s="1"/>
      <c r="FV2559" s="1"/>
      <c r="FW2559" s="1"/>
      <c r="FX2559" s="1"/>
      <c r="FY2559" s="1"/>
      <c r="FZ2559" s="1"/>
      <c r="GA2559" s="1"/>
      <c r="GB2559" s="1"/>
      <c r="GC2559" s="1"/>
      <c r="GD2559" s="1"/>
      <c r="GE2559" s="1"/>
      <c r="GF2559" s="1"/>
      <c r="GG2559" s="1"/>
      <c r="GH2559" s="1"/>
      <c r="GI2559" s="1"/>
      <c r="GJ2559" s="1"/>
      <c r="GK2559" s="1"/>
      <c r="GL2559" s="1"/>
      <c r="GM2559" s="1"/>
      <c r="GN2559" s="1"/>
      <c r="GO2559" s="1"/>
      <c r="GP2559" s="1"/>
      <c r="GQ2559" s="1"/>
      <c r="GR2559" s="1"/>
      <c r="GS2559" s="1"/>
      <c r="GT2559" s="1"/>
      <c r="GU2559" s="1"/>
      <c r="GV2559" s="1"/>
      <c r="GW2559" s="1"/>
      <c r="GX2559" s="1"/>
      <c r="GY2559" s="1"/>
      <c r="GZ2559" s="1"/>
      <c r="HA2559" s="1"/>
      <c r="HB2559" s="1"/>
      <c r="HC2559" s="1"/>
      <c r="HD2559" s="1"/>
      <c r="HE2559" s="1"/>
      <c r="HF2559" s="1"/>
      <c r="HG2559" s="1"/>
      <c r="HH2559" s="1"/>
      <c r="HI2559" s="1"/>
      <c r="HJ2559" s="1"/>
      <c r="HK2559" s="1"/>
      <c r="HL2559" s="1"/>
      <c r="HM2559" s="1"/>
      <c r="HN2559" s="1"/>
      <c r="HO2559" s="1"/>
      <c r="HP2559" s="1"/>
      <c r="HQ2559" s="1"/>
    </row>
    <row r="2560" spans="1:225" ht="15.75" customHeight="1" x14ac:dyDescent="0.35">
      <c r="A2560" s="344"/>
      <c r="B2560" s="346"/>
      <c r="C2560" s="260"/>
      <c r="D2560" s="263"/>
      <c r="E2560" s="263"/>
      <c r="F2560" s="266"/>
      <c r="G2560" s="258"/>
      <c r="H2560" s="159" t="s">
        <v>76</v>
      </c>
      <c r="I2560" s="158">
        <f>D2558*K2560</f>
        <v>50558.6</v>
      </c>
      <c r="J2560" s="158">
        <f>I2560/D2558</f>
        <v>58</v>
      </c>
      <c r="K2560" s="158">
        <v>58</v>
      </c>
      <c r="L2560" s="1"/>
      <c r="M2560" s="1"/>
      <c r="N2560" s="1"/>
      <c r="O2560" s="1"/>
      <c r="P2560" s="1"/>
      <c r="Q2560" s="1"/>
      <c r="R2560" s="1"/>
      <c r="S2560" s="1"/>
      <c r="T2560" s="1"/>
      <c r="U2560" s="1"/>
      <c r="V2560" s="1"/>
      <c r="W2560" s="1"/>
      <c r="X2560" s="1"/>
      <c r="Y2560" s="1"/>
      <c r="Z2560" s="1"/>
      <c r="AA2560" s="1"/>
      <c r="AB2560" s="1"/>
      <c r="AC2560" s="1"/>
      <c r="AD2560" s="1"/>
      <c r="AE2560" s="1"/>
      <c r="AF2560" s="1"/>
      <c r="AG2560" s="1"/>
      <c r="AH2560" s="1"/>
      <c r="AI2560" s="1"/>
      <c r="AJ2560" s="1"/>
      <c r="AK2560" s="1"/>
      <c r="AL2560" s="1"/>
      <c r="AM2560" s="1"/>
      <c r="AN2560" s="1"/>
      <c r="AO2560" s="1"/>
      <c r="AP2560" s="1"/>
      <c r="AQ2560" s="1"/>
      <c r="AR2560" s="1"/>
      <c r="AS2560" s="1"/>
      <c r="AT2560" s="1"/>
      <c r="AU2560" s="1"/>
      <c r="AV2560" s="1"/>
      <c r="AW2560" s="1"/>
      <c r="AX2560" s="1"/>
      <c r="AY2560" s="1"/>
      <c r="AZ2560" s="1"/>
      <c r="BA2560" s="1"/>
      <c r="BB2560" s="1"/>
      <c r="BC2560" s="1"/>
      <c r="BD2560" s="1"/>
      <c r="BE2560" s="1"/>
      <c r="BF2560" s="1"/>
      <c r="BG2560" s="1"/>
      <c r="BH2560" s="1"/>
      <c r="BI2560" s="1"/>
      <c r="BJ2560" s="1"/>
      <c r="BK2560" s="1"/>
      <c r="BL2560" s="1"/>
      <c r="BM2560" s="1"/>
      <c r="BN2560" s="1"/>
      <c r="BO2560" s="1"/>
      <c r="BP2560" s="1"/>
      <c r="BQ2560" s="1"/>
      <c r="BR2560" s="1"/>
      <c r="BS2560" s="1"/>
      <c r="BT2560" s="1"/>
      <c r="BU2560" s="1"/>
      <c r="BV2560" s="1"/>
      <c r="BW2560" s="1"/>
      <c r="BX2560" s="1"/>
      <c r="BY2560" s="1"/>
      <c r="BZ2560" s="1"/>
      <c r="CA2560" s="1"/>
      <c r="CB2560" s="1"/>
      <c r="CC2560" s="1"/>
      <c r="CD2560" s="1"/>
      <c r="CE2560" s="1"/>
      <c r="CF2560" s="1"/>
      <c r="CG2560" s="1"/>
      <c r="CH2560" s="1"/>
      <c r="CI2560" s="1"/>
      <c r="CJ2560" s="1"/>
      <c r="CK2560" s="1"/>
      <c r="CL2560" s="1"/>
      <c r="CM2560" s="1"/>
      <c r="CN2560" s="1"/>
      <c r="CO2560" s="1"/>
      <c r="CP2560" s="1"/>
      <c r="CQ2560" s="1"/>
      <c r="CR2560" s="1"/>
      <c r="CS2560" s="1"/>
      <c r="CT2560" s="1"/>
      <c r="CU2560" s="1"/>
      <c r="CV2560" s="1"/>
      <c r="CW2560" s="1"/>
      <c r="CX2560" s="1"/>
      <c r="CY2560" s="1"/>
      <c r="CZ2560" s="1"/>
      <c r="DA2560" s="1"/>
      <c r="DB2560" s="1"/>
      <c r="DC2560" s="1"/>
      <c r="DD2560" s="1"/>
      <c r="DE2560" s="1"/>
      <c r="DF2560" s="1"/>
      <c r="DG2560" s="1"/>
      <c r="DH2560" s="1"/>
      <c r="DI2560" s="1"/>
      <c r="DJ2560" s="1"/>
      <c r="DK2560" s="1"/>
      <c r="DL2560" s="1"/>
      <c r="DM2560" s="1"/>
      <c r="DN2560" s="1"/>
      <c r="DO2560" s="1"/>
      <c r="DP2560" s="1"/>
      <c r="DQ2560" s="1"/>
      <c r="DR2560" s="1"/>
      <c r="DS2560" s="1"/>
      <c r="DT2560" s="1"/>
      <c r="DU2560" s="1"/>
      <c r="DV2560" s="1"/>
      <c r="DW2560" s="1"/>
      <c r="DX2560" s="1"/>
      <c r="DY2560" s="1"/>
      <c r="DZ2560" s="1"/>
      <c r="EA2560" s="1"/>
      <c r="EB2560" s="1"/>
      <c r="EC2560" s="1"/>
      <c r="ED2560" s="1"/>
      <c r="EE2560" s="1"/>
      <c r="EF2560" s="1"/>
      <c r="EG2560" s="1"/>
      <c r="EH2560" s="1"/>
      <c r="EI2560" s="1"/>
      <c r="EJ2560" s="1"/>
      <c r="EK2560" s="1"/>
      <c r="EL2560" s="1"/>
      <c r="EM2560" s="1"/>
      <c r="EN2560" s="1"/>
      <c r="EO2560" s="1"/>
      <c r="EP2560" s="1"/>
      <c r="EQ2560" s="1"/>
      <c r="ER2560" s="1"/>
      <c r="ES2560" s="1"/>
      <c r="ET2560" s="1"/>
      <c r="EU2560" s="1"/>
      <c r="EV2560" s="1"/>
      <c r="EW2560" s="1"/>
      <c r="EX2560" s="1"/>
      <c r="EY2560" s="1"/>
      <c r="EZ2560" s="1"/>
      <c r="FA2560" s="1"/>
      <c r="FB2560" s="1"/>
      <c r="FC2560" s="1"/>
      <c r="FD2560" s="1"/>
      <c r="FE2560" s="1"/>
      <c r="FF2560" s="1"/>
      <c r="FG2560" s="1"/>
      <c r="FH2560" s="1"/>
      <c r="FI2560" s="1"/>
      <c r="FJ2560" s="1"/>
      <c r="FK2560" s="1"/>
      <c r="FL2560" s="1"/>
      <c r="FM2560" s="1"/>
      <c r="FN2560" s="1"/>
      <c r="FO2560" s="1"/>
      <c r="FP2560" s="1"/>
      <c r="FQ2560" s="1"/>
      <c r="FR2560" s="1"/>
      <c r="FS2560" s="1"/>
      <c r="FT2560" s="1"/>
      <c r="FU2560" s="1"/>
      <c r="FV2560" s="1"/>
      <c r="FW2560" s="1"/>
      <c r="FX2560" s="1"/>
      <c r="FY2560" s="1"/>
      <c r="FZ2560" s="1"/>
      <c r="GA2560" s="1"/>
      <c r="GB2560" s="1"/>
      <c r="GC2560" s="1"/>
      <c r="GD2560" s="1"/>
      <c r="GE2560" s="1"/>
      <c r="GF2560" s="1"/>
      <c r="GG2560" s="1"/>
      <c r="GH2560" s="1"/>
      <c r="GI2560" s="1"/>
      <c r="GJ2560" s="1"/>
      <c r="GK2560" s="1"/>
      <c r="GL2560" s="1"/>
      <c r="GM2560" s="1"/>
      <c r="GN2560" s="1"/>
      <c r="GO2560" s="1"/>
      <c r="GP2560" s="1"/>
      <c r="GQ2560" s="1"/>
      <c r="GR2560" s="1"/>
      <c r="GS2560" s="1"/>
      <c r="GT2560" s="1"/>
      <c r="GU2560" s="1"/>
      <c r="GV2560" s="1"/>
      <c r="GW2560" s="1"/>
      <c r="GX2560" s="1"/>
      <c r="GY2560" s="1"/>
      <c r="GZ2560" s="1"/>
      <c r="HA2560" s="1"/>
      <c r="HB2560" s="1"/>
      <c r="HC2560" s="1"/>
      <c r="HD2560" s="1"/>
      <c r="HE2560" s="1"/>
      <c r="HF2560" s="1"/>
      <c r="HG2560" s="1"/>
      <c r="HH2560" s="1"/>
      <c r="HI2560" s="1"/>
      <c r="HJ2560" s="1"/>
      <c r="HK2560" s="1"/>
      <c r="HL2560" s="1"/>
      <c r="HM2560" s="1"/>
      <c r="HN2560" s="1"/>
      <c r="HO2560" s="1"/>
      <c r="HP2560" s="1"/>
      <c r="HQ2560" s="1"/>
    </row>
    <row r="2561" spans="1:225" ht="15.75" customHeight="1" x14ac:dyDescent="0.35">
      <c r="A2561" s="344"/>
      <c r="B2561" s="346"/>
      <c r="C2561" s="260"/>
      <c r="D2561" s="263"/>
      <c r="E2561" s="263"/>
      <c r="F2561" s="266"/>
      <c r="G2561" s="257" t="s">
        <v>78</v>
      </c>
      <c r="H2561" s="159" t="s">
        <v>74</v>
      </c>
      <c r="I2561" s="158">
        <f>D2558*K2561</f>
        <v>403597.1</v>
      </c>
      <c r="J2561" s="158">
        <f>I2561/D2558</f>
        <v>463</v>
      </c>
      <c r="K2561" s="158">
        <v>463</v>
      </c>
      <c r="L2561" s="1"/>
      <c r="M2561" s="1"/>
      <c r="N2561" s="1"/>
      <c r="O2561" s="1"/>
      <c r="P2561" s="1"/>
      <c r="Q2561" s="1"/>
      <c r="R2561" s="1"/>
      <c r="S2561" s="1"/>
      <c r="T2561" s="1"/>
      <c r="U2561" s="1"/>
      <c r="V2561" s="1"/>
      <c r="W2561" s="1"/>
      <c r="X2561" s="1"/>
      <c r="Y2561" s="1"/>
      <c r="Z2561" s="1"/>
      <c r="AA2561" s="1"/>
      <c r="AB2561" s="1"/>
      <c r="AC2561" s="1"/>
      <c r="AD2561" s="1"/>
      <c r="AE2561" s="1"/>
      <c r="AF2561" s="1"/>
      <c r="AG2561" s="1"/>
      <c r="AH2561" s="1"/>
      <c r="AI2561" s="1"/>
      <c r="AJ2561" s="1"/>
      <c r="AK2561" s="1"/>
      <c r="AL2561" s="1"/>
      <c r="AM2561" s="1"/>
      <c r="AN2561" s="1"/>
      <c r="AO2561" s="1"/>
      <c r="AP2561" s="1"/>
      <c r="AQ2561" s="1"/>
      <c r="AR2561" s="1"/>
      <c r="AS2561" s="1"/>
      <c r="AT2561" s="1"/>
      <c r="AU2561" s="1"/>
      <c r="AV2561" s="1"/>
      <c r="AW2561" s="1"/>
      <c r="AX2561" s="1"/>
      <c r="AY2561" s="1"/>
      <c r="AZ2561" s="1"/>
      <c r="BA2561" s="1"/>
      <c r="BB2561" s="1"/>
      <c r="BC2561" s="1"/>
      <c r="BD2561" s="1"/>
      <c r="BE2561" s="1"/>
      <c r="BF2561" s="1"/>
      <c r="BG2561" s="1"/>
      <c r="BH2561" s="1"/>
      <c r="BI2561" s="1"/>
      <c r="BJ2561" s="1"/>
      <c r="BK2561" s="1"/>
      <c r="BL2561" s="1"/>
      <c r="BM2561" s="1"/>
      <c r="BN2561" s="1"/>
      <c r="BO2561" s="1"/>
      <c r="BP2561" s="1"/>
      <c r="BQ2561" s="1"/>
      <c r="BR2561" s="1"/>
      <c r="BS2561" s="1"/>
      <c r="BT2561" s="1"/>
      <c r="BU2561" s="1"/>
      <c r="BV2561" s="1"/>
      <c r="BW2561" s="1"/>
      <c r="BX2561" s="1"/>
      <c r="BY2561" s="1"/>
      <c r="BZ2561" s="1"/>
      <c r="CA2561" s="1"/>
      <c r="CB2561" s="1"/>
      <c r="CC2561" s="1"/>
      <c r="CD2561" s="1"/>
      <c r="CE2561" s="1"/>
      <c r="CF2561" s="1"/>
      <c r="CG2561" s="1"/>
      <c r="CH2561" s="1"/>
      <c r="CI2561" s="1"/>
      <c r="CJ2561" s="1"/>
      <c r="CK2561" s="1"/>
      <c r="CL2561" s="1"/>
      <c r="CM2561" s="1"/>
      <c r="CN2561" s="1"/>
      <c r="CO2561" s="1"/>
      <c r="CP2561" s="1"/>
      <c r="CQ2561" s="1"/>
      <c r="CR2561" s="1"/>
      <c r="CS2561" s="1"/>
      <c r="CT2561" s="1"/>
      <c r="CU2561" s="1"/>
      <c r="CV2561" s="1"/>
      <c r="CW2561" s="1"/>
      <c r="CX2561" s="1"/>
      <c r="CY2561" s="1"/>
      <c r="CZ2561" s="1"/>
      <c r="DA2561" s="1"/>
      <c r="DB2561" s="1"/>
      <c r="DC2561" s="1"/>
      <c r="DD2561" s="1"/>
      <c r="DE2561" s="1"/>
      <c r="DF2561" s="1"/>
      <c r="DG2561" s="1"/>
      <c r="DH2561" s="1"/>
      <c r="DI2561" s="1"/>
      <c r="DJ2561" s="1"/>
      <c r="DK2561" s="1"/>
      <c r="DL2561" s="1"/>
      <c r="DM2561" s="1"/>
      <c r="DN2561" s="1"/>
      <c r="DO2561" s="1"/>
      <c r="DP2561" s="1"/>
      <c r="DQ2561" s="1"/>
      <c r="DR2561" s="1"/>
      <c r="DS2561" s="1"/>
      <c r="DT2561" s="1"/>
      <c r="DU2561" s="1"/>
      <c r="DV2561" s="1"/>
      <c r="DW2561" s="1"/>
      <c r="DX2561" s="1"/>
      <c r="DY2561" s="1"/>
      <c r="DZ2561" s="1"/>
      <c r="EA2561" s="1"/>
      <c r="EB2561" s="1"/>
      <c r="EC2561" s="1"/>
      <c r="ED2561" s="1"/>
      <c r="EE2561" s="1"/>
      <c r="EF2561" s="1"/>
      <c r="EG2561" s="1"/>
      <c r="EH2561" s="1"/>
      <c r="EI2561" s="1"/>
      <c r="EJ2561" s="1"/>
      <c r="EK2561" s="1"/>
      <c r="EL2561" s="1"/>
      <c r="EM2561" s="1"/>
      <c r="EN2561" s="1"/>
      <c r="EO2561" s="1"/>
      <c r="EP2561" s="1"/>
      <c r="EQ2561" s="1"/>
      <c r="ER2561" s="1"/>
      <c r="ES2561" s="1"/>
      <c r="ET2561" s="1"/>
      <c r="EU2561" s="1"/>
      <c r="EV2561" s="1"/>
      <c r="EW2561" s="1"/>
      <c r="EX2561" s="1"/>
      <c r="EY2561" s="1"/>
      <c r="EZ2561" s="1"/>
      <c r="FA2561" s="1"/>
      <c r="FB2561" s="1"/>
      <c r="FC2561" s="1"/>
      <c r="FD2561" s="1"/>
      <c r="FE2561" s="1"/>
      <c r="FF2561" s="1"/>
      <c r="FG2561" s="1"/>
      <c r="FH2561" s="1"/>
      <c r="FI2561" s="1"/>
      <c r="FJ2561" s="1"/>
      <c r="FK2561" s="1"/>
      <c r="FL2561" s="1"/>
      <c r="FM2561" s="1"/>
      <c r="FN2561" s="1"/>
      <c r="FO2561" s="1"/>
      <c r="FP2561" s="1"/>
      <c r="FQ2561" s="1"/>
      <c r="FR2561" s="1"/>
      <c r="FS2561" s="1"/>
      <c r="FT2561" s="1"/>
      <c r="FU2561" s="1"/>
      <c r="FV2561" s="1"/>
      <c r="FW2561" s="1"/>
      <c r="FX2561" s="1"/>
      <c r="FY2561" s="1"/>
      <c r="FZ2561" s="1"/>
      <c r="GA2561" s="1"/>
      <c r="GB2561" s="1"/>
      <c r="GC2561" s="1"/>
      <c r="GD2561" s="1"/>
      <c r="GE2561" s="1"/>
      <c r="GF2561" s="1"/>
      <c r="GG2561" s="1"/>
      <c r="GH2561" s="1"/>
      <c r="GI2561" s="1"/>
      <c r="GJ2561" s="1"/>
      <c r="GK2561" s="1"/>
      <c r="GL2561" s="1"/>
      <c r="GM2561" s="1"/>
      <c r="GN2561" s="1"/>
      <c r="GO2561" s="1"/>
      <c r="GP2561" s="1"/>
      <c r="GQ2561" s="1"/>
      <c r="GR2561" s="1"/>
      <c r="GS2561" s="1"/>
      <c r="GT2561" s="1"/>
      <c r="GU2561" s="1"/>
      <c r="GV2561" s="1"/>
      <c r="GW2561" s="1"/>
      <c r="GX2561" s="1"/>
      <c r="GY2561" s="1"/>
      <c r="GZ2561" s="1"/>
      <c r="HA2561" s="1"/>
      <c r="HB2561" s="1"/>
      <c r="HC2561" s="1"/>
      <c r="HD2561" s="1"/>
      <c r="HE2561" s="1"/>
      <c r="HF2561" s="1"/>
      <c r="HG2561" s="1"/>
      <c r="HH2561" s="1"/>
      <c r="HI2561" s="1"/>
      <c r="HJ2561" s="1"/>
      <c r="HK2561" s="1"/>
      <c r="HL2561" s="1"/>
      <c r="HM2561" s="1"/>
      <c r="HN2561" s="1"/>
      <c r="HO2561" s="1"/>
      <c r="HP2561" s="1"/>
      <c r="HQ2561" s="1"/>
    </row>
    <row r="2562" spans="1:225" x14ac:dyDescent="0.35">
      <c r="A2562" s="344"/>
      <c r="B2562" s="346"/>
      <c r="C2562" s="260"/>
      <c r="D2562" s="263"/>
      <c r="E2562" s="263"/>
      <c r="F2562" s="266"/>
      <c r="G2562" s="258"/>
      <c r="H2562" s="159" t="s">
        <v>76</v>
      </c>
      <c r="I2562" s="158">
        <f>D2558*K2562</f>
        <v>8717</v>
      </c>
      <c r="J2562" s="158">
        <f>I2562/D2558</f>
        <v>10</v>
      </c>
      <c r="K2562" s="158">
        <v>10</v>
      </c>
      <c r="L2562" s="1"/>
      <c r="M2562" s="1"/>
      <c r="N2562" s="1"/>
      <c r="O2562" s="1"/>
      <c r="P2562" s="1"/>
      <c r="Q2562" s="1"/>
      <c r="R2562" s="1"/>
      <c r="S2562" s="1"/>
      <c r="T2562" s="1"/>
      <c r="U2562" s="1"/>
      <c r="V2562" s="1"/>
      <c r="W2562" s="1"/>
      <c r="X2562" s="1"/>
      <c r="Y2562" s="1"/>
      <c r="Z2562" s="1"/>
      <c r="AA2562" s="1"/>
      <c r="AB2562" s="1"/>
      <c r="AC2562" s="1"/>
      <c r="AD2562" s="1"/>
      <c r="AE2562" s="1"/>
      <c r="AF2562" s="1"/>
      <c r="AG2562" s="1"/>
      <c r="AH2562" s="1"/>
      <c r="AI2562" s="1"/>
      <c r="AJ2562" s="1"/>
      <c r="AK2562" s="1"/>
      <c r="AL2562" s="1"/>
      <c r="AM2562" s="1"/>
      <c r="AN2562" s="1"/>
      <c r="AO2562" s="1"/>
      <c r="AP2562" s="1"/>
      <c r="AQ2562" s="1"/>
      <c r="AR2562" s="1"/>
      <c r="AS2562" s="1"/>
      <c r="AT2562" s="1"/>
      <c r="AU2562" s="1"/>
      <c r="AV2562" s="1"/>
      <c r="AW2562" s="1"/>
      <c r="AX2562" s="1"/>
      <c r="AY2562" s="1"/>
      <c r="AZ2562" s="1"/>
      <c r="BA2562" s="1"/>
      <c r="BB2562" s="1"/>
      <c r="BC2562" s="1"/>
      <c r="BD2562" s="1"/>
      <c r="BE2562" s="1"/>
      <c r="BF2562" s="1"/>
      <c r="BG2562" s="1"/>
      <c r="BH2562" s="1"/>
      <c r="BI2562" s="1"/>
      <c r="BJ2562" s="1"/>
      <c r="BK2562" s="1"/>
      <c r="BL2562" s="1"/>
      <c r="BM2562" s="1"/>
      <c r="BN2562" s="1"/>
      <c r="BO2562" s="1"/>
      <c r="BP2562" s="1"/>
      <c r="BQ2562" s="1"/>
      <c r="BR2562" s="1"/>
      <c r="BS2562" s="1"/>
      <c r="BT2562" s="1"/>
      <c r="BU2562" s="1"/>
      <c r="BV2562" s="1"/>
      <c r="BW2562" s="1"/>
      <c r="BX2562" s="1"/>
      <c r="BY2562" s="1"/>
      <c r="BZ2562" s="1"/>
      <c r="CA2562" s="1"/>
      <c r="CB2562" s="1"/>
      <c r="CC2562" s="1"/>
      <c r="CD2562" s="1"/>
      <c r="CE2562" s="1"/>
      <c r="CF2562" s="1"/>
      <c r="CG2562" s="1"/>
      <c r="CH2562" s="1"/>
      <c r="CI2562" s="1"/>
      <c r="CJ2562" s="1"/>
      <c r="CK2562" s="1"/>
      <c r="CL2562" s="1"/>
      <c r="CM2562" s="1"/>
      <c r="CN2562" s="1"/>
      <c r="CO2562" s="1"/>
      <c r="CP2562" s="1"/>
      <c r="CQ2562" s="1"/>
      <c r="CR2562" s="1"/>
      <c r="CS2562" s="1"/>
      <c r="CT2562" s="1"/>
      <c r="CU2562" s="1"/>
      <c r="CV2562" s="1"/>
      <c r="CW2562" s="1"/>
      <c r="CX2562" s="1"/>
      <c r="CY2562" s="1"/>
      <c r="CZ2562" s="1"/>
      <c r="DA2562" s="1"/>
      <c r="DB2562" s="1"/>
      <c r="DC2562" s="1"/>
      <c r="DD2562" s="1"/>
      <c r="DE2562" s="1"/>
      <c r="DF2562" s="1"/>
      <c r="DG2562" s="1"/>
      <c r="DH2562" s="1"/>
      <c r="DI2562" s="1"/>
      <c r="DJ2562" s="1"/>
      <c r="DK2562" s="1"/>
      <c r="DL2562" s="1"/>
      <c r="DM2562" s="1"/>
      <c r="DN2562" s="1"/>
      <c r="DO2562" s="1"/>
      <c r="DP2562" s="1"/>
      <c r="DQ2562" s="1"/>
      <c r="DR2562" s="1"/>
      <c r="DS2562" s="1"/>
      <c r="DT2562" s="1"/>
      <c r="DU2562" s="1"/>
      <c r="DV2562" s="1"/>
      <c r="DW2562" s="1"/>
      <c r="DX2562" s="1"/>
      <c r="DY2562" s="1"/>
      <c r="DZ2562" s="1"/>
      <c r="EA2562" s="1"/>
      <c r="EB2562" s="1"/>
      <c r="EC2562" s="1"/>
      <c r="ED2562" s="1"/>
      <c r="EE2562" s="1"/>
      <c r="EF2562" s="1"/>
      <c r="EG2562" s="1"/>
      <c r="EH2562" s="1"/>
      <c r="EI2562" s="1"/>
      <c r="EJ2562" s="1"/>
      <c r="EK2562" s="1"/>
      <c r="EL2562" s="1"/>
      <c r="EM2562" s="1"/>
      <c r="EN2562" s="1"/>
      <c r="EO2562" s="1"/>
      <c r="EP2562" s="1"/>
      <c r="EQ2562" s="1"/>
      <c r="ER2562" s="1"/>
      <c r="ES2562" s="1"/>
      <c r="ET2562" s="1"/>
      <c r="EU2562" s="1"/>
      <c r="EV2562" s="1"/>
      <c r="EW2562" s="1"/>
      <c r="EX2562" s="1"/>
      <c r="EY2562" s="1"/>
      <c r="EZ2562" s="1"/>
      <c r="FA2562" s="1"/>
      <c r="FB2562" s="1"/>
      <c r="FC2562" s="1"/>
      <c r="FD2562" s="1"/>
      <c r="FE2562" s="1"/>
      <c r="FF2562" s="1"/>
      <c r="FG2562" s="1"/>
      <c r="FH2562" s="1"/>
      <c r="FI2562" s="1"/>
      <c r="FJ2562" s="1"/>
      <c r="FK2562" s="1"/>
      <c r="FL2562" s="1"/>
      <c r="FM2562" s="1"/>
      <c r="FN2562" s="1"/>
      <c r="FO2562" s="1"/>
      <c r="FP2562" s="1"/>
      <c r="FQ2562" s="1"/>
      <c r="FR2562" s="1"/>
      <c r="FS2562" s="1"/>
      <c r="FT2562" s="1"/>
      <c r="FU2562" s="1"/>
      <c r="FV2562" s="1"/>
      <c r="FW2562" s="1"/>
      <c r="FX2562" s="1"/>
      <c r="FY2562" s="1"/>
      <c r="FZ2562" s="1"/>
      <c r="GA2562" s="1"/>
      <c r="GB2562" s="1"/>
      <c r="GC2562" s="1"/>
      <c r="GD2562" s="1"/>
      <c r="GE2562" s="1"/>
      <c r="GF2562" s="1"/>
      <c r="GG2562" s="1"/>
      <c r="GH2562" s="1"/>
      <c r="GI2562" s="1"/>
      <c r="GJ2562" s="1"/>
      <c r="GK2562" s="1"/>
      <c r="GL2562" s="1"/>
      <c r="GM2562" s="1"/>
      <c r="GN2562" s="1"/>
      <c r="GO2562" s="1"/>
      <c r="GP2562" s="1"/>
      <c r="GQ2562" s="1"/>
      <c r="GR2562" s="1"/>
      <c r="GS2562" s="1"/>
      <c r="GT2562" s="1"/>
      <c r="GU2562" s="1"/>
      <c r="GV2562" s="1"/>
      <c r="GW2562" s="1"/>
      <c r="GX2562" s="1"/>
      <c r="GY2562" s="1"/>
      <c r="GZ2562" s="1"/>
      <c r="HA2562" s="1"/>
      <c r="HB2562" s="1"/>
      <c r="HC2562" s="1"/>
      <c r="HD2562" s="1"/>
      <c r="HE2562" s="1"/>
      <c r="HF2562" s="1"/>
      <c r="HG2562" s="1"/>
      <c r="HH2562" s="1"/>
      <c r="HI2562" s="1"/>
      <c r="HJ2562" s="1"/>
      <c r="HK2562" s="1"/>
      <c r="HL2562" s="1"/>
      <c r="HM2562" s="1"/>
      <c r="HN2562" s="1"/>
      <c r="HO2562" s="1"/>
      <c r="HP2562" s="1"/>
      <c r="HQ2562" s="1"/>
    </row>
    <row r="2563" spans="1:225" x14ac:dyDescent="0.35">
      <c r="A2563" s="344"/>
      <c r="B2563" s="346"/>
      <c r="C2563" s="260"/>
      <c r="D2563" s="263"/>
      <c r="E2563" s="263"/>
      <c r="F2563" s="266"/>
      <c r="G2563" s="257" t="s">
        <v>714</v>
      </c>
      <c r="H2563" s="159" t="s">
        <v>688</v>
      </c>
      <c r="I2563" s="158">
        <f>D2558*K2563</f>
        <v>2050238.4</v>
      </c>
      <c r="J2563" s="158">
        <f>I2563/D2558</f>
        <v>2352</v>
      </c>
      <c r="K2563" s="158">
        <f>1176*2</f>
        <v>2352</v>
      </c>
      <c r="L2563" s="1"/>
      <c r="M2563" s="1"/>
      <c r="N2563" s="1"/>
      <c r="O2563" s="1"/>
      <c r="P2563" s="1"/>
      <c r="Q2563" s="1"/>
      <c r="R2563" s="1"/>
      <c r="S2563" s="1"/>
      <c r="T2563" s="1"/>
      <c r="U2563" s="1"/>
      <c r="V2563" s="1"/>
      <c r="W2563" s="1"/>
      <c r="X2563" s="1"/>
      <c r="Y2563" s="1"/>
      <c r="Z2563" s="1"/>
      <c r="AA2563" s="1"/>
      <c r="AB2563" s="1"/>
      <c r="AC2563" s="1"/>
      <c r="AD2563" s="1"/>
      <c r="AE2563" s="1"/>
      <c r="AF2563" s="1"/>
      <c r="AG2563" s="1"/>
      <c r="AH2563" s="1"/>
      <c r="AI2563" s="1"/>
      <c r="AJ2563" s="1"/>
      <c r="AK2563" s="1"/>
      <c r="AL2563" s="1"/>
      <c r="AM2563" s="1"/>
      <c r="AN2563" s="1"/>
      <c r="AO2563" s="1"/>
      <c r="AP2563" s="1"/>
      <c r="AQ2563" s="1"/>
      <c r="AR2563" s="1"/>
      <c r="AS2563" s="1"/>
      <c r="AT2563" s="1"/>
      <c r="AU2563" s="1"/>
      <c r="AV2563" s="1"/>
      <c r="AW2563" s="1"/>
      <c r="AX2563" s="1"/>
      <c r="AY2563" s="1"/>
      <c r="AZ2563" s="1"/>
      <c r="BA2563" s="1"/>
      <c r="BB2563" s="1"/>
      <c r="BC2563" s="1"/>
      <c r="BD2563" s="1"/>
      <c r="BE2563" s="1"/>
      <c r="BF2563" s="1"/>
      <c r="BG2563" s="1"/>
      <c r="BH2563" s="1"/>
      <c r="BI2563" s="1"/>
      <c r="BJ2563" s="1"/>
      <c r="BK2563" s="1"/>
      <c r="BL2563" s="1"/>
      <c r="BM2563" s="1"/>
      <c r="BN2563" s="1"/>
      <c r="BO2563" s="1"/>
      <c r="BP2563" s="1"/>
      <c r="BQ2563" s="1"/>
      <c r="BR2563" s="1"/>
      <c r="BS2563" s="1"/>
      <c r="BT2563" s="1"/>
      <c r="BU2563" s="1"/>
      <c r="BV2563" s="1"/>
      <c r="BW2563" s="1"/>
      <c r="BX2563" s="1"/>
      <c r="BY2563" s="1"/>
      <c r="BZ2563" s="1"/>
      <c r="CA2563" s="1"/>
      <c r="CB2563" s="1"/>
      <c r="CC2563" s="1"/>
      <c r="CD2563" s="1"/>
      <c r="CE2563" s="1"/>
      <c r="CF2563" s="1"/>
      <c r="CG2563" s="1"/>
      <c r="CH2563" s="1"/>
      <c r="CI2563" s="1"/>
      <c r="CJ2563" s="1"/>
      <c r="CK2563" s="1"/>
      <c r="CL2563" s="1"/>
      <c r="CM2563" s="1"/>
      <c r="CN2563" s="1"/>
      <c r="CO2563" s="1"/>
      <c r="CP2563" s="1"/>
      <c r="CQ2563" s="1"/>
      <c r="CR2563" s="1"/>
      <c r="CS2563" s="1"/>
      <c r="CT2563" s="1"/>
      <c r="CU2563" s="1"/>
      <c r="CV2563" s="1"/>
      <c r="CW2563" s="1"/>
      <c r="CX2563" s="1"/>
      <c r="CY2563" s="1"/>
      <c r="CZ2563" s="1"/>
      <c r="DA2563" s="1"/>
      <c r="DB2563" s="1"/>
      <c r="DC2563" s="1"/>
      <c r="DD2563" s="1"/>
      <c r="DE2563" s="1"/>
      <c r="DF2563" s="1"/>
      <c r="DG2563" s="1"/>
      <c r="DH2563" s="1"/>
      <c r="DI2563" s="1"/>
      <c r="DJ2563" s="1"/>
      <c r="DK2563" s="1"/>
      <c r="DL2563" s="1"/>
      <c r="DM2563" s="1"/>
      <c r="DN2563" s="1"/>
      <c r="DO2563" s="1"/>
      <c r="DP2563" s="1"/>
      <c r="DQ2563" s="1"/>
      <c r="DR2563" s="1"/>
      <c r="DS2563" s="1"/>
      <c r="DT2563" s="1"/>
      <c r="DU2563" s="1"/>
      <c r="DV2563" s="1"/>
      <c r="DW2563" s="1"/>
      <c r="DX2563" s="1"/>
      <c r="DY2563" s="1"/>
      <c r="DZ2563" s="1"/>
      <c r="EA2563" s="1"/>
      <c r="EB2563" s="1"/>
      <c r="EC2563" s="1"/>
      <c r="ED2563" s="1"/>
      <c r="EE2563" s="1"/>
      <c r="EF2563" s="1"/>
      <c r="EG2563" s="1"/>
      <c r="EH2563" s="1"/>
      <c r="EI2563" s="1"/>
      <c r="EJ2563" s="1"/>
      <c r="EK2563" s="1"/>
      <c r="EL2563" s="1"/>
      <c r="EM2563" s="1"/>
      <c r="EN2563" s="1"/>
      <c r="EO2563" s="1"/>
      <c r="EP2563" s="1"/>
      <c r="EQ2563" s="1"/>
      <c r="ER2563" s="1"/>
      <c r="ES2563" s="1"/>
      <c r="ET2563" s="1"/>
      <c r="EU2563" s="1"/>
      <c r="EV2563" s="1"/>
      <c r="EW2563" s="1"/>
      <c r="EX2563" s="1"/>
      <c r="EY2563" s="1"/>
      <c r="EZ2563" s="1"/>
      <c r="FA2563" s="1"/>
      <c r="FB2563" s="1"/>
      <c r="FC2563" s="1"/>
      <c r="FD2563" s="1"/>
      <c r="FE2563" s="1"/>
      <c r="FF2563" s="1"/>
      <c r="FG2563" s="1"/>
      <c r="FH2563" s="1"/>
      <c r="FI2563" s="1"/>
      <c r="FJ2563" s="1"/>
      <c r="FK2563" s="1"/>
      <c r="FL2563" s="1"/>
      <c r="FM2563" s="1"/>
      <c r="FN2563" s="1"/>
      <c r="FO2563" s="1"/>
      <c r="FP2563" s="1"/>
      <c r="FQ2563" s="1"/>
      <c r="FR2563" s="1"/>
      <c r="FS2563" s="1"/>
      <c r="FT2563" s="1"/>
      <c r="FU2563" s="1"/>
      <c r="FV2563" s="1"/>
      <c r="FW2563" s="1"/>
      <c r="FX2563" s="1"/>
      <c r="FY2563" s="1"/>
      <c r="FZ2563" s="1"/>
      <c r="GA2563" s="1"/>
      <c r="GB2563" s="1"/>
      <c r="GC2563" s="1"/>
      <c r="GD2563" s="1"/>
      <c r="GE2563" s="1"/>
      <c r="GF2563" s="1"/>
      <c r="GG2563" s="1"/>
      <c r="GH2563" s="1"/>
      <c r="GI2563" s="1"/>
      <c r="GJ2563" s="1"/>
      <c r="GK2563" s="1"/>
      <c r="GL2563" s="1"/>
      <c r="GM2563" s="1"/>
      <c r="GN2563" s="1"/>
      <c r="GO2563" s="1"/>
      <c r="GP2563" s="1"/>
      <c r="GQ2563" s="1"/>
      <c r="GR2563" s="1"/>
      <c r="GS2563" s="1"/>
      <c r="GT2563" s="1"/>
      <c r="GU2563" s="1"/>
      <c r="GV2563" s="1"/>
      <c r="GW2563" s="1"/>
      <c r="GX2563" s="1"/>
      <c r="GY2563" s="1"/>
      <c r="GZ2563" s="1"/>
      <c r="HA2563" s="1"/>
      <c r="HB2563" s="1"/>
      <c r="HC2563" s="1"/>
      <c r="HD2563" s="1"/>
      <c r="HE2563" s="1"/>
      <c r="HF2563" s="1"/>
      <c r="HG2563" s="1"/>
      <c r="HH2563" s="1"/>
      <c r="HI2563" s="1"/>
      <c r="HJ2563" s="1"/>
      <c r="HK2563" s="1"/>
      <c r="HL2563" s="1"/>
      <c r="HM2563" s="1"/>
      <c r="HN2563" s="1"/>
      <c r="HO2563" s="1"/>
      <c r="HP2563" s="1"/>
      <c r="HQ2563" s="1"/>
    </row>
    <row r="2564" spans="1:225" ht="143.25" customHeight="1" x14ac:dyDescent="0.35">
      <c r="A2564" s="344"/>
      <c r="B2564" s="346"/>
      <c r="C2564" s="260"/>
      <c r="D2564" s="263"/>
      <c r="E2564" s="263"/>
      <c r="F2564" s="266"/>
      <c r="G2564" s="258"/>
      <c r="H2564" s="159" t="s">
        <v>76</v>
      </c>
      <c r="I2564" s="158">
        <f>D2558*K2564</f>
        <v>43585</v>
      </c>
      <c r="J2564" s="158">
        <f>I2564/D2558</f>
        <v>50</v>
      </c>
      <c r="K2564" s="158">
        <f>25*2</f>
        <v>50</v>
      </c>
      <c r="L2564" s="1"/>
      <c r="M2564" s="1"/>
      <c r="N2564" s="1"/>
      <c r="O2564" s="1"/>
      <c r="P2564" s="1"/>
      <c r="Q2564" s="1"/>
      <c r="R2564" s="1"/>
      <c r="S2564" s="1"/>
      <c r="T2564" s="1"/>
      <c r="U2564" s="1"/>
      <c r="V2564" s="1"/>
      <c r="W2564" s="1"/>
      <c r="X2564" s="1"/>
      <c r="Y2564" s="1"/>
      <c r="Z2564" s="1"/>
      <c r="AA2564" s="1"/>
      <c r="AB2564" s="1"/>
      <c r="AC2564" s="1"/>
      <c r="AD2564" s="1"/>
      <c r="AE2564" s="1"/>
      <c r="AF2564" s="1"/>
      <c r="AG2564" s="1"/>
      <c r="AH2564" s="1"/>
      <c r="AI2564" s="1"/>
      <c r="AJ2564" s="1"/>
      <c r="AK2564" s="1"/>
      <c r="AL2564" s="1"/>
      <c r="AM2564" s="1"/>
      <c r="AN2564" s="1"/>
      <c r="AO2564" s="1"/>
      <c r="AP2564" s="1"/>
      <c r="AQ2564" s="1"/>
      <c r="AR2564" s="1"/>
      <c r="AS2564" s="1"/>
      <c r="AT2564" s="1"/>
      <c r="AU2564" s="1"/>
      <c r="AV2564" s="1"/>
      <c r="AW2564" s="1"/>
      <c r="AX2564" s="1"/>
      <c r="AY2564" s="1"/>
      <c r="AZ2564" s="1"/>
      <c r="BA2564" s="1"/>
      <c r="BB2564" s="1"/>
      <c r="BC2564" s="1"/>
      <c r="BD2564" s="1"/>
      <c r="BE2564" s="1"/>
      <c r="BF2564" s="1"/>
      <c r="BG2564" s="1"/>
      <c r="BH2564" s="1"/>
      <c r="BI2564" s="1"/>
      <c r="BJ2564" s="1"/>
      <c r="BK2564" s="1"/>
      <c r="BL2564" s="1"/>
      <c r="BM2564" s="1"/>
      <c r="BN2564" s="1"/>
      <c r="BO2564" s="1"/>
      <c r="BP2564" s="1"/>
      <c r="BQ2564" s="1"/>
      <c r="BR2564" s="1"/>
      <c r="BS2564" s="1"/>
      <c r="BT2564" s="1"/>
      <c r="BU2564" s="1"/>
      <c r="BV2564" s="1"/>
      <c r="BW2564" s="1"/>
      <c r="BX2564" s="1"/>
      <c r="BY2564" s="1"/>
      <c r="BZ2564" s="1"/>
      <c r="CA2564" s="1"/>
      <c r="CB2564" s="1"/>
      <c r="CC2564" s="1"/>
      <c r="CD2564" s="1"/>
      <c r="CE2564" s="1"/>
      <c r="CF2564" s="1"/>
      <c r="CG2564" s="1"/>
      <c r="CH2564" s="1"/>
      <c r="CI2564" s="1"/>
      <c r="CJ2564" s="1"/>
      <c r="CK2564" s="1"/>
      <c r="CL2564" s="1"/>
      <c r="CM2564" s="1"/>
      <c r="CN2564" s="1"/>
      <c r="CO2564" s="1"/>
      <c r="CP2564" s="1"/>
      <c r="CQ2564" s="1"/>
      <c r="CR2564" s="1"/>
      <c r="CS2564" s="1"/>
      <c r="CT2564" s="1"/>
      <c r="CU2564" s="1"/>
      <c r="CV2564" s="1"/>
      <c r="CW2564" s="1"/>
      <c r="CX2564" s="1"/>
      <c r="CY2564" s="1"/>
      <c r="CZ2564" s="1"/>
      <c r="DA2564" s="1"/>
      <c r="DB2564" s="1"/>
      <c r="DC2564" s="1"/>
      <c r="DD2564" s="1"/>
      <c r="DE2564" s="1"/>
      <c r="DF2564" s="1"/>
      <c r="DG2564" s="1"/>
      <c r="DH2564" s="1"/>
      <c r="DI2564" s="1"/>
      <c r="DJ2564" s="1"/>
      <c r="DK2564" s="1"/>
      <c r="DL2564" s="1"/>
      <c r="DM2564" s="1"/>
      <c r="DN2564" s="1"/>
      <c r="DO2564" s="1"/>
      <c r="DP2564" s="1"/>
      <c r="DQ2564" s="1"/>
      <c r="DR2564" s="1"/>
      <c r="DS2564" s="1"/>
      <c r="DT2564" s="1"/>
      <c r="DU2564" s="1"/>
      <c r="DV2564" s="1"/>
      <c r="DW2564" s="1"/>
      <c r="DX2564" s="1"/>
      <c r="DY2564" s="1"/>
      <c r="DZ2564" s="1"/>
      <c r="EA2564" s="1"/>
      <c r="EB2564" s="1"/>
      <c r="EC2564" s="1"/>
      <c r="ED2564" s="1"/>
      <c r="EE2564" s="1"/>
      <c r="EF2564" s="1"/>
      <c r="EG2564" s="1"/>
      <c r="EH2564" s="1"/>
      <c r="EI2564" s="1"/>
      <c r="EJ2564" s="1"/>
      <c r="EK2564" s="1"/>
      <c r="EL2564" s="1"/>
      <c r="EM2564" s="1"/>
      <c r="EN2564" s="1"/>
      <c r="EO2564" s="1"/>
      <c r="EP2564" s="1"/>
      <c r="EQ2564" s="1"/>
      <c r="ER2564" s="1"/>
      <c r="ES2564" s="1"/>
      <c r="ET2564" s="1"/>
      <c r="EU2564" s="1"/>
      <c r="EV2564" s="1"/>
      <c r="EW2564" s="1"/>
      <c r="EX2564" s="1"/>
      <c r="EY2564" s="1"/>
      <c r="EZ2564" s="1"/>
      <c r="FA2564" s="1"/>
      <c r="FB2564" s="1"/>
      <c r="FC2564" s="1"/>
      <c r="FD2564" s="1"/>
      <c r="FE2564" s="1"/>
      <c r="FF2564" s="1"/>
      <c r="FG2564" s="1"/>
      <c r="FH2564" s="1"/>
      <c r="FI2564" s="1"/>
      <c r="FJ2564" s="1"/>
      <c r="FK2564" s="1"/>
      <c r="FL2564" s="1"/>
      <c r="FM2564" s="1"/>
      <c r="FN2564" s="1"/>
      <c r="FO2564" s="1"/>
      <c r="FP2564" s="1"/>
      <c r="FQ2564" s="1"/>
      <c r="FR2564" s="1"/>
      <c r="FS2564" s="1"/>
      <c r="FT2564" s="1"/>
      <c r="FU2564" s="1"/>
      <c r="FV2564" s="1"/>
      <c r="FW2564" s="1"/>
      <c r="FX2564" s="1"/>
      <c r="FY2564" s="1"/>
      <c r="FZ2564" s="1"/>
      <c r="GA2564" s="1"/>
      <c r="GB2564" s="1"/>
      <c r="GC2564" s="1"/>
      <c r="GD2564" s="1"/>
      <c r="GE2564" s="1"/>
      <c r="GF2564" s="1"/>
      <c r="GG2564" s="1"/>
      <c r="GH2564" s="1"/>
      <c r="GI2564" s="1"/>
      <c r="GJ2564" s="1"/>
      <c r="GK2564" s="1"/>
      <c r="GL2564" s="1"/>
      <c r="GM2564" s="1"/>
      <c r="GN2564" s="1"/>
      <c r="GO2564" s="1"/>
      <c r="GP2564" s="1"/>
      <c r="GQ2564" s="1"/>
      <c r="GR2564" s="1"/>
      <c r="GS2564" s="1"/>
      <c r="GT2564" s="1"/>
      <c r="GU2564" s="1"/>
      <c r="GV2564" s="1"/>
      <c r="GW2564" s="1"/>
      <c r="GX2564" s="1"/>
      <c r="GY2564" s="1"/>
      <c r="GZ2564" s="1"/>
      <c r="HA2564" s="1"/>
      <c r="HB2564" s="1"/>
      <c r="HC2564" s="1"/>
      <c r="HD2564" s="1"/>
      <c r="HE2564" s="1"/>
      <c r="HF2564" s="1"/>
      <c r="HG2564" s="1"/>
      <c r="HH2564" s="1"/>
      <c r="HI2564" s="1"/>
      <c r="HJ2564" s="1"/>
      <c r="HK2564" s="1"/>
      <c r="HL2564" s="1"/>
      <c r="HM2564" s="1"/>
      <c r="HN2564" s="1"/>
      <c r="HO2564" s="1"/>
      <c r="HP2564" s="1"/>
      <c r="HQ2564" s="1"/>
    </row>
    <row r="2565" spans="1:225" ht="13.5" customHeight="1" x14ac:dyDescent="0.35">
      <c r="A2565" s="344"/>
      <c r="B2565" s="346"/>
      <c r="C2565" s="260"/>
      <c r="D2565" s="263"/>
      <c r="E2565" s="263"/>
      <c r="F2565" s="266"/>
      <c r="G2565" s="257" t="s">
        <v>90</v>
      </c>
      <c r="H2565" s="159" t="s">
        <v>74</v>
      </c>
      <c r="I2565" s="158">
        <f>D2558*K2565</f>
        <v>390521.59999999998</v>
      </c>
      <c r="J2565" s="158">
        <f>I2565/D2558</f>
        <v>448</v>
      </c>
      <c r="K2565" s="158">
        <v>448</v>
      </c>
      <c r="L2565" s="1"/>
      <c r="M2565" s="1"/>
      <c r="N2565" s="1"/>
      <c r="O2565" s="1"/>
      <c r="P2565" s="1"/>
      <c r="Q2565" s="1"/>
      <c r="R2565" s="1"/>
      <c r="S2565" s="1"/>
      <c r="T2565" s="1"/>
      <c r="U2565" s="1"/>
      <c r="V2565" s="1"/>
      <c r="W2565" s="1"/>
      <c r="X2565" s="1"/>
      <c r="Y2565" s="1"/>
      <c r="Z2565" s="1"/>
      <c r="AA2565" s="1"/>
      <c r="AB2565" s="1"/>
      <c r="AC2565" s="1"/>
      <c r="AD2565" s="1"/>
      <c r="AE2565" s="1"/>
      <c r="AF2565" s="1"/>
      <c r="AG2565" s="1"/>
      <c r="AH2565" s="1"/>
      <c r="AI2565" s="1"/>
      <c r="AJ2565" s="1"/>
      <c r="AK2565" s="1"/>
      <c r="AL2565" s="1"/>
      <c r="AM2565" s="1"/>
      <c r="AN2565" s="1"/>
      <c r="AO2565" s="1"/>
      <c r="AP2565" s="1"/>
      <c r="AQ2565" s="1"/>
      <c r="AR2565" s="1"/>
      <c r="AS2565" s="1"/>
      <c r="AT2565" s="1"/>
      <c r="AU2565" s="1"/>
      <c r="AV2565" s="1"/>
      <c r="AW2565" s="1"/>
      <c r="AX2565" s="1"/>
      <c r="AY2565" s="1"/>
      <c r="AZ2565" s="1"/>
      <c r="BA2565" s="1"/>
      <c r="BB2565" s="1"/>
      <c r="BC2565" s="1"/>
      <c r="BD2565" s="1"/>
      <c r="BE2565" s="1"/>
      <c r="BF2565" s="1"/>
      <c r="BG2565" s="1"/>
      <c r="BH2565" s="1"/>
      <c r="BI2565" s="1"/>
      <c r="BJ2565" s="1"/>
      <c r="BK2565" s="1"/>
      <c r="BL2565" s="1"/>
      <c r="BM2565" s="1"/>
      <c r="BN2565" s="1"/>
      <c r="BO2565" s="1"/>
      <c r="BP2565" s="1"/>
      <c r="BQ2565" s="1"/>
      <c r="BR2565" s="1"/>
      <c r="BS2565" s="1"/>
      <c r="BT2565" s="1"/>
      <c r="BU2565" s="1"/>
      <c r="BV2565" s="1"/>
      <c r="BW2565" s="1"/>
      <c r="BX2565" s="1"/>
      <c r="BY2565" s="1"/>
      <c r="BZ2565" s="1"/>
      <c r="CA2565" s="1"/>
      <c r="CB2565" s="1"/>
      <c r="CC2565" s="1"/>
      <c r="CD2565" s="1"/>
      <c r="CE2565" s="1"/>
      <c r="CF2565" s="1"/>
      <c r="CG2565" s="1"/>
      <c r="CH2565" s="1"/>
      <c r="CI2565" s="1"/>
      <c r="CJ2565" s="1"/>
      <c r="CK2565" s="1"/>
      <c r="CL2565" s="1"/>
      <c r="CM2565" s="1"/>
      <c r="CN2565" s="1"/>
      <c r="CO2565" s="1"/>
      <c r="CP2565" s="1"/>
      <c r="CQ2565" s="1"/>
      <c r="CR2565" s="1"/>
      <c r="CS2565" s="1"/>
      <c r="CT2565" s="1"/>
      <c r="CU2565" s="1"/>
      <c r="CV2565" s="1"/>
      <c r="CW2565" s="1"/>
      <c r="CX2565" s="1"/>
      <c r="CY2565" s="1"/>
      <c r="CZ2565" s="1"/>
      <c r="DA2565" s="1"/>
      <c r="DB2565" s="1"/>
      <c r="DC2565" s="1"/>
      <c r="DD2565" s="1"/>
      <c r="DE2565" s="1"/>
      <c r="DF2565" s="1"/>
      <c r="DG2565" s="1"/>
      <c r="DH2565" s="1"/>
      <c r="DI2565" s="1"/>
      <c r="DJ2565" s="1"/>
      <c r="DK2565" s="1"/>
      <c r="DL2565" s="1"/>
      <c r="DM2565" s="1"/>
      <c r="DN2565" s="1"/>
      <c r="DO2565" s="1"/>
      <c r="DP2565" s="1"/>
      <c r="DQ2565" s="1"/>
      <c r="DR2565" s="1"/>
      <c r="DS2565" s="1"/>
      <c r="DT2565" s="1"/>
      <c r="DU2565" s="1"/>
      <c r="DV2565" s="1"/>
      <c r="DW2565" s="1"/>
      <c r="DX2565" s="1"/>
      <c r="DY2565" s="1"/>
      <c r="DZ2565" s="1"/>
      <c r="EA2565" s="1"/>
      <c r="EB2565" s="1"/>
      <c r="EC2565" s="1"/>
      <c r="ED2565" s="1"/>
      <c r="EE2565" s="1"/>
      <c r="EF2565" s="1"/>
      <c r="EG2565" s="1"/>
      <c r="EH2565" s="1"/>
      <c r="EI2565" s="1"/>
      <c r="EJ2565" s="1"/>
      <c r="EK2565" s="1"/>
      <c r="EL2565" s="1"/>
      <c r="EM2565" s="1"/>
      <c r="EN2565" s="1"/>
      <c r="EO2565" s="1"/>
      <c r="EP2565" s="1"/>
      <c r="EQ2565" s="1"/>
      <c r="ER2565" s="1"/>
      <c r="ES2565" s="1"/>
      <c r="ET2565" s="1"/>
      <c r="EU2565" s="1"/>
      <c r="EV2565" s="1"/>
      <c r="EW2565" s="1"/>
      <c r="EX2565" s="1"/>
      <c r="EY2565" s="1"/>
      <c r="EZ2565" s="1"/>
      <c r="FA2565" s="1"/>
      <c r="FB2565" s="1"/>
      <c r="FC2565" s="1"/>
      <c r="FD2565" s="1"/>
      <c r="FE2565" s="1"/>
      <c r="FF2565" s="1"/>
      <c r="FG2565" s="1"/>
      <c r="FH2565" s="1"/>
      <c r="FI2565" s="1"/>
      <c r="FJ2565" s="1"/>
      <c r="FK2565" s="1"/>
      <c r="FL2565" s="1"/>
      <c r="FM2565" s="1"/>
      <c r="FN2565" s="1"/>
      <c r="FO2565" s="1"/>
      <c r="FP2565" s="1"/>
      <c r="FQ2565" s="1"/>
      <c r="FR2565" s="1"/>
      <c r="FS2565" s="1"/>
      <c r="FT2565" s="1"/>
      <c r="FU2565" s="1"/>
      <c r="FV2565" s="1"/>
      <c r="FW2565" s="1"/>
      <c r="FX2565" s="1"/>
      <c r="FY2565" s="1"/>
      <c r="FZ2565" s="1"/>
      <c r="GA2565" s="1"/>
      <c r="GB2565" s="1"/>
      <c r="GC2565" s="1"/>
      <c r="GD2565" s="1"/>
      <c r="GE2565" s="1"/>
      <c r="GF2565" s="1"/>
      <c r="GG2565" s="1"/>
      <c r="GH2565" s="1"/>
      <c r="GI2565" s="1"/>
      <c r="GJ2565" s="1"/>
      <c r="GK2565" s="1"/>
      <c r="GL2565" s="1"/>
      <c r="GM2565" s="1"/>
      <c r="GN2565" s="1"/>
      <c r="GO2565" s="1"/>
      <c r="GP2565" s="1"/>
      <c r="GQ2565" s="1"/>
      <c r="GR2565" s="1"/>
      <c r="GS2565" s="1"/>
      <c r="GT2565" s="1"/>
      <c r="GU2565" s="1"/>
      <c r="GV2565" s="1"/>
      <c r="GW2565" s="1"/>
      <c r="GX2565" s="1"/>
      <c r="GY2565" s="1"/>
      <c r="GZ2565" s="1"/>
      <c r="HA2565" s="1"/>
      <c r="HB2565" s="1"/>
      <c r="HC2565" s="1"/>
      <c r="HD2565" s="1"/>
      <c r="HE2565" s="1"/>
      <c r="HF2565" s="1"/>
      <c r="HG2565" s="1"/>
      <c r="HH2565" s="1"/>
      <c r="HI2565" s="1"/>
      <c r="HJ2565" s="1"/>
      <c r="HK2565" s="1"/>
      <c r="HL2565" s="1"/>
      <c r="HM2565" s="1"/>
      <c r="HN2565" s="1"/>
      <c r="HO2565" s="1"/>
      <c r="HP2565" s="1"/>
      <c r="HQ2565" s="1"/>
    </row>
    <row r="2566" spans="1:225" ht="15.75" customHeight="1" x14ac:dyDescent="0.35">
      <c r="A2566" s="338"/>
      <c r="B2566" s="347"/>
      <c r="C2566" s="261"/>
      <c r="D2566" s="264"/>
      <c r="E2566" s="264"/>
      <c r="F2566" s="267"/>
      <c r="G2566" s="258"/>
      <c r="H2566" s="159" t="s">
        <v>76</v>
      </c>
      <c r="I2566" s="158">
        <f>D2558*K2566</f>
        <v>8717</v>
      </c>
      <c r="J2566" s="158">
        <f>I2566/D2558</f>
        <v>10</v>
      </c>
      <c r="K2566" s="158">
        <v>10</v>
      </c>
      <c r="L2566" s="1"/>
      <c r="M2566" s="1"/>
      <c r="N2566" s="1"/>
      <c r="O2566" s="1"/>
      <c r="P2566" s="1"/>
      <c r="Q2566" s="1"/>
      <c r="R2566" s="1"/>
      <c r="S2566" s="1"/>
      <c r="T2566" s="1"/>
      <c r="U2566" s="1"/>
      <c r="V2566" s="1"/>
      <c r="W2566" s="1"/>
      <c r="X2566" s="1"/>
      <c r="Y2566" s="1"/>
      <c r="Z2566" s="1"/>
      <c r="AA2566" s="1"/>
      <c r="AB2566" s="1"/>
      <c r="AC2566" s="1"/>
      <c r="AD2566" s="1"/>
      <c r="AE2566" s="1"/>
      <c r="AF2566" s="1"/>
      <c r="AG2566" s="1"/>
      <c r="AH2566" s="1"/>
      <c r="AI2566" s="1"/>
      <c r="AJ2566" s="1"/>
      <c r="AK2566" s="1"/>
      <c r="AL2566" s="1"/>
      <c r="AM2566" s="1"/>
      <c r="AN2566" s="1"/>
      <c r="AO2566" s="1"/>
      <c r="AP2566" s="1"/>
      <c r="AQ2566" s="1"/>
      <c r="AR2566" s="1"/>
      <c r="AS2566" s="1"/>
      <c r="AT2566" s="1"/>
      <c r="AU2566" s="1"/>
      <c r="AV2566" s="1"/>
      <c r="AW2566" s="1"/>
      <c r="AX2566" s="1"/>
      <c r="AY2566" s="1"/>
      <c r="AZ2566" s="1"/>
      <c r="BA2566" s="1"/>
      <c r="BB2566" s="1"/>
      <c r="BC2566" s="1"/>
      <c r="BD2566" s="1"/>
      <c r="BE2566" s="1"/>
      <c r="BF2566" s="1"/>
      <c r="BG2566" s="1"/>
      <c r="BH2566" s="1"/>
      <c r="BI2566" s="1"/>
      <c r="BJ2566" s="1"/>
      <c r="BK2566" s="1"/>
      <c r="BL2566" s="1"/>
      <c r="BM2566" s="1"/>
      <c r="BN2566" s="1"/>
      <c r="BO2566" s="1"/>
      <c r="BP2566" s="1"/>
      <c r="BQ2566" s="1"/>
      <c r="BR2566" s="1"/>
      <c r="BS2566" s="1"/>
      <c r="BT2566" s="1"/>
      <c r="BU2566" s="1"/>
      <c r="BV2566" s="1"/>
      <c r="BW2566" s="1"/>
      <c r="BX2566" s="1"/>
      <c r="BY2566" s="1"/>
      <c r="BZ2566" s="1"/>
      <c r="CA2566" s="1"/>
      <c r="CB2566" s="1"/>
      <c r="CC2566" s="1"/>
      <c r="CD2566" s="1"/>
      <c r="CE2566" s="1"/>
      <c r="CF2566" s="1"/>
      <c r="CG2566" s="1"/>
      <c r="CH2566" s="1"/>
      <c r="CI2566" s="1"/>
      <c r="CJ2566" s="1"/>
      <c r="CK2566" s="1"/>
      <c r="CL2566" s="1"/>
      <c r="CM2566" s="1"/>
      <c r="CN2566" s="1"/>
      <c r="CO2566" s="1"/>
      <c r="CP2566" s="1"/>
      <c r="CQ2566" s="1"/>
      <c r="CR2566" s="1"/>
      <c r="CS2566" s="1"/>
      <c r="CT2566" s="1"/>
      <c r="CU2566" s="1"/>
      <c r="CV2566" s="1"/>
      <c r="CW2566" s="1"/>
      <c r="CX2566" s="1"/>
      <c r="CY2566" s="1"/>
      <c r="CZ2566" s="1"/>
      <c r="DA2566" s="1"/>
      <c r="DB2566" s="1"/>
      <c r="DC2566" s="1"/>
      <c r="DD2566" s="1"/>
      <c r="DE2566" s="1"/>
      <c r="DF2566" s="1"/>
      <c r="DG2566" s="1"/>
      <c r="DH2566" s="1"/>
      <c r="DI2566" s="1"/>
      <c r="DJ2566" s="1"/>
      <c r="DK2566" s="1"/>
      <c r="DL2566" s="1"/>
      <c r="DM2566" s="1"/>
      <c r="DN2566" s="1"/>
      <c r="DO2566" s="1"/>
      <c r="DP2566" s="1"/>
      <c r="DQ2566" s="1"/>
      <c r="DR2566" s="1"/>
      <c r="DS2566" s="1"/>
      <c r="DT2566" s="1"/>
      <c r="DU2566" s="1"/>
      <c r="DV2566" s="1"/>
      <c r="DW2566" s="1"/>
      <c r="DX2566" s="1"/>
      <c r="DY2566" s="1"/>
      <c r="DZ2566" s="1"/>
      <c r="EA2566" s="1"/>
      <c r="EB2566" s="1"/>
      <c r="EC2566" s="1"/>
      <c r="ED2566" s="1"/>
      <c r="EE2566" s="1"/>
      <c r="EF2566" s="1"/>
      <c r="EG2566" s="1"/>
      <c r="EH2566" s="1"/>
      <c r="EI2566" s="1"/>
      <c r="EJ2566" s="1"/>
      <c r="EK2566" s="1"/>
      <c r="EL2566" s="1"/>
      <c r="EM2566" s="1"/>
      <c r="EN2566" s="1"/>
      <c r="EO2566" s="1"/>
      <c r="EP2566" s="1"/>
      <c r="EQ2566" s="1"/>
      <c r="ER2566" s="1"/>
      <c r="ES2566" s="1"/>
      <c r="ET2566" s="1"/>
      <c r="EU2566" s="1"/>
      <c r="EV2566" s="1"/>
      <c r="EW2566" s="1"/>
      <c r="EX2566" s="1"/>
      <c r="EY2566" s="1"/>
      <c r="EZ2566" s="1"/>
      <c r="FA2566" s="1"/>
      <c r="FB2566" s="1"/>
      <c r="FC2566" s="1"/>
      <c r="FD2566" s="1"/>
      <c r="FE2566" s="1"/>
      <c r="FF2566" s="1"/>
      <c r="FG2566" s="1"/>
      <c r="FH2566" s="1"/>
      <c r="FI2566" s="1"/>
      <c r="FJ2566" s="1"/>
      <c r="FK2566" s="1"/>
      <c r="FL2566" s="1"/>
      <c r="FM2566" s="1"/>
      <c r="FN2566" s="1"/>
      <c r="FO2566" s="1"/>
      <c r="FP2566" s="1"/>
      <c r="FQ2566" s="1"/>
      <c r="FR2566" s="1"/>
      <c r="FS2566" s="1"/>
      <c r="FT2566" s="1"/>
      <c r="FU2566" s="1"/>
      <c r="FV2566" s="1"/>
      <c r="FW2566" s="1"/>
      <c r="FX2566" s="1"/>
      <c r="FY2566" s="1"/>
      <c r="FZ2566" s="1"/>
      <c r="GA2566" s="1"/>
      <c r="GB2566" s="1"/>
      <c r="GC2566" s="1"/>
      <c r="GD2566" s="1"/>
      <c r="GE2566" s="1"/>
      <c r="GF2566" s="1"/>
      <c r="GG2566" s="1"/>
      <c r="GH2566" s="1"/>
      <c r="GI2566" s="1"/>
      <c r="GJ2566" s="1"/>
      <c r="GK2566" s="1"/>
      <c r="GL2566" s="1"/>
      <c r="GM2566" s="1"/>
      <c r="GN2566" s="1"/>
      <c r="GO2566" s="1"/>
      <c r="GP2566" s="1"/>
      <c r="GQ2566" s="1"/>
      <c r="GR2566" s="1"/>
      <c r="GS2566" s="1"/>
      <c r="GT2566" s="1"/>
      <c r="GU2566" s="1"/>
      <c r="GV2566" s="1"/>
      <c r="GW2566" s="1"/>
      <c r="GX2566" s="1"/>
      <c r="GY2566" s="1"/>
      <c r="GZ2566" s="1"/>
      <c r="HA2566" s="1"/>
      <c r="HB2566" s="1"/>
      <c r="HC2566" s="1"/>
      <c r="HD2566" s="1"/>
      <c r="HE2566" s="1"/>
      <c r="HF2566" s="1"/>
      <c r="HG2566" s="1"/>
      <c r="HH2566" s="1"/>
      <c r="HI2566" s="1"/>
      <c r="HJ2566" s="1"/>
      <c r="HK2566" s="1"/>
      <c r="HL2566" s="1"/>
      <c r="HM2566" s="1"/>
      <c r="HN2566" s="1"/>
      <c r="HO2566" s="1"/>
      <c r="HP2566" s="1"/>
      <c r="HQ2566" s="1"/>
    </row>
    <row r="2567" spans="1:225" ht="15.75" customHeight="1" x14ac:dyDescent="0.35">
      <c r="A2567" s="307">
        <f>A2558+1</f>
        <v>15</v>
      </c>
      <c r="B2567" s="305">
        <v>7095</v>
      </c>
      <c r="C2567" s="288" t="s">
        <v>646</v>
      </c>
      <c r="D2567" s="262">
        <v>1205</v>
      </c>
      <c r="E2567" s="262" t="s">
        <v>75</v>
      </c>
      <c r="F2567" s="265">
        <v>6</v>
      </c>
      <c r="G2567" s="256" t="s">
        <v>72</v>
      </c>
      <c r="H2567" s="159" t="s">
        <v>73</v>
      </c>
      <c r="I2567" s="158">
        <f>I2568</f>
        <v>197620</v>
      </c>
      <c r="J2567" s="158">
        <f>J2568</f>
        <v>164</v>
      </c>
      <c r="K2567" s="158">
        <f>K2568</f>
        <v>164</v>
      </c>
      <c r="L2567" s="1"/>
      <c r="M2567" s="1"/>
      <c r="N2567" s="1"/>
      <c r="O2567" s="1"/>
      <c r="P2567" s="1"/>
      <c r="Q2567" s="1"/>
      <c r="R2567" s="1"/>
      <c r="S2567" s="1"/>
      <c r="T2567" s="1"/>
      <c r="U2567" s="1"/>
      <c r="V2567" s="1"/>
      <c r="W2567" s="1"/>
      <c r="X2567" s="1"/>
      <c r="Y2567" s="1"/>
      <c r="Z2567" s="1"/>
      <c r="AA2567" s="1"/>
      <c r="AB2567" s="1"/>
      <c r="AC2567" s="1"/>
      <c r="AD2567" s="1"/>
      <c r="AE2567" s="1"/>
      <c r="AF2567" s="1"/>
      <c r="AG2567" s="1"/>
      <c r="AH2567" s="1"/>
      <c r="AI2567" s="1"/>
      <c r="AJ2567" s="1"/>
      <c r="AK2567" s="1"/>
      <c r="AL2567" s="1"/>
      <c r="AM2567" s="1"/>
      <c r="AN2567" s="1"/>
      <c r="AO2567" s="1"/>
      <c r="AP2567" s="1"/>
      <c r="AQ2567" s="1"/>
      <c r="AR2567" s="1"/>
      <c r="AS2567" s="1"/>
      <c r="AT2567" s="1"/>
      <c r="AU2567" s="1"/>
      <c r="AV2567" s="1"/>
      <c r="AW2567" s="1"/>
      <c r="AX2567" s="1"/>
      <c r="AY2567" s="1"/>
      <c r="AZ2567" s="1"/>
      <c r="BA2567" s="1"/>
      <c r="BB2567" s="1"/>
      <c r="BC2567" s="1"/>
      <c r="BD2567" s="1"/>
      <c r="BE2567" s="1"/>
      <c r="BF2567" s="1"/>
      <c r="BG2567" s="1"/>
      <c r="BH2567" s="1"/>
      <c r="BI2567" s="1"/>
      <c r="BJ2567" s="1"/>
      <c r="BK2567" s="1"/>
      <c r="BL2567" s="1"/>
      <c r="BM2567" s="1"/>
      <c r="BN2567" s="1"/>
      <c r="BO2567" s="1"/>
      <c r="BP2567" s="1"/>
      <c r="BQ2567" s="1"/>
      <c r="BR2567" s="1"/>
      <c r="BS2567" s="1"/>
      <c r="BT2567" s="1"/>
      <c r="BU2567" s="1"/>
      <c r="BV2567" s="1"/>
      <c r="BW2567" s="1"/>
      <c r="BX2567" s="1"/>
      <c r="BY2567" s="1"/>
      <c r="BZ2567" s="1"/>
      <c r="CA2567" s="1"/>
      <c r="CB2567" s="1"/>
      <c r="CC2567" s="1"/>
      <c r="CD2567" s="1"/>
      <c r="CE2567" s="1"/>
      <c r="CF2567" s="1"/>
      <c r="CG2567" s="1"/>
      <c r="CH2567" s="1"/>
      <c r="CI2567" s="1"/>
      <c r="CJ2567" s="1"/>
      <c r="CK2567" s="1"/>
      <c r="CL2567" s="1"/>
      <c r="CM2567" s="1"/>
      <c r="CN2567" s="1"/>
      <c r="CO2567" s="1"/>
      <c r="CP2567" s="1"/>
      <c r="CQ2567" s="1"/>
      <c r="CR2567" s="1"/>
      <c r="CS2567" s="1"/>
      <c r="CT2567" s="1"/>
      <c r="CU2567" s="1"/>
      <c r="CV2567" s="1"/>
      <c r="CW2567" s="1"/>
      <c r="CX2567" s="1"/>
      <c r="CY2567" s="1"/>
      <c r="CZ2567" s="1"/>
      <c r="DA2567" s="1"/>
      <c r="DB2567" s="1"/>
      <c r="DC2567" s="1"/>
      <c r="DD2567" s="1"/>
      <c r="DE2567" s="1"/>
      <c r="DF2567" s="1"/>
      <c r="DG2567" s="1"/>
      <c r="DH2567" s="1"/>
      <c r="DI2567" s="1"/>
      <c r="DJ2567" s="1"/>
      <c r="DK2567" s="1"/>
      <c r="DL2567" s="1"/>
      <c r="DM2567" s="1"/>
      <c r="DN2567" s="1"/>
      <c r="DO2567" s="1"/>
      <c r="DP2567" s="1"/>
      <c r="DQ2567" s="1"/>
      <c r="DR2567" s="1"/>
      <c r="DS2567" s="1"/>
      <c r="DT2567" s="1"/>
      <c r="DU2567" s="1"/>
      <c r="DV2567" s="1"/>
      <c r="DW2567" s="1"/>
      <c r="DX2567" s="1"/>
      <c r="DY2567" s="1"/>
      <c r="DZ2567" s="1"/>
      <c r="EA2567" s="1"/>
      <c r="EB2567" s="1"/>
      <c r="EC2567" s="1"/>
      <c r="ED2567" s="1"/>
      <c r="EE2567" s="1"/>
      <c r="EF2567" s="1"/>
      <c r="EG2567" s="1"/>
      <c r="EH2567" s="1"/>
      <c r="EI2567" s="1"/>
      <c r="EJ2567" s="1"/>
      <c r="EK2567" s="1"/>
      <c r="EL2567" s="1"/>
      <c r="EM2567" s="1"/>
      <c r="EN2567" s="1"/>
      <c r="EO2567" s="1"/>
      <c r="EP2567" s="1"/>
      <c r="EQ2567" s="1"/>
      <c r="ER2567" s="1"/>
      <c r="ES2567" s="1"/>
      <c r="ET2567" s="1"/>
      <c r="EU2567" s="1"/>
      <c r="EV2567" s="1"/>
      <c r="EW2567" s="1"/>
      <c r="EX2567" s="1"/>
      <c r="EY2567" s="1"/>
      <c r="EZ2567" s="1"/>
      <c r="FA2567" s="1"/>
      <c r="FB2567" s="1"/>
      <c r="FC2567" s="1"/>
      <c r="FD2567" s="1"/>
      <c r="FE2567" s="1"/>
      <c r="FF2567" s="1"/>
      <c r="FG2567" s="1"/>
      <c r="FH2567" s="1"/>
      <c r="FI2567" s="1"/>
      <c r="FJ2567" s="1"/>
      <c r="FK2567" s="1"/>
      <c r="FL2567" s="1"/>
      <c r="FM2567" s="1"/>
      <c r="FN2567" s="1"/>
      <c r="FO2567" s="1"/>
      <c r="FP2567" s="1"/>
      <c r="FQ2567" s="1"/>
      <c r="FR2567" s="1"/>
      <c r="FS2567" s="1"/>
      <c r="FT2567" s="1"/>
      <c r="FU2567" s="1"/>
      <c r="FV2567" s="1"/>
      <c r="FW2567" s="1"/>
      <c r="FX2567" s="1"/>
      <c r="FY2567" s="1"/>
      <c r="FZ2567" s="1"/>
      <c r="GA2567" s="1"/>
      <c r="GB2567" s="1"/>
      <c r="GC2567" s="1"/>
      <c r="GD2567" s="1"/>
      <c r="GE2567" s="1"/>
      <c r="GF2567" s="1"/>
      <c r="GG2567" s="1"/>
      <c r="GH2567" s="1"/>
      <c r="GI2567" s="1"/>
      <c r="GJ2567" s="1"/>
      <c r="GK2567" s="1"/>
      <c r="GL2567" s="1"/>
      <c r="GM2567" s="1"/>
      <c r="GN2567" s="1"/>
      <c r="GO2567" s="1"/>
      <c r="GP2567" s="1"/>
      <c r="GQ2567" s="1"/>
      <c r="GR2567" s="1"/>
      <c r="GS2567" s="1"/>
      <c r="GT2567" s="1"/>
      <c r="GU2567" s="1"/>
      <c r="GV2567" s="1"/>
      <c r="GW2567" s="1"/>
      <c r="GX2567" s="1"/>
      <c r="GY2567" s="1"/>
      <c r="GZ2567" s="1"/>
      <c r="HA2567" s="1"/>
      <c r="HB2567" s="1"/>
      <c r="HC2567" s="1"/>
      <c r="HD2567" s="1"/>
      <c r="HE2567" s="1"/>
      <c r="HF2567" s="1"/>
      <c r="HG2567" s="1"/>
      <c r="HH2567" s="1"/>
      <c r="HI2567" s="1"/>
      <c r="HJ2567" s="1"/>
      <c r="HK2567" s="1"/>
      <c r="HL2567" s="1"/>
      <c r="HM2567" s="1"/>
      <c r="HN2567" s="1"/>
      <c r="HO2567" s="1"/>
      <c r="HP2567" s="1"/>
      <c r="HQ2567" s="1"/>
    </row>
    <row r="2568" spans="1:225" ht="46.5" x14ac:dyDescent="0.35">
      <c r="A2568" s="306"/>
      <c r="B2568" s="306"/>
      <c r="C2568" s="289"/>
      <c r="D2568" s="263"/>
      <c r="E2568" s="263"/>
      <c r="F2568" s="266"/>
      <c r="G2568" s="257"/>
      <c r="H2568" s="159" t="s">
        <v>705</v>
      </c>
      <c r="I2568" s="158">
        <f>D2567*K2568</f>
        <v>197620</v>
      </c>
      <c r="J2568" s="158">
        <f>I2568/D2567</f>
        <v>164</v>
      </c>
      <c r="K2568" s="158">
        <f>151+13</f>
        <v>164</v>
      </c>
      <c r="L2568" s="1"/>
      <c r="M2568" s="1"/>
      <c r="N2568" s="1"/>
      <c r="O2568" s="1"/>
      <c r="P2568" s="1"/>
      <c r="Q2568" s="1"/>
      <c r="R2568" s="1"/>
      <c r="S2568" s="1"/>
      <c r="T2568" s="1"/>
      <c r="U2568" s="1"/>
      <c r="V2568" s="1"/>
      <c r="W2568" s="1"/>
      <c r="X2568" s="1"/>
      <c r="Y2568" s="1"/>
      <c r="Z2568" s="1"/>
      <c r="AA2568" s="1"/>
      <c r="AB2568" s="1"/>
      <c r="AC2568" s="1"/>
      <c r="AD2568" s="1"/>
      <c r="AE2568" s="1"/>
      <c r="AF2568" s="1"/>
      <c r="AG2568" s="1"/>
      <c r="AH2568" s="1"/>
      <c r="AI2568" s="1"/>
      <c r="AJ2568" s="1"/>
      <c r="AK2568" s="1"/>
      <c r="AL2568" s="1"/>
      <c r="AM2568" s="1"/>
      <c r="AN2568" s="1"/>
      <c r="AO2568" s="1"/>
      <c r="AP2568" s="1"/>
      <c r="AQ2568" s="1"/>
      <c r="AR2568" s="1"/>
      <c r="AS2568" s="1"/>
      <c r="AT2568" s="1"/>
      <c r="AU2568" s="1"/>
      <c r="AV2568" s="1"/>
      <c r="AW2568" s="1"/>
      <c r="AX2568" s="1"/>
      <c r="AY2568" s="1"/>
      <c r="AZ2568" s="1"/>
      <c r="BA2568" s="1"/>
      <c r="BB2568" s="1"/>
      <c r="BC2568" s="1"/>
      <c r="BD2568" s="1"/>
      <c r="BE2568" s="1"/>
      <c r="BF2568" s="1"/>
      <c r="BG2568" s="1"/>
      <c r="BH2568" s="1"/>
      <c r="BI2568" s="1"/>
      <c r="BJ2568" s="1"/>
      <c r="BK2568" s="1"/>
      <c r="BL2568" s="1"/>
      <c r="BM2568" s="1"/>
      <c r="BN2568" s="1"/>
      <c r="BO2568" s="1"/>
      <c r="BP2568" s="1"/>
      <c r="BQ2568" s="1"/>
      <c r="BR2568" s="1"/>
      <c r="BS2568" s="1"/>
      <c r="BT2568" s="1"/>
      <c r="BU2568" s="1"/>
      <c r="BV2568" s="1"/>
      <c r="BW2568" s="1"/>
      <c r="BX2568" s="1"/>
      <c r="BY2568" s="1"/>
      <c r="BZ2568" s="1"/>
      <c r="CA2568" s="1"/>
      <c r="CB2568" s="1"/>
      <c r="CC2568" s="1"/>
      <c r="CD2568" s="1"/>
      <c r="CE2568" s="1"/>
      <c r="CF2568" s="1"/>
      <c r="CG2568" s="1"/>
      <c r="CH2568" s="1"/>
      <c r="CI2568" s="1"/>
      <c r="CJ2568" s="1"/>
      <c r="CK2568" s="1"/>
      <c r="CL2568" s="1"/>
      <c r="CM2568" s="1"/>
      <c r="CN2568" s="1"/>
      <c r="CO2568" s="1"/>
      <c r="CP2568" s="1"/>
      <c r="CQ2568" s="1"/>
      <c r="CR2568" s="1"/>
      <c r="CS2568" s="1"/>
      <c r="CT2568" s="1"/>
      <c r="CU2568" s="1"/>
      <c r="CV2568" s="1"/>
      <c r="CW2568" s="1"/>
      <c r="CX2568" s="1"/>
      <c r="CY2568" s="1"/>
      <c r="CZ2568" s="1"/>
      <c r="DA2568" s="1"/>
      <c r="DB2568" s="1"/>
      <c r="DC2568" s="1"/>
      <c r="DD2568" s="1"/>
      <c r="DE2568" s="1"/>
      <c r="DF2568" s="1"/>
      <c r="DG2568" s="1"/>
      <c r="DH2568" s="1"/>
      <c r="DI2568" s="1"/>
      <c r="DJ2568" s="1"/>
      <c r="DK2568" s="1"/>
      <c r="DL2568" s="1"/>
      <c r="DM2568" s="1"/>
      <c r="DN2568" s="1"/>
      <c r="DO2568" s="1"/>
      <c r="DP2568" s="1"/>
      <c r="DQ2568" s="1"/>
      <c r="DR2568" s="1"/>
      <c r="DS2568" s="1"/>
      <c r="DT2568" s="1"/>
      <c r="DU2568" s="1"/>
      <c r="DV2568" s="1"/>
      <c r="DW2568" s="1"/>
      <c r="DX2568" s="1"/>
      <c r="DY2568" s="1"/>
      <c r="DZ2568" s="1"/>
      <c r="EA2568" s="1"/>
      <c r="EB2568" s="1"/>
      <c r="EC2568" s="1"/>
      <c r="ED2568" s="1"/>
      <c r="EE2568" s="1"/>
      <c r="EF2568" s="1"/>
      <c r="EG2568" s="1"/>
      <c r="EH2568" s="1"/>
      <c r="EI2568" s="1"/>
      <c r="EJ2568" s="1"/>
      <c r="EK2568" s="1"/>
      <c r="EL2568" s="1"/>
      <c r="EM2568" s="1"/>
      <c r="EN2568" s="1"/>
      <c r="EO2568" s="1"/>
      <c r="EP2568" s="1"/>
      <c r="EQ2568" s="1"/>
      <c r="ER2568" s="1"/>
      <c r="ES2568" s="1"/>
      <c r="ET2568" s="1"/>
      <c r="EU2568" s="1"/>
      <c r="EV2568" s="1"/>
      <c r="EW2568" s="1"/>
      <c r="EX2568" s="1"/>
      <c r="EY2568" s="1"/>
      <c r="EZ2568" s="1"/>
      <c r="FA2568" s="1"/>
      <c r="FB2568" s="1"/>
      <c r="FC2568" s="1"/>
      <c r="FD2568" s="1"/>
      <c r="FE2568" s="1"/>
      <c r="FF2568" s="1"/>
      <c r="FG2568" s="1"/>
      <c r="FH2568" s="1"/>
      <c r="FI2568" s="1"/>
      <c r="FJ2568" s="1"/>
      <c r="FK2568" s="1"/>
      <c r="FL2568" s="1"/>
      <c r="FM2568" s="1"/>
      <c r="FN2568" s="1"/>
      <c r="FO2568" s="1"/>
      <c r="FP2568" s="1"/>
      <c r="FQ2568" s="1"/>
      <c r="FR2568" s="1"/>
      <c r="FS2568" s="1"/>
      <c r="FT2568" s="1"/>
      <c r="FU2568" s="1"/>
      <c r="FV2568" s="1"/>
      <c r="FW2568" s="1"/>
      <c r="FX2568" s="1"/>
      <c r="FY2568" s="1"/>
      <c r="FZ2568" s="1"/>
      <c r="GA2568" s="1"/>
      <c r="GB2568" s="1"/>
      <c r="GC2568" s="1"/>
      <c r="GD2568" s="1"/>
      <c r="GE2568" s="1"/>
      <c r="GF2568" s="1"/>
      <c r="GG2568" s="1"/>
      <c r="GH2568" s="1"/>
      <c r="GI2568" s="1"/>
      <c r="GJ2568" s="1"/>
      <c r="GK2568" s="1"/>
      <c r="GL2568" s="1"/>
      <c r="GM2568" s="1"/>
      <c r="GN2568" s="1"/>
      <c r="GO2568" s="1"/>
      <c r="GP2568" s="1"/>
      <c r="GQ2568" s="1"/>
      <c r="GR2568" s="1"/>
      <c r="GS2568" s="1"/>
      <c r="GT2568" s="1"/>
      <c r="GU2568" s="1"/>
      <c r="GV2568" s="1"/>
      <c r="GW2568" s="1"/>
      <c r="GX2568" s="1"/>
      <c r="GY2568" s="1"/>
      <c r="GZ2568" s="1"/>
      <c r="HA2568" s="1"/>
      <c r="HB2568" s="1"/>
      <c r="HC2568" s="1"/>
      <c r="HD2568" s="1"/>
      <c r="HE2568" s="1"/>
      <c r="HF2568" s="1"/>
      <c r="HG2568" s="1"/>
      <c r="HH2568" s="1"/>
      <c r="HI2568" s="1"/>
      <c r="HJ2568" s="1"/>
      <c r="HK2568" s="1"/>
      <c r="HL2568" s="1"/>
      <c r="HM2568" s="1"/>
      <c r="HN2568" s="1"/>
      <c r="HO2568" s="1"/>
      <c r="HP2568" s="1"/>
      <c r="HQ2568" s="1"/>
    </row>
    <row r="2569" spans="1:225" x14ac:dyDescent="0.35">
      <c r="A2569" s="155" t="s">
        <v>57</v>
      </c>
      <c r="B2569" s="213"/>
      <c r="C2569" s="156"/>
      <c r="D2569" s="142">
        <f>D2570</f>
        <v>909.3</v>
      </c>
      <c r="E2569" s="51"/>
      <c r="F2569" s="51"/>
      <c r="G2569" s="125"/>
      <c r="H2569" s="162"/>
      <c r="I2569" s="158">
        <f>I2570</f>
        <v>151853.1</v>
      </c>
      <c r="J2569" s="158"/>
      <c r="K2569" s="158"/>
      <c r="L2569" s="8"/>
      <c r="M2569" s="8"/>
      <c r="N2569" s="8"/>
      <c r="O2569" s="8"/>
      <c r="P2569" s="8"/>
      <c r="Q2569" s="8"/>
      <c r="R2569" s="8"/>
      <c r="S2569" s="8"/>
      <c r="T2569" s="8"/>
      <c r="U2569" s="8"/>
      <c r="V2569" s="8"/>
      <c r="W2569" s="8"/>
      <c r="X2569" s="29"/>
      <c r="Y2569" s="29"/>
      <c r="Z2569" s="29"/>
      <c r="AA2569" s="29"/>
      <c r="AB2569" s="29"/>
      <c r="AC2569" s="29"/>
      <c r="AD2569" s="29"/>
      <c r="AE2569" s="29"/>
      <c r="AF2569" s="29"/>
      <c r="AG2569" s="29"/>
      <c r="AH2569" s="29"/>
      <c r="AI2569" s="29"/>
      <c r="AJ2569" s="29"/>
      <c r="AK2569" s="29"/>
      <c r="AL2569" s="29"/>
      <c r="AM2569" s="29"/>
      <c r="AN2569" s="29"/>
      <c r="AO2569" s="29"/>
      <c r="AP2569" s="29"/>
      <c r="AQ2569" s="29"/>
      <c r="AR2569" s="29"/>
      <c r="AS2569" s="29"/>
      <c r="AT2569" s="29"/>
      <c r="AU2569" s="29"/>
      <c r="AV2569" s="29"/>
      <c r="AW2569" s="29"/>
      <c r="AX2569" s="29"/>
      <c r="AY2569" s="29"/>
      <c r="AZ2569" s="29"/>
      <c r="BA2569" s="29"/>
      <c r="BB2569" s="29"/>
      <c r="BC2569" s="29"/>
      <c r="BD2569" s="29"/>
      <c r="BE2569" s="29"/>
      <c r="BF2569" s="29"/>
      <c r="BG2569" s="29"/>
      <c r="BH2569" s="29"/>
      <c r="BI2569" s="29"/>
      <c r="BJ2569" s="29"/>
      <c r="BK2569" s="29"/>
      <c r="BL2569" s="29"/>
      <c r="BM2569" s="29"/>
      <c r="BN2569" s="29"/>
      <c r="BO2569" s="29"/>
      <c r="BP2569" s="29"/>
      <c r="BQ2569" s="29"/>
      <c r="BR2569" s="29"/>
      <c r="BS2569" s="29"/>
      <c r="BT2569" s="29"/>
      <c r="BU2569" s="29"/>
      <c r="BV2569" s="29"/>
      <c r="BW2569" s="29"/>
      <c r="BX2569" s="29"/>
      <c r="BY2569" s="29"/>
      <c r="BZ2569" s="29"/>
      <c r="CA2569" s="29"/>
      <c r="CB2569" s="29"/>
      <c r="CC2569" s="29"/>
      <c r="CD2569" s="29"/>
      <c r="CE2569" s="29"/>
      <c r="CF2569" s="29"/>
      <c r="CG2569" s="29"/>
      <c r="CH2569" s="29"/>
      <c r="CI2569" s="29"/>
      <c r="CJ2569" s="29"/>
      <c r="CK2569" s="29"/>
      <c r="CL2569" s="29"/>
      <c r="CM2569" s="29"/>
      <c r="CN2569" s="29"/>
      <c r="CO2569" s="29"/>
      <c r="CP2569" s="29"/>
      <c r="CQ2569" s="29"/>
      <c r="CR2569" s="29"/>
      <c r="CS2569" s="29"/>
      <c r="CT2569" s="29"/>
      <c r="CU2569" s="29"/>
      <c r="CV2569" s="29"/>
      <c r="CW2569" s="29"/>
      <c r="CX2569" s="29"/>
      <c r="CY2569" s="29"/>
      <c r="CZ2569" s="29"/>
      <c r="DA2569" s="29"/>
      <c r="DB2569" s="29"/>
      <c r="DC2569" s="29"/>
      <c r="DD2569" s="29"/>
      <c r="DE2569" s="29"/>
      <c r="DF2569" s="29"/>
      <c r="DG2569" s="29"/>
      <c r="DH2569" s="29"/>
      <c r="DI2569" s="29"/>
      <c r="DJ2569" s="29"/>
      <c r="DK2569" s="29"/>
      <c r="DL2569" s="29"/>
      <c r="DM2569" s="29"/>
      <c r="DN2569" s="29"/>
      <c r="DO2569" s="29"/>
      <c r="DP2569" s="29"/>
      <c r="DQ2569" s="29"/>
      <c r="DR2569" s="29"/>
      <c r="DS2569" s="29"/>
      <c r="DT2569" s="29"/>
      <c r="DU2569" s="29"/>
      <c r="DV2569" s="29"/>
      <c r="DW2569" s="29"/>
      <c r="DX2569" s="29"/>
      <c r="DY2569" s="29"/>
      <c r="DZ2569" s="29"/>
      <c r="EA2569" s="29"/>
      <c r="EB2569" s="29"/>
      <c r="EC2569" s="29"/>
      <c r="ED2569" s="29"/>
      <c r="EE2569" s="29"/>
      <c r="EF2569" s="29"/>
      <c r="EG2569" s="29"/>
      <c r="EH2569" s="29"/>
      <c r="EI2569" s="29"/>
      <c r="EJ2569" s="29"/>
      <c r="EK2569" s="29"/>
      <c r="EL2569" s="29"/>
      <c r="EM2569" s="29"/>
      <c r="EN2569" s="29"/>
      <c r="EO2569" s="29"/>
      <c r="EP2569" s="29"/>
      <c r="EQ2569" s="29"/>
      <c r="ER2569" s="29"/>
      <c r="ES2569" s="29"/>
      <c r="ET2569" s="29"/>
      <c r="EU2569" s="29"/>
      <c r="EV2569" s="29"/>
      <c r="EW2569" s="29"/>
      <c r="EX2569" s="29"/>
      <c r="EY2569" s="29"/>
      <c r="EZ2569" s="29"/>
      <c r="FA2569" s="29"/>
      <c r="FB2569" s="29"/>
      <c r="FC2569" s="29"/>
      <c r="FD2569" s="29"/>
      <c r="FE2569" s="29"/>
      <c r="FF2569" s="29"/>
      <c r="FG2569" s="29"/>
      <c r="FH2569" s="29"/>
      <c r="FI2569" s="29"/>
      <c r="FJ2569" s="29"/>
      <c r="FK2569" s="29"/>
      <c r="FL2569" s="29"/>
      <c r="FM2569" s="29"/>
      <c r="FN2569" s="29"/>
      <c r="FO2569" s="29"/>
      <c r="FP2569" s="29"/>
      <c r="FQ2569" s="29"/>
      <c r="FR2569" s="29"/>
      <c r="FS2569" s="29"/>
      <c r="FT2569" s="29"/>
      <c r="FU2569" s="29"/>
      <c r="FV2569" s="29"/>
      <c r="FW2569" s="29"/>
      <c r="FX2569" s="29"/>
      <c r="FY2569" s="29"/>
      <c r="FZ2569" s="29"/>
      <c r="GA2569" s="29"/>
      <c r="GB2569" s="29"/>
      <c r="GC2569" s="29"/>
      <c r="GD2569" s="29"/>
      <c r="GE2569" s="29"/>
      <c r="GF2569" s="29"/>
      <c r="GG2569" s="29"/>
      <c r="GH2569" s="29"/>
      <c r="GI2569" s="29"/>
      <c r="GJ2569" s="29"/>
      <c r="GK2569" s="29"/>
      <c r="GL2569" s="29"/>
      <c r="GM2569" s="29"/>
      <c r="GN2569" s="29"/>
      <c r="GO2569" s="29"/>
      <c r="GP2569" s="29"/>
      <c r="GQ2569" s="29"/>
      <c r="GR2569" s="29"/>
      <c r="GS2569" s="29"/>
      <c r="GT2569" s="29"/>
      <c r="GU2569" s="29"/>
      <c r="GV2569" s="29"/>
      <c r="GW2569" s="29"/>
      <c r="GX2569" s="29"/>
      <c r="GY2569" s="29"/>
      <c r="GZ2569" s="29"/>
      <c r="HA2569" s="29"/>
      <c r="HB2569" s="29"/>
      <c r="HC2569" s="29"/>
      <c r="HD2569" s="29"/>
      <c r="HE2569" s="29"/>
      <c r="HF2569" s="29"/>
      <c r="HG2569" s="29"/>
      <c r="HH2569" s="29"/>
      <c r="HI2569" s="29"/>
      <c r="HJ2569" s="29"/>
      <c r="HK2569" s="29"/>
      <c r="HL2569" s="29"/>
      <c r="HM2569" s="29"/>
      <c r="HN2569" s="29"/>
      <c r="HO2569" s="29"/>
      <c r="HP2569" s="92"/>
      <c r="HQ2569" s="92"/>
    </row>
    <row r="2570" spans="1:225" ht="15.75" customHeight="1" x14ac:dyDescent="0.35">
      <c r="A2570" s="256">
        <v>1</v>
      </c>
      <c r="B2570" s="256">
        <v>4999</v>
      </c>
      <c r="C2570" s="259" t="s">
        <v>647</v>
      </c>
      <c r="D2570" s="262">
        <v>909.3</v>
      </c>
      <c r="E2570" s="265" t="s">
        <v>75</v>
      </c>
      <c r="F2570" s="265">
        <v>2</v>
      </c>
      <c r="G2570" s="256" t="s">
        <v>72</v>
      </c>
      <c r="H2570" s="159" t="s">
        <v>73</v>
      </c>
      <c r="I2570" s="158">
        <f>I2571</f>
        <v>151853.1</v>
      </c>
      <c r="J2570" s="158">
        <f>J2571</f>
        <v>167</v>
      </c>
      <c r="K2570" s="158">
        <f>K2571</f>
        <v>167</v>
      </c>
      <c r="L2570" s="1"/>
      <c r="M2570" s="1"/>
      <c r="N2570" s="1"/>
      <c r="O2570" s="1"/>
      <c r="P2570" s="1"/>
      <c r="Q2570" s="1"/>
      <c r="R2570" s="1"/>
      <c r="S2570" s="1"/>
      <c r="T2570" s="1"/>
      <c r="U2570" s="1"/>
      <c r="V2570" s="1"/>
      <c r="W2570" s="1"/>
      <c r="X2570" s="1"/>
      <c r="Y2570" s="1"/>
      <c r="Z2570" s="1"/>
      <c r="AA2570" s="1"/>
      <c r="AB2570" s="1"/>
      <c r="AC2570" s="1"/>
      <c r="AD2570" s="1"/>
      <c r="AE2570" s="1"/>
      <c r="AF2570" s="1"/>
      <c r="AG2570" s="1"/>
      <c r="AH2570" s="1"/>
      <c r="AI2570" s="1"/>
      <c r="AJ2570" s="1"/>
      <c r="AK2570" s="1"/>
      <c r="AL2570" s="1"/>
      <c r="AM2570" s="1"/>
      <c r="AN2570" s="1"/>
      <c r="AO2570" s="1"/>
      <c r="AP2570" s="1"/>
      <c r="AQ2570" s="1"/>
      <c r="AR2570" s="1"/>
      <c r="AS2570" s="1"/>
      <c r="AT2570" s="1"/>
      <c r="AU2570" s="1"/>
      <c r="AV2570" s="1"/>
      <c r="AW2570" s="1"/>
      <c r="AX2570" s="1"/>
      <c r="AY2570" s="1"/>
      <c r="AZ2570" s="1"/>
      <c r="BA2570" s="1"/>
      <c r="BB2570" s="1"/>
      <c r="BC2570" s="1"/>
      <c r="BD2570" s="1"/>
      <c r="BE2570" s="1"/>
      <c r="BF2570" s="1"/>
      <c r="BG2570" s="1"/>
      <c r="BH2570" s="1"/>
      <c r="BI2570" s="1"/>
      <c r="BJ2570" s="1"/>
      <c r="BK2570" s="1"/>
      <c r="BL2570" s="1"/>
      <c r="BM2570" s="1"/>
      <c r="BN2570" s="1"/>
      <c r="BO2570" s="1"/>
      <c r="BP2570" s="1"/>
      <c r="BQ2570" s="1"/>
      <c r="BR2570" s="1"/>
      <c r="BS2570" s="1"/>
      <c r="BT2570" s="1"/>
      <c r="BU2570" s="1"/>
      <c r="BV2570" s="1"/>
      <c r="BW2570" s="1"/>
      <c r="BX2570" s="1"/>
      <c r="BY2570" s="1"/>
      <c r="BZ2570" s="1"/>
      <c r="CA2570" s="1"/>
      <c r="CB2570" s="1"/>
      <c r="CC2570" s="1"/>
      <c r="CD2570" s="1"/>
      <c r="CE2570" s="1"/>
      <c r="CF2570" s="1"/>
      <c r="CG2570" s="1"/>
      <c r="CH2570" s="1"/>
      <c r="CI2570" s="1"/>
      <c r="CJ2570" s="1"/>
      <c r="CK2570" s="1"/>
      <c r="CL2570" s="1"/>
      <c r="CM2570" s="1"/>
      <c r="CN2570" s="1"/>
      <c r="CO2570" s="1"/>
      <c r="CP2570" s="1"/>
      <c r="CQ2570" s="1"/>
      <c r="CR2570" s="1"/>
      <c r="CS2570" s="1"/>
      <c r="CT2570" s="1"/>
      <c r="CU2570" s="1"/>
      <c r="CV2570" s="1"/>
      <c r="CW2570" s="1"/>
      <c r="CX2570" s="1"/>
      <c r="CY2570" s="1"/>
      <c r="CZ2570" s="1"/>
      <c r="DA2570" s="1"/>
      <c r="DB2570" s="1"/>
      <c r="DC2570" s="1"/>
      <c r="DD2570" s="1"/>
      <c r="DE2570" s="1"/>
      <c r="DF2570" s="1"/>
      <c r="DG2570" s="1"/>
      <c r="DH2570" s="1"/>
      <c r="DI2570" s="1"/>
      <c r="DJ2570" s="1"/>
      <c r="DK2570" s="1"/>
      <c r="DL2570" s="1"/>
      <c r="DM2570" s="1"/>
      <c r="DN2570" s="1"/>
      <c r="DO2570" s="1"/>
      <c r="DP2570" s="1"/>
      <c r="DQ2570" s="1"/>
      <c r="DR2570" s="1"/>
      <c r="DS2570" s="1"/>
      <c r="DT2570" s="1"/>
      <c r="DU2570" s="1"/>
      <c r="DV2570" s="1"/>
      <c r="DW2570" s="1"/>
      <c r="DX2570" s="1"/>
      <c r="DY2570" s="1"/>
      <c r="DZ2570" s="1"/>
      <c r="EA2570" s="1"/>
      <c r="EB2570" s="1"/>
      <c r="EC2570" s="1"/>
      <c r="ED2570" s="1"/>
      <c r="EE2570" s="1"/>
      <c r="EF2570" s="1"/>
      <c r="EG2570" s="1"/>
      <c r="EH2570" s="1"/>
      <c r="EI2570" s="1"/>
      <c r="EJ2570" s="1"/>
      <c r="EK2570" s="1"/>
      <c r="EL2570" s="1"/>
      <c r="EM2570" s="1"/>
      <c r="EN2570" s="1"/>
      <c r="EO2570" s="1"/>
      <c r="EP2570" s="1"/>
      <c r="EQ2570" s="1"/>
      <c r="ER2570" s="1"/>
      <c r="ES2570" s="1"/>
      <c r="ET2570" s="1"/>
      <c r="EU2570" s="1"/>
      <c r="EV2570" s="1"/>
      <c r="EW2570" s="1"/>
      <c r="EX2570" s="1"/>
      <c r="EY2570" s="1"/>
      <c r="EZ2570" s="1"/>
      <c r="FA2570" s="1"/>
      <c r="FB2570" s="1"/>
      <c r="FC2570" s="1"/>
      <c r="FD2570" s="1"/>
      <c r="FE2570" s="1"/>
      <c r="FF2570" s="1"/>
      <c r="FG2570" s="1"/>
      <c r="FH2570" s="1"/>
      <c r="FI2570" s="1"/>
      <c r="FJ2570" s="1"/>
      <c r="FK2570" s="1"/>
      <c r="FL2570" s="1"/>
      <c r="FM2570" s="1"/>
      <c r="FN2570" s="1"/>
      <c r="FO2570" s="1"/>
      <c r="FP2570" s="1"/>
      <c r="FQ2570" s="1"/>
      <c r="FR2570" s="1"/>
      <c r="FS2570" s="1"/>
      <c r="FT2570" s="1"/>
      <c r="FU2570" s="1"/>
      <c r="FV2570" s="1"/>
      <c r="FW2570" s="1"/>
      <c r="FX2570" s="1"/>
      <c r="FY2570" s="1"/>
      <c r="FZ2570" s="1"/>
      <c r="GA2570" s="1"/>
      <c r="GB2570" s="1"/>
      <c r="GC2570" s="1"/>
      <c r="GD2570" s="1"/>
      <c r="GE2570" s="1"/>
      <c r="GF2570" s="1"/>
      <c r="GG2570" s="1"/>
      <c r="GH2570" s="1"/>
      <c r="GI2570" s="1"/>
      <c r="GJ2570" s="1"/>
      <c r="GK2570" s="1"/>
      <c r="GL2570" s="1"/>
      <c r="GM2570" s="1"/>
      <c r="GN2570" s="1"/>
      <c r="GO2570" s="1"/>
      <c r="GP2570" s="1"/>
      <c r="GQ2570" s="1"/>
      <c r="GR2570" s="1"/>
      <c r="GS2570" s="1"/>
      <c r="GT2570" s="1"/>
      <c r="GU2570" s="1"/>
      <c r="GV2570" s="1"/>
      <c r="GW2570" s="1"/>
      <c r="GX2570" s="1"/>
      <c r="GY2570" s="1"/>
      <c r="GZ2570" s="1"/>
      <c r="HA2570" s="1"/>
      <c r="HB2570" s="1"/>
      <c r="HC2570" s="1"/>
      <c r="HD2570" s="1"/>
      <c r="HE2570" s="1"/>
      <c r="HF2570" s="1"/>
      <c r="HG2570" s="1"/>
      <c r="HH2570" s="1"/>
      <c r="HI2570" s="1"/>
      <c r="HJ2570" s="1"/>
      <c r="HK2570" s="1"/>
      <c r="HL2570" s="1"/>
      <c r="HM2570" s="1"/>
      <c r="HN2570" s="1"/>
      <c r="HO2570" s="1"/>
      <c r="HP2570" s="1"/>
      <c r="HQ2570" s="1"/>
    </row>
    <row r="2571" spans="1:225" ht="46.5" x14ac:dyDescent="0.35">
      <c r="A2571" s="258">
        <v>1174</v>
      </c>
      <c r="B2571" s="258"/>
      <c r="C2571" s="261"/>
      <c r="D2571" s="264"/>
      <c r="E2571" s="267"/>
      <c r="F2571" s="267"/>
      <c r="G2571" s="258"/>
      <c r="H2571" s="159" t="s">
        <v>705</v>
      </c>
      <c r="I2571" s="158">
        <f>D2570*K2571</f>
        <v>151853.1</v>
      </c>
      <c r="J2571" s="158">
        <f>I2571/D2570</f>
        <v>167</v>
      </c>
      <c r="K2571" s="158">
        <f>154+13</f>
        <v>167</v>
      </c>
      <c r="L2571" s="1"/>
      <c r="M2571" s="1"/>
      <c r="N2571" s="1"/>
      <c r="O2571" s="1"/>
      <c r="P2571" s="1"/>
      <c r="Q2571" s="1"/>
      <c r="R2571" s="1"/>
      <c r="S2571" s="1"/>
      <c r="T2571" s="1"/>
      <c r="U2571" s="1"/>
      <c r="V2571" s="1"/>
      <c r="W2571" s="1"/>
      <c r="X2571" s="1"/>
      <c r="Y2571" s="1"/>
      <c r="Z2571" s="1"/>
      <c r="AA2571" s="1"/>
      <c r="AB2571" s="1"/>
      <c r="AC2571" s="1"/>
      <c r="AD2571" s="1"/>
      <c r="AE2571" s="1"/>
      <c r="AF2571" s="1"/>
      <c r="AG2571" s="1"/>
      <c r="AH2571" s="1"/>
      <c r="AI2571" s="1"/>
      <c r="AJ2571" s="1"/>
      <c r="AK2571" s="1"/>
      <c r="AL2571" s="1"/>
      <c r="AM2571" s="1"/>
      <c r="AN2571" s="1"/>
      <c r="AO2571" s="1"/>
      <c r="AP2571" s="1"/>
      <c r="AQ2571" s="1"/>
      <c r="AR2571" s="1"/>
      <c r="AS2571" s="1"/>
      <c r="AT2571" s="1"/>
      <c r="AU2571" s="1"/>
      <c r="AV2571" s="1"/>
      <c r="AW2571" s="1"/>
      <c r="AX2571" s="1"/>
      <c r="AY2571" s="1"/>
      <c r="AZ2571" s="1"/>
      <c r="BA2571" s="1"/>
      <c r="BB2571" s="1"/>
      <c r="BC2571" s="1"/>
      <c r="BD2571" s="1"/>
      <c r="BE2571" s="1"/>
      <c r="BF2571" s="1"/>
      <c r="BG2571" s="1"/>
      <c r="BH2571" s="1"/>
      <c r="BI2571" s="1"/>
      <c r="BJ2571" s="1"/>
      <c r="BK2571" s="1"/>
      <c r="BL2571" s="1"/>
      <c r="BM2571" s="1"/>
      <c r="BN2571" s="1"/>
      <c r="BO2571" s="1"/>
      <c r="BP2571" s="1"/>
      <c r="BQ2571" s="1"/>
      <c r="BR2571" s="1"/>
      <c r="BS2571" s="1"/>
      <c r="BT2571" s="1"/>
      <c r="BU2571" s="1"/>
      <c r="BV2571" s="1"/>
      <c r="BW2571" s="1"/>
      <c r="BX2571" s="1"/>
      <c r="BY2571" s="1"/>
      <c r="BZ2571" s="1"/>
      <c r="CA2571" s="1"/>
      <c r="CB2571" s="1"/>
      <c r="CC2571" s="1"/>
      <c r="CD2571" s="1"/>
      <c r="CE2571" s="1"/>
      <c r="CF2571" s="1"/>
      <c r="CG2571" s="1"/>
      <c r="CH2571" s="1"/>
      <c r="CI2571" s="1"/>
      <c r="CJ2571" s="1"/>
      <c r="CK2571" s="1"/>
      <c r="CL2571" s="1"/>
      <c r="CM2571" s="1"/>
      <c r="CN2571" s="1"/>
      <c r="CO2571" s="1"/>
      <c r="CP2571" s="1"/>
      <c r="CQ2571" s="1"/>
      <c r="CR2571" s="1"/>
      <c r="CS2571" s="1"/>
      <c r="CT2571" s="1"/>
      <c r="CU2571" s="1"/>
      <c r="CV2571" s="1"/>
      <c r="CW2571" s="1"/>
      <c r="CX2571" s="1"/>
      <c r="CY2571" s="1"/>
      <c r="CZ2571" s="1"/>
      <c r="DA2571" s="1"/>
      <c r="DB2571" s="1"/>
      <c r="DC2571" s="1"/>
      <c r="DD2571" s="1"/>
      <c r="DE2571" s="1"/>
      <c r="DF2571" s="1"/>
      <c r="DG2571" s="1"/>
      <c r="DH2571" s="1"/>
      <c r="DI2571" s="1"/>
      <c r="DJ2571" s="1"/>
      <c r="DK2571" s="1"/>
      <c r="DL2571" s="1"/>
      <c r="DM2571" s="1"/>
      <c r="DN2571" s="1"/>
      <c r="DO2571" s="1"/>
      <c r="DP2571" s="1"/>
      <c r="DQ2571" s="1"/>
      <c r="DR2571" s="1"/>
      <c r="DS2571" s="1"/>
      <c r="DT2571" s="1"/>
      <c r="DU2571" s="1"/>
      <c r="DV2571" s="1"/>
      <c r="DW2571" s="1"/>
      <c r="DX2571" s="1"/>
      <c r="DY2571" s="1"/>
      <c r="DZ2571" s="1"/>
      <c r="EA2571" s="1"/>
      <c r="EB2571" s="1"/>
      <c r="EC2571" s="1"/>
      <c r="ED2571" s="1"/>
      <c r="EE2571" s="1"/>
      <c r="EF2571" s="1"/>
      <c r="EG2571" s="1"/>
      <c r="EH2571" s="1"/>
      <c r="EI2571" s="1"/>
      <c r="EJ2571" s="1"/>
      <c r="EK2571" s="1"/>
      <c r="EL2571" s="1"/>
      <c r="EM2571" s="1"/>
      <c r="EN2571" s="1"/>
      <c r="EO2571" s="1"/>
      <c r="EP2571" s="1"/>
      <c r="EQ2571" s="1"/>
      <c r="ER2571" s="1"/>
      <c r="ES2571" s="1"/>
      <c r="ET2571" s="1"/>
      <c r="EU2571" s="1"/>
      <c r="EV2571" s="1"/>
      <c r="EW2571" s="1"/>
      <c r="EX2571" s="1"/>
      <c r="EY2571" s="1"/>
      <c r="EZ2571" s="1"/>
      <c r="FA2571" s="1"/>
      <c r="FB2571" s="1"/>
      <c r="FC2571" s="1"/>
      <c r="FD2571" s="1"/>
      <c r="FE2571" s="1"/>
      <c r="FF2571" s="1"/>
      <c r="FG2571" s="1"/>
      <c r="FH2571" s="1"/>
      <c r="FI2571" s="1"/>
      <c r="FJ2571" s="1"/>
      <c r="FK2571" s="1"/>
      <c r="FL2571" s="1"/>
      <c r="FM2571" s="1"/>
      <c r="FN2571" s="1"/>
      <c r="FO2571" s="1"/>
      <c r="FP2571" s="1"/>
      <c r="FQ2571" s="1"/>
      <c r="FR2571" s="1"/>
      <c r="FS2571" s="1"/>
      <c r="FT2571" s="1"/>
      <c r="FU2571" s="1"/>
      <c r="FV2571" s="1"/>
      <c r="FW2571" s="1"/>
      <c r="FX2571" s="1"/>
      <c r="FY2571" s="1"/>
      <c r="FZ2571" s="1"/>
      <c r="GA2571" s="1"/>
      <c r="GB2571" s="1"/>
      <c r="GC2571" s="1"/>
      <c r="GD2571" s="1"/>
      <c r="GE2571" s="1"/>
      <c r="GF2571" s="1"/>
      <c r="GG2571" s="1"/>
      <c r="GH2571" s="1"/>
      <c r="GI2571" s="1"/>
      <c r="GJ2571" s="1"/>
      <c r="GK2571" s="1"/>
      <c r="GL2571" s="1"/>
      <c r="GM2571" s="1"/>
      <c r="GN2571" s="1"/>
      <c r="GO2571" s="1"/>
      <c r="GP2571" s="1"/>
      <c r="GQ2571" s="1"/>
      <c r="GR2571" s="1"/>
      <c r="GS2571" s="1"/>
      <c r="GT2571" s="1"/>
      <c r="GU2571" s="1"/>
      <c r="GV2571" s="1"/>
      <c r="GW2571" s="1"/>
      <c r="GX2571" s="1"/>
      <c r="GY2571" s="1"/>
      <c r="GZ2571" s="1"/>
      <c r="HA2571" s="1"/>
      <c r="HB2571" s="1"/>
      <c r="HC2571" s="1"/>
      <c r="HD2571" s="1"/>
      <c r="HE2571" s="1"/>
      <c r="HF2571" s="1"/>
      <c r="HG2571" s="1"/>
      <c r="HH2571" s="1"/>
      <c r="HI2571" s="1"/>
      <c r="HJ2571" s="1"/>
      <c r="HK2571" s="1"/>
      <c r="HL2571" s="1"/>
      <c r="HM2571" s="1"/>
      <c r="HN2571" s="1"/>
      <c r="HO2571" s="1"/>
      <c r="HP2571" s="1"/>
      <c r="HQ2571" s="1"/>
    </row>
    <row r="2572" spans="1:225" x14ac:dyDescent="0.35">
      <c r="A2572" s="155" t="s">
        <v>50</v>
      </c>
      <c r="B2572" s="213"/>
      <c r="C2572" s="156"/>
      <c r="D2572" s="43">
        <f>D2573+D2576+D2580</f>
        <v>1183.2</v>
      </c>
      <c r="E2572" s="181"/>
      <c r="F2572" s="181"/>
      <c r="G2572" s="128"/>
      <c r="H2572" s="166"/>
      <c r="I2572" s="219">
        <f>I2573+I2576+I2580</f>
        <v>4709885.7</v>
      </c>
      <c r="J2572" s="219"/>
      <c r="K2572" s="219"/>
      <c r="L2572" s="8"/>
      <c r="M2572" s="8"/>
      <c r="N2572" s="8"/>
      <c r="O2572" s="8"/>
      <c r="P2572" s="8"/>
      <c r="Q2572" s="8"/>
      <c r="R2572" s="8"/>
      <c r="S2572" s="8"/>
      <c r="T2572" s="8"/>
      <c r="U2572" s="8"/>
      <c r="V2572" s="8"/>
      <c r="W2572" s="8"/>
      <c r="X2572" s="29"/>
      <c r="Y2572" s="29"/>
      <c r="Z2572" s="29"/>
      <c r="AA2572" s="29"/>
      <c r="AB2572" s="29"/>
      <c r="AC2572" s="29"/>
      <c r="AD2572" s="29"/>
      <c r="AE2572" s="29"/>
      <c r="AF2572" s="29"/>
      <c r="AG2572" s="29"/>
      <c r="AH2572" s="29"/>
      <c r="AI2572" s="29"/>
      <c r="AJ2572" s="29"/>
      <c r="AK2572" s="29"/>
      <c r="AL2572" s="29"/>
      <c r="AM2572" s="29"/>
      <c r="AN2572" s="29"/>
      <c r="AO2572" s="29"/>
      <c r="AP2572" s="29"/>
      <c r="AQ2572" s="29"/>
      <c r="AR2572" s="29"/>
      <c r="AS2572" s="29"/>
      <c r="AT2572" s="29"/>
      <c r="AU2572" s="29"/>
      <c r="AV2572" s="29"/>
      <c r="AW2572" s="29"/>
      <c r="AX2572" s="29"/>
      <c r="AY2572" s="29"/>
      <c r="AZ2572" s="29"/>
      <c r="BA2572" s="29"/>
      <c r="BB2572" s="29"/>
      <c r="BC2572" s="29"/>
      <c r="BD2572" s="29"/>
      <c r="BE2572" s="29"/>
      <c r="BF2572" s="29"/>
      <c r="BG2572" s="29"/>
      <c r="BH2572" s="29"/>
      <c r="BI2572" s="29"/>
      <c r="BJ2572" s="29"/>
      <c r="BK2572" s="29"/>
      <c r="BL2572" s="29"/>
      <c r="BM2572" s="29"/>
      <c r="BN2572" s="29"/>
      <c r="BO2572" s="29"/>
      <c r="BP2572" s="29"/>
      <c r="BQ2572" s="29"/>
      <c r="BR2572" s="29"/>
      <c r="BS2572" s="29"/>
      <c r="BT2572" s="29"/>
      <c r="BU2572" s="29"/>
      <c r="BV2572" s="29"/>
      <c r="BW2572" s="29"/>
      <c r="BX2572" s="29"/>
      <c r="BY2572" s="29"/>
      <c r="BZ2572" s="29"/>
      <c r="CA2572" s="29"/>
      <c r="CB2572" s="29"/>
      <c r="CC2572" s="29"/>
      <c r="CD2572" s="29"/>
      <c r="CE2572" s="29"/>
      <c r="CF2572" s="29"/>
      <c r="CG2572" s="29"/>
      <c r="CH2572" s="29"/>
      <c r="CI2572" s="29"/>
      <c r="CJ2572" s="29"/>
      <c r="CK2572" s="29"/>
      <c r="CL2572" s="29"/>
      <c r="CM2572" s="29"/>
      <c r="CN2572" s="29"/>
      <c r="CO2572" s="29"/>
      <c r="CP2572" s="29"/>
      <c r="CQ2572" s="29"/>
      <c r="CR2572" s="29"/>
      <c r="CS2572" s="29"/>
      <c r="CT2572" s="29"/>
      <c r="CU2572" s="29"/>
      <c r="CV2572" s="29"/>
      <c r="CW2572" s="29"/>
      <c r="CX2572" s="29"/>
      <c r="CY2572" s="29"/>
      <c r="CZ2572" s="29"/>
      <c r="DA2572" s="29"/>
      <c r="DB2572" s="29"/>
      <c r="DC2572" s="29"/>
      <c r="DD2572" s="29"/>
      <c r="DE2572" s="29"/>
      <c r="DF2572" s="29"/>
      <c r="DG2572" s="29"/>
      <c r="DH2572" s="29"/>
      <c r="DI2572" s="29"/>
      <c r="DJ2572" s="29"/>
      <c r="DK2572" s="29"/>
      <c r="DL2572" s="29"/>
      <c r="DM2572" s="29"/>
      <c r="DN2572" s="29"/>
      <c r="DO2572" s="29"/>
      <c r="DP2572" s="29"/>
      <c r="DQ2572" s="29"/>
      <c r="DR2572" s="29"/>
      <c r="DS2572" s="29"/>
      <c r="DT2572" s="29"/>
      <c r="DU2572" s="29"/>
      <c r="DV2572" s="29"/>
      <c r="DW2572" s="29"/>
      <c r="DX2572" s="29"/>
      <c r="DY2572" s="29"/>
      <c r="DZ2572" s="29"/>
      <c r="EA2572" s="29"/>
      <c r="EB2572" s="29"/>
      <c r="EC2572" s="29"/>
      <c r="ED2572" s="29"/>
      <c r="EE2572" s="29"/>
      <c r="EF2572" s="29"/>
      <c r="EG2572" s="29"/>
      <c r="EH2572" s="29"/>
      <c r="EI2572" s="29"/>
      <c r="EJ2572" s="29"/>
      <c r="EK2572" s="29"/>
      <c r="EL2572" s="29"/>
      <c r="EM2572" s="29"/>
      <c r="EN2572" s="29"/>
      <c r="EO2572" s="29"/>
      <c r="EP2572" s="29"/>
      <c r="EQ2572" s="29"/>
      <c r="ER2572" s="29"/>
      <c r="ES2572" s="29"/>
      <c r="ET2572" s="29"/>
      <c r="EU2572" s="29"/>
      <c r="EV2572" s="29"/>
      <c r="EW2572" s="29"/>
      <c r="EX2572" s="29"/>
      <c r="EY2572" s="29"/>
      <c r="EZ2572" s="29"/>
      <c r="FA2572" s="29"/>
      <c r="FB2572" s="29"/>
      <c r="FC2572" s="29"/>
      <c r="FD2572" s="29"/>
      <c r="FE2572" s="29"/>
      <c r="FF2572" s="29"/>
      <c r="FG2572" s="29"/>
      <c r="FH2572" s="29"/>
      <c r="FI2572" s="29"/>
      <c r="FJ2572" s="29"/>
      <c r="FK2572" s="29"/>
      <c r="FL2572" s="29"/>
      <c r="FM2572" s="29"/>
      <c r="FN2572" s="29"/>
      <c r="FO2572" s="29"/>
      <c r="FP2572" s="29"/>
      <c r="FQ2572" s="29"/>
      <c r="FR2572" s="29"/>
      <c r="FS2572" s="29"/>
      <c r="FT2572" s="29"/>
      <c r="FU2572" s="29"/>
      <c r="FV2572" s="29"/>
      <c r="FW2572" s="29"/>
      <c r="FX2572" s="29"/>
      <c r="FY2572" s="29"/>
      <c r="FZ2572" s="29"/>
      <c r="GA2572" s="29"/>
      <c r="GB2572" s="29"/>
      <c r="GC2572" s="29"/>
      <c r="GD2572" s="29"/>
      <c r="GE2572" s="29"/>
      <c r="GF2572" s="29"/>
      <c r="GG2572" s="29"/>
      <c r="GH2572" s="29"/>
      <c r="GI2572" s="29"/>
      <c r="GJ2572" s="29"/>
      <c r="GK2572" s="29"/>
      <c r="GL2572" s="29"/>
      <c r="GM2572" s="29"/>
      <c r="GN2572" s="29"/>
      <c r="GO2572" s="29"/>
      <c r="GP2572" s="29"/>
      <c r="GQ2572" s="29"/>
      <c r="GR2572" s="29"/>
      <c r="GS2572" s="29"/>
      <c r="GT2572" s="29"/>
      <c r="GU2572" s="29"/>
      <c r="GV2572" s="29"/>
      <c r="GW2572" s="29"/>
      <c r="GX2572" s="29"/>
      <c r="GY2572" s="29"/>
      <c r="GZ2572" s="29"/>
      <c r="HA2572" s="29"/>
      <c r="HB2572" s="29"/>
      <c r="HC2572" s="29"/>
      <c r="HD2572" s="29"/>
      <c r="HE2572" s="29"/>
      <c r="HF2572" s="29"/>
      <c r="HG2572" s="29"/>
      <c r="HH2572" s="29"/>
      <c r="HI2572" s="29"/>
      <c r="HJ2572" s="29"/>
      <c r="HK2572" s="29"/>
      <c r="HL2572" s="29"/>
      <c r="HM2572" s="29"/>
      <c r="HN2572" s="29"/>
      <c r="HO2572" s="29"/>
      <c r="HP2572" s="92"/>
      <c r="HQ2572" s="92"/>
    </row>
    <row r="2573" spans="1:225" ht="15.75" customHeight="1" x14ac:dyDescent="0.35">
      <c r="A2573" s="305">
        <v>1</v>
      </c>
      <c r="B2573" s="305">
        <v>7161</v>
      </c>
      <c r="C2573" s="259" t="s">
        <v>648</v>
      </c>
      <c r="D2573" s="262">
        <v>173.3</v>
      </c>
      <c r="E2573" s="265" t="s">
        <v>665</v>
      </c>
      <c r="F2573" s="265">
        <v>1</v>
      </c>
      <c r="G2573" s="256" t="s">
        <v>72</v>
      </c>
      <c r="H2573" s="159" t="s">
        <v>73</v>
      </c>
      <c r="I2573" s="158">
        <f>I2574+I2575</f>
        <v>1794174.9</v>
      </c>
      <c r="J2573" s="158">
        <f>J2574+J2575</f>
        <v>10353</v>
      </c>
      <c r="K2573" s="158">
        <f>K2574+K2575</f>
        <v>10353</v>
      </c>
      <c r="L2573" s="1"/>
      <c r="M2573" s="1"/>
      <c r="N2573" s="1"/>
      <c r="O2573" s="1"/>
      <c r="P2573" s="1"/>
      <c r="Q2573" s="1"/>
      <c r="R2573" s="1"/>
      <c r="S2573" s="1"/>
      <c r="T2573" s="1"/>
      <c r="U2573" s="1"/>
      <c r="V2573" s="1"/>
      <c r="W2573" s="1"/>
      <c r="X2573" s="1"/>
      <c r="Y2573" s="1"/>
      <c r="Z2573" s="1"/>
      <c r="AA2573" s="1"/>
      <c r="AB2573" s="1"/>
      <c r="AC2573" s="1"/>
      <c r="AD2573" s="1"/>
      <c r="AE2573" s="1"/>
      <c r="AF2573" s="1"/>
      <c r="AG2573" s="1"/>
      <c r="AH2573" s="1"/>
      <c r="AI2573" s="1"/>
      <c r="AJ2573" s="1"/>
      <c r="AK2573" s="1"/>
      <c r="AL2573" s="1"/>
      <c r="AM2573" s="1"/>
      <c r="AN2573" s="1"/>
      <c r="AO2573" s="1"/>
      <c r="AP2573" s="1"/>
      <c r="AQ2573" s="1"/>
      <c r="AR2573" s="1"/>
      <c r="AS2573" s="1"/>
      <c r="AT2573" s="1"/>
      <c r="AU2573" s="1"/>
      <c r="AV2573" s="1"/>
      <c r="AW2573" s="1"/>
      <c r="AX2573" s="1"/>
      <c r="AY2573" s="1"/>
      <c r="AZ2573" s="1"/>
      <c r="BA2573" s="1"/>
      <c r="BB2573" s="1"/>
      <c r="BC2573" s="1"/>
      <c r="BD2573" s="1"/>
      <c r="BE2573" s="1"/>
      <c r="BF2573" s="1"/>
      <c r="BG2573" s="1"/>
      <c r="BH2573" s="1"/>
      <c r="BI2573" s="1"/>
      <c r="BJ2573" s="1"/>
      <c r="BK2573" s="1"/>
      <c r="BL2573" s="1"/>
      <c r="BM2573" s="1"/>
      <c r="BN2573" s="1"/>
      <c r="BO2573" s="1"/>
      <c r="BP2573" s="1"/>
      <c r="BQ2573" s="1"/>
      <c r="BR2573" s="1"/>
      <c r="BS2573" s="1"/>
      <c r="BT2573" s="1"/>
      <c r="BU2573" s="1"/>
      <c r="BV2573" s="1"/>
      <c r="BW2573" s="1"/>
      <c r="BX2573" s="1"/>
      <c r="BY2573" s="1"/>
      <c r="BZ2573" s="1"/>
      <c r="CA2573" s="1"/>
      <c r="CB2573" s="1"/>
      <c r="CC2573" s="1"/>
      <c r="CD2573" s="1"/>
      <c r="CE2573" s="1"/>
      <c r="CF2573" s="1"/>
      <c r="CG2573" s="1"/>
      <c r="CH2573" s="1"/>
      <c r="CI2573" s="1"/>
      <c r="CJ2573" s="1"/>
      <c r="CK2573" s="1"/>
      <c r="CL2573" s="1"/>
      <c r="CM2573" s="1"/>
      <c r="CN2573" s="1"/>
      <c r="CO2573" s="1"/>
      <c r="CP2573" s="1"/>
      <c r="CQ2573" s="1"/>
      <c r="CR2573" s="1"/>
      <c r="CS2573" s="1"/>
      <c r="CT2573" s="1"/>
      <c r="CU2573" s="1"/>
      <c r="CV2573" s="1"/>
      <c r="CW2573" s="1"/>
      <c r="CX2573" s="1"/>
      <c r="CY2573" s="1"/>
      <c r="CZ2573" s="1"/>
      <c r="DA2573" s="1"/>
      <c r="DB2573" s="1"/>
      <c r="DC2573" s="1"/>
      <c r="DD2573" s="1"/>
      <c r="DE2573" s="1"/>
      <c r="DF2573" s="1"/>
      <c r="DG2573" s="1"/>
      <c r="DH2573" s="1"/>
      <c r="DI2573" s="1"/>
      <c r="DJ2573" s="1"/>
      <c r="DK2573" s="1"/>
      <c r="DL2573" s="1"/>
      <c r="DM2573" s="1"/>
      <c r="DN2573" s="1"/>
      <c r="DO2573" s="1"/>
      <c r="DP2573" s="1"/>
      <c r="DQ2573" s="1"/>
      <c r="DR2573" s="1"/>
      <c r="DS2573" s="1"/>
      <c r="DT2573" s="1"/>
      <c r="DU2573" s="1"/>
      <c r="DV2573" s="1"/>
      <c r="DW2573" s="1"/>
      <c r="DX2573" s="1"/>
      <c r="DY2573" s="1"/>
      <c r="DZ2573" s="1"/>
      <c r="EA2573" s="1"/>
      <c r="EB2573" s="1"/>
      <c r="EC2573" s="1"/>
      <c r="ED2573" s="1"/>
      <c r="EE2573" s="1"/>
      <c r="EF2573" s="1"/>
      <c r="EG2573" s="1"/>
      <c r="EH2573" s="1"/>
      <c r="EI2573" s="1"/>
      <c r="EJ2573" s="1"/>
      <c r="EK2573" s="1"/>
      <c r="EL2573" s="1"/>
      <c r="EM2573" s="1"/>
      <c r="EN2573" s="1"/>
      <c r="EO2573" s="1"/>
      <c r="EP2573" s="1"/>
      <c r="EQ2573" s="1"/>
      <c r="ER2573" s="1"/>
      <c r="ES2573" s="1"/>
      <c r="ET2573" s="1"/>
      <c r="EU2573" s="1"/>
      <c r="EV2573" s="1"/>
      <c r="EW2573" s="1"/>
      <c r="EX2573" s="1"/>
      <c r="EY2573" s="1"/>
      <c r="EZ2573" s="1"/>
      <c r="FA2573" s="1"/>
      <c r="FB2573" s="1"/>
      <c r="FC2573" s="1"/>
      <c r="FD2573" s="1"/>
      <c r="FE2573" s="1"/>
      <c r="FF2573" s="1"/>
      <c r="FG2573" s="1"/>
      <c r="FH2573" s="1"/>
      <c r="FI2573" s="1"/>
      <c r="FJ2573" s="1"/>
      <c r="FK2573" s="1"/>
      <c r="FL2573" s="1"/>
      <c r="FM2573" s="1"/>
      <c r="FN2573" s="1"/>
      <c r="FO2573" s="1"/>
      <c r="FP2573" s="1"/>
      <c r="FQ2573" s="1"/>
      <c r="FR2573" s="1"/>
      <c r="FS2573" s="1"/>
      <c r="FT2573" s="1"/>
      <c r="FU2573" s="1"/>
      <c r="FV2573" s="1"/>
      <c r="FW2573" s="1"/>
      <c r="FX2573" s="1"/>
      <c r="FY2573" s="1"/>
      <c r="FZ2573" s="1"/>
      <c r="GA2573" s="1"/>
      <c r="GB2573" s="1"/>
      <c r="GC2573" s="1"/>
      <c r="GD2573" s="1"/>
      <c r="GE2573" s="1"/>
      <c r="GF2573" s="1"/>
      <c r="GG2573" s="1"/>
      <c r="GH2573" s="1"/>
      <c r="GI2573" s="1"/>
      <c r="GJ2573" s="1"/>
      <c r="GK2573" s="1"/>
      <c r="GL2573" s="1"/>
      <c r="GM2573" s="1"/>
      <c r="GN2573" s="1"/>
      <c r="GO2573" s="1"/>
      <c r="GP2573" s="1"/>
      <c r="GQ2573" s="1"/>
      <c r="GR2573" s="1"/>
      <c r="GS2573" s="1"/>
      <c r="GT2573" s="1"/>
      <c r="GU2573" s="1"/>
      <c r="GV2573" s="1"/>
      <c r="GW2573" s="1"/>
      <c r="GX2573" s="1"/>
      <c r="GY2573" s="1"/>
      <c r="GZ2573" s="1"/>
      <c r="HA2573" s="1"/>
      <c r="HB2573" s="1"/>
      <c r="HC2573" s="1"/>
      <c r="HD2573" s="1"/>
      <c r="HE2573" s="1"/>
      <c r="HF2573" s="1"/>
      <c r="HG2573" s="1"/>
      <c r="HH2573" s="1"/>
      <c r="HI2573" s="1"/>
      <c r="HJ2573" s="1"/>
      <c r="HK2573" s="1"/>
      <c r="HL2573" s="1"/>
      <c r="HM2573" s="1"/>
      <c r="HN2573" s="1"/>
      <c r="HO2573" s="1"/>
      <c r="HP2573" s="1"/>
      <c r="HQ2573" s="1"/>
    </row>
    <row r="2574" spans="1:225" x14ac:dyDescent="0.35">
      <c r="A2574" s="306"/>
      <c r="B2574" s="306"/>
      <c r="C2574" s="260"/>
      <c r="D2574" s="263"/>
      <c r="E2574" s="266"/>
      <c r="F2574" s="266"/>
      <c r="G2574" s="257"/>
      <c r="H2574" s="159" t="s">
        <v>74</v>
      </c>
      <c r="I2574" s="158">
        <f>D2573*K2574</f>
        <v>1756568.8</v>
      </c>
      <c r="J2574" s="158">
        <f>I2574/D2573</f>
        <v>10136</v>
      </c>
      <c r="K2574" s="158">
        <v>10136</v>
      </c>
      <c r="L2574" s="1"/>
      <c r="M2574" s="1"/>
      <c r="N2574" s="1"/>
      <c r="O2574" s="1"/>
      <c r="P2574" s="1"/>
      <c r="Q2574" s="1"/>
      <c r="R2574" s="1"/>
      <c r="S2574" s="1"/>
      <c r="T2574" s="1"/>
      <c r="U2574" s="1"/>
      <c r="V2574" s="1"/>
      <c r="W2574" s="1"/>
      <c r="X2574" s="1"/>
      <c r="Y2574" s="1"/>
      <c r="Z2574" s="1"/>
      <c r="AA2574" s="1"/>
      <c r="AB2574" s="1"/>
      <c r="AC2574" s="1"/>
      <c r="AD2574" s="1"/>
      <c r="AE2574" s="1"/>
      <c r="AF2574" s="1"/>
      <c r="AG2574" s="1"/>
      <c r="AH2574" s="1"/>
      <c r="AI2574" s="1"/>
      <c r="AJ2574" s="1"/>
      <c r="AK2574" s="1"/>
      <c r="AL2574" s="1"/>
      <c r="AM2574" s="1"/>
      <c r="AN2574" s="1"/>
      <c r="AO2574" s="1"/>
      <c r="AP2574" s="1"/>
      <c r="AQ2574" s="1"/>
      <c r="AR2574" s="1"/>
      <c r="AS2574" s="1"/>
      <c r="AT2574" s="1"/>
      <c r="AU2574" s="1"/>
      <c r="AV2574" s="1"/>
      <c r="AW2574" s="1"/>
      <c r="AX2574" s="1"/>
      <c r="AY2574" s="1"/>
      <c r="AZ2574" s="1"/>
      <c r="BA2574" s="1"/>
      <c r="BB2574" s="1"/>
      <c r="BC2574" s="1"/>
      <c r="BD2574" s="1"/>
      <c r="BE2574" s="1"/>
      <c r="BF2574" s="1"/>
      <c r="BG2574" s="1"/>
      <c r="BH2574" s="1"/>
      <c r="BI2574" s="1"/>
      <c r="BJ2574" s="1"/>
      <c r="BK2574" s="1"/>
      <c r="BL2574" s="1"/>
      <c r="BM2574" s="1"/>
      <c r="BN2574" s="1"/>
      <c r="BO2574" s="1"/>
      <c r="BP2574" s="1"/>
      <c r="BQ2574" s="1"/>
      <c r="BR2574" s="1"/>
      <c r="BS2574" s="1"/>
      <c r="BT2574" s="1"/>
      <c r="BU2574" s="1"/>
      <c r="BV2574" s="1"/>
      <c r="BW2574" s="1"/>
      <c r="BX2574" s="1"/>
      <c r="BY2574" s="1"/>
      <c r="BZ2574" s="1"/>
      <c r="CA2574" s="1"/>
      <c r="CB2574" s="1"/>
      <c r="CC2574" s="1"/>
      <c r="CD2574" s="1"/>
      <c r="CE2574" s="1"/>
      <c r="CF2574" s="1"/>
      <c r="CG2574" s="1"/>
      <c r="CH2574" s="1"/>
      <c r="CI2574" s="1"/>
      <c r="CJ2574" s="1"/>
      <c r="CK2574" s="1"/>
      <c r="CL2574" s="1"/>
      <c r="CM2574" s="1"/>
      <c r="CN2574" s="1"/>
      <c r="CO2574" s="1"/>
      <c r="CP2574" s="1"/>
      <c r="CQ2574" s="1"/>
      <c r="CR2574" s="1"/>
      <c r="CS2574" s="1"/>
      <c r="CT2574" s="1"/>
      <c r="CU2574" s="1"/>
      <c r="CV2574" s="1"/>
      <c r="CW2574" s="1"/>
      <c r="CX2574" s="1"/>
      <c r="CY2574" s="1"/>
      <c r="CZ2574" s="1"/>
      <c r="DA2574" s="1"/>
      <c r="DB2574" s="1"/>
      <c r="DC2574" s="1"/>
      <c r="DD2574" s="1"/>
      <c r="DE2574" s="1"/>
      <c r="DF2574" s="1"/>
      <c r="DG2574" s="1"/>
      <c r="DH2574" s="1"/>
      <c r="DI2574" s="1"/>
      <c r="DJ2574" s="1"/>
      <c r="DK2574" s="1"/>
      <c r="DL2574" s="1"/>
      <c r="DM2574" s="1"/>
      <c r="DN2574" s="1"/>
      <c r="DO2574" s="1"/>
      <c r="DP2574" s="1"/>
      <c r="DQ2574" s="1"/>
      <c r="DR2574" s="1"/>
      <c r="DS2574" s="1"/>
      <c r="DT2574" s="1"/>
      <c r="DU2574" s="1"/>
      <c r="DV2574" s="1"/>
      <c r="DW2574" s="1"/>
      <c r="DX2574" s="1"/>
      <c r="DY2574" s="1"/>
      <c r="DZ2574" s="1"/>
      <c r="EA2574" s="1"/>
      <c r="EB2574" s="1"/>
      <c r="EC2574" s="1"/>
      <c r="ED2574" s="1"/>
      <c r="EE2574" s="1"/>
      <c r="EF2574" s="1"/>
      <c r="EG2574" s="1"/>
      <c r="EH2574" s="1"/>
      <c r="EI2574" s="1"/>
      <c r="EJ2574" s="1"/>
      <c r="EK2574" s="1"/>
      <c r="EL2574" s="1"/>
      <c r="EM2574" s="1"/>
      <c r="EN2574" s="1"/>
      <c r="EO2574" s="1"/>
      <c r="EP2574" s="1"/>
      <c r="EQ2574" s="1"/>
      <c r="ER2574" s="1"/>
      <c r="ES2574" s="1"/>
      <c r="ET2574" s="1"/>
      <c r="EU2574" s="1"/>
      <c r="EV2574" s="1"/>
      <c r="EW2574" s="1"/>
      <c r="EX2574" s="1"/>
      <c r="EY2574" s="1"/>
      <c r="EZ2574" s="1"/>
      <c r="FA2574" s="1"/>
      <c r="FB2574" s="1"/>
      <c r="FC2574" s="1"/>
      <c r="FD2574" s="1"/>
      <c r="FE2574" s="1"/>
      <c r="FF2574" s="1"/>
      <c r="FG2574" s="1"/>
      <c r="FH2574" s="1"/>
      <c r="FI2574" s="1"/>
      <c r="FJ2574" s="1"/>
      <c r="FK2574" s="1"/>
      <c r="FL2574" s="1"/>
      <c r="FM2574" s="1"/>
      <c r="FN2574" s="1"/>
      <c r="FO2574" s="1"/>
      <c r="FP2574" s="1"/>
      <c r="FQ2574" s="1"/>
      <c r="FR2574" s="1"/>
      <c r="FS2574" s="1"/>
      <c r="FT2574" s="1"/>
      <c r="FU2574" s="1"/>
      <c r="FV2574" s="1"/>
      <c r="FW2574" s="1"/>
      <c r="FX2574" s="1"/>
      <c r="FY2574" s="1"/>
      <c r="FZ2574" s="1"/>
      <c r="GA2574" s="1"/>
      <c r="GB2574" s="1"/>
      <c r="GC2574" s="1"/>
      <c r="GD2574" s="1"/>
      <c r="GE2574" s="1"/>
      <c r="GF2574" s="1"/>
      <c r="GG2574" s="1"/>
      <c r="GH2574" s="1"/>
      <c r="GI2574" s="1"/>
      <c r="GJ2574" s="1"/>
      <c r="GK2574" s="1"/>
      <c r="GL2574" s="1"/>
      <c r="GM2574" s="1"/>
      <c r="GN2574" s="1"/>
      <c r="GO2574" s="1"/>
      <c r="GP2574" s="1"/>
      <c r="GQ2574" s="1"/>
      <c r="GR2574" s="1"/>
      <c r="GS2574" s="1"/>
      <c r="GT2574" s="1"/>
      <c r="GU2574" s="1"/>
      <c r="GV2574" s="1"/>
      <c r="GW2574" s="1"/>
      <c r="GX2574" s="1"/>
      <c r="GY2574" s="1"/>
      <c r="GZ2574" s="1"/>
      <c r="HA2574" s="1"/>
      <c r="HB2574" s="1"/>
      <c r="HC2574" s="1"/>
      <c r="HD2574" s="1"/>
      <c r="HE2574" s="1"/>
      <c r="HF2574" s="1"/>
      <c r="HG2574" s="1"/>
      <c r="HH2574" s="1"/>
      <c r="HI2574" s="1"/>
      <c r="HJ2574" s="1"/>
      <c r="HK2574" s="1"/>
      <c r="HL2574" s="1"/>
      <c r="HM2574" s="1"/>
      <c r="HN2574" s="1"/>
      <c r="HO2574" s="1"/>
      <c r="HP2574" s="1"/>
      <c r="HQ2574" s="1"/>
    </row>
    <row r="2575" spans="1:225" x14ac:dyDescent="0.35">
      <c r="A2575" s="321"/>
      <c r="B2575" s="321"/>
      <c r="C2575" s="261"/>
      <c r="D2575" s="264"/>
      <c r="E2575" s="267"/>
      <c r="F2575" s="267"/>
      <c r="G2575" s="258"/>
      <c r="H2575" s="159" t="s">
        <v>76</v>
      </c>
      <c r="I2575" s="158">
        <f>D2573*K2575</f>
        <v>37606.1</v>
      </c>
      <c r="J2575" s="158">
        <f>I2575/D2573</f>
        <v>217</v>
      </c>
      <c r="K2575" s="158">
        <v>217</v>
      </c>
      <c r="L2575" s="1"/>
      <c r="M2575" s="1"/>
      <c r="N2575" s="1"/>
      <c r="O2575" s="1"/>
      <c r="P2575" s="1"/>
      <c r="Q2575" s="1"/>
      <c r="R2575" s="1"/>
      <c r="S2575" s="1"/>
      <c r="T2575" s="1"/>
      <c r="U2575" s="1"/>
      <c r="V2575" s="1"/>
      <c r="W2575" s="1"/>
      <c r="X2575" s="1"/>
      <c r="Y2575" s="1"/>
      <c r="Z2575" s="1"/>
      <c r="AA2575" s="1"/>
      <c r="AB2575" s="1"/>
      <c r="AC2575" s="1"/>
      <c r="AD2575" s="1"/>
      <c r="AE2575" s="1"/>
      <c r="AF2575" s="1"/>
      <c r="AG2575" s="1"/>
      <c r="AH2575" s="1"/>
      <c r="AI2575" s="1"/>
      <c r="AJ2575" s="1"/>
      <c r="AK2575" s="1"/>
      <c r="AL2575" s="1"/>
      <c r="AM2575" s="1"/>
      <c r="AN2575" s="1"/>
      <c r="AO2575" s="1"/>
      <c r="AP2575" s="1"/>
      <c r="AQ2575" s="1"/>
      <c r="AR2575" s="1"/>
      <c r="AS2575" s="1"/>
      <c r="AT2575" s="1"/>
      <c r="AU2575" s="1"/>
      <c r="AV2575" s="1"/>
      <c r="AW2575" s="1"/>
      <c r="AX2575" s="1"/>
      <c r="AY2575" s="1"/>
      <c r="AZ2575" s="1"/>
      <c r="BA2575" s="1"/>
      <c r="BB2575" s="1"/>
      <c r="BC2575" s="1"/>
      <c r="BD2575" s="1"/>
      <c r="BE2575" s="1"/>
      <c r="BF2575" s="1"/>
      <c r="BG2575" s="1"/>
      <c r="BH2575" s="1"/>
      <c r="BI2575" s="1"/>
      <c r="BJ2575" s="1"/>
      <c r="BK2575" s="1"/>
      <c r="BL2575" s="1"/>
      <c r="BM2575" s="1"/>
      <c r="BN2575" s="1"/>
      <c r="BO2575" s="1"/>
      <c r="BP2575" s="1"/>
      <c r="BQ2575" s="1"/>
      <c r="BR2575" s="1"/>
      <c r="BS2575" s="1"/>
      <c r="BT2575" s="1"/>
      <c r="BU2575" s="1"/>
      <c r="BV2575" s="1"/>
      <c r="BW2575" s="1"/>
      <c r="BX2575" s="1"/>
      <c r="BY2575" s="1"/>
      <c r="BZ2575" s="1"/>
      <c r="CA2575" s="1"/>
      <c r="CB2575" s="1"/>
      <c r="CC2575" s="1"/>
      <c r="CD2575" s="1"/>
      <c r="CE2575" s="1"/>
      <c r="CF2575" s="1"/>
      <c r="CG2575" s="1"/>
      <c r="CH2575" s="1"/>
      <c r="CI2575" s="1"/>
      <c r="CJ2575" s="1"/>
      <c r="CK2575" s="1"/>
      <c r="CL2575" s="1"/>
      <c r="CM2575" s="1"/>
      <c r="CN2575" s="1"/>
      <c r="CO2575" s="1"/>
      <c r="CP2575" s="1"/>
      <c r="CQ2575" s="1"/>
      <c r="CR2575" s="1"/>
      <c r="CS2575" s="1"/>
      <c r="CT2575" s="1"/>
      <c r="CU2575" s="1"/>
      <c r="CV2575" s="1"/>
      <c r="CW2575" s="1"/>
      <c r="CX2575" s="1"/>
      <c r="CY2575" s="1"/>
      <c r="CZ2575" s="1"/>
      <c r="DA2575" s="1"/>
      <c r="DB2575" s="1"/>
      <c r="DC2575" s="1"/>
      <c r="DD2575" s="1"/>
      <c r="DE2575" s="1"/>
      <c r="DF2575" s="1"/>
      <c r="DG2575" s="1"/>
      <c r="DH2575" s="1"/>
      <c r="DI2575" s="1"/>
      <c r="DJ2575" s="1"/>
      <c r="DK2575" s="1"/>
      <c r="DL2575" s="1"/>
      <c r="DM2575" s="1"/>
      <c r="DN2575" s="1"/>
      <c r="DO2575" s="1"/>
      <c r="DP2575" s="1"/>
      <c r="DQ2575" s="1"/>
      <c r="DR2575" s="1"/>
      <c r="DS2575" s="1"/>
      <c r="DT2575" s="1"/>
      <c r="DU2575" s="1"/>
      <c r="DV2575" s="1"/>
      <c r="DW2575" s="1"/>
      <c r="DX2575" s="1"/>
      <c r="DY2575" s="1"/>
      <c r="DZ2575" s="1"/>
      <c r="EA2575" s="1"/>
      <c r="EB2575" s="1"/>
      <c r="EC2575" s="1"/>
      <c r="ED2575" s="1"/>
      <c r="EE2575" s="1"/>
      <c r="EF2575" s="1"/>
      <c r="EG2575" s="1"/>
      <c r="EH2575" s="1"/>
      <c r="EI2575" s="1"/>
      <c r="EJ2575" s="1"/>
      <c r="EK2575" s="1"/>
      <c r="EL2575" s="1"/>
      <c r="EM2575" s="1"/>
      <c r="EN2575" s="1"/>
      <c r="EO2575" s="1"/>
      <c r="EP2575" s="1"/>
      <c r="EQ2575" s="1"/>
      <c r="ER2575" s="1"/>
      <c r="ES2575" s="1"/>
      <c r="ET2575" s="1"/>
      <c r="EU2575" s="1"/>
      <c r="EV2575" s="1"/>
      <c r="EW2575" s="1"/>
      <c r="EX2575" s="1"/>
      <c r="EY2575" s="1"/>
      <c r="EZ2575" s="1"/>
      <c r="FA2575" s="1"/>
      <c r="FB2575" s="1"/>
      <c r="FC2575" s="1"/>
      <c r="FD2575" s="1"/>
      <c r="FE2575" s="1"/>
      <c r="FF2575" s="1"/>
      <c r="FG2575" s="1"/>
      <c r="FH2575" s="1"/>
      <c r="FI2575" s="1"/>
      <c r="FJ2575" s="1"/>
      <c r="FK2575" s="1"/>
      <c r="FL2575" s="1"/>
      <c r="FM2575" s="1"/>
      <c r="FN2575" s="1"/>
      <c r="FO2575" s="1"/>
      <c r="FP2575" s="1"/>
      <c r="FQ2575" s="1"/>
      <c r="FR2575" s="1"/>
      <c r="FS2575" s="1"/>
      <c r="FT2575" s="1"/>
      <c r="FU2575" s="1"/>
      <c r="FV2575" s="1"/>
      <c r="FW2575" s="1"/>
      <c r="FX2575" s="1"/>
      <c r="FY2575" s="1"/>
      <c r="FZ2575" s="1"/>
      <c r="GA2575" s="1"/>
      <c r="GB2575" s="1"/>
      <c r="GC2575" s="1"/>
      <c r="GD2575" s="1"/>
      <c r="GE2575" s="1"/>
      <c r="GF2575" s="1"/>
      <c r="GG2575" s="1"/>
      <c r="GH2575" s="1"/>
      <c r="GI2575" s="1"/>
      <c r="GJ2575" s="1"/>
      <c r="GK2575" s="1"/>
      <c r="GL2575" s="1"/>
      <c r="GM2575" s="1"/>
      <c r="GN2575" s="1"/>
      <c r="GO2575" s="1"/>
      <c r="GP2575" s="1"/>
      <c r="GQ2575" s="1"/>
      <c r="GR2575" s="1"/>
      <c r="GS2575" s="1"/>
      <c r="GT2575" s="1"/>
      <c r="GU2575" s="1"/>
      <c r="GV2575" s="1"/>
      <c r="GW2575" s="1"/>
      <c r="GX2575" s="1"/>
      <c r="GY2575" s="1"/>
      <c r="GZ2575" s="1"/>
      <c r="HA2575" s="1"/>
      <c r="HB2575" s="1"/>
      <c r="HC2575" s="1"/>
      <c r="HD2575" s="1"/>
      <c r="HE2575" s="1"/>
      <c r="HF2575" s="1"/>
      <c r="HG2575" s="1"/>
      <c r="HH2575" s="1"/>
      <c r="HI2575" s="1"/>
      <c r="HJ2575" s="1"/>
      <c r="HK2575" s="1"/>
      <c r="HL2575" s="1"/>
      <c r="HM2575" s="1"/>
      <c r="HN2575" s="1"/>
      <c r="HO2575" s="1"/>
      <c r="HP2575" s="1"/>
      <c r="HQ2575" s="1"/>
    </row>
    <row r="2576" spans="1:225" ht="15.75" customHeight="1" x14ac:dyDescent="0.35">
      <c r="A2576" s="256">
        <v>2</v>
      </c>
      <c r="B2576" s="256">
        <v>7187</v>
      </c>
      <c r="C2576" s="259" t="s">
        <v>649</v>
      </c>
      <c r="D2576" s="262">
        <v>389.2</v>
      </c>
      <c r="E2576" s="265" t="s">
        <v>75</v>
      </c>
      <c r="F2576" s="265">
        <v>2</v>
      </c>
      <c r="G2576" s="256" t="s">
        <v>72</v>
      </c>
      <c r="H2576" s="159" t="s">
        <v>73</v>
      </c>
      <c r="I2576" s="158">
        <f>I2579+I2578+I2577</f>
        <v>2813916</v>
      </c>
      <c r="J2576" s="158">
        <f>J2577+J2579+J2578</f>
        <v>7230</v>
      </c>
      <c r="K2576" s="158">
        <f>K2577+K2579+K2578</f>
        <v>7230</v>
      </c>
      <c r="L2576" s="1"/>
      <c r="M2576" s="1"/>
      <c r="N2576" s="1"/>
      <c r="O2576" s="1"/>
      <c r="P2576" s="1"/>
      <c r="Q2576" s="1"/>
      <c r="R2576" s="1"/>
      <c r="S2576" s="1"/>
      <c r="T2576" s="1"/>
      <c r="U2576" s="1"/>
      <c r="V2576" s="1"/>
      <c r="W2576" s="1"/>
      <c r="X2576" s="1"/>
      <c r="Y2576" s="1"/>
      <c r="Z2576" s="1"/>
      <c r="AA2576" s="1"/>
      <c r="AB2576" s="1"/>
      <c r="AC2576" s="1"/>
      <c r="AD2576" s="1"/>
      <c r="AE2576" s="1"/>
      <c r="AF2576" s="1"/>
      <c r="AG2576" s="1"/>
      <c r="AH2576" s="1"/>
      <c r="AI2576" s="1"/>
      <c r="AJ2576" s="1"/>
      <c r="AK2576" s="1"/>
      <c r="AL2576" s="1"/>
      <c r="AM2576" s="1"/>
      <c r="AN2576" s="1"/>
      <c r="AO2576" s="1"/>
      <c r="AP2576" s="1"/>
      <c r="AQ2576" s="1"/>
      <c r="AR2576" s="1"/>
      <c r="AS2576" s="1"/>
      <c r="AT2576" s="1"/>
      <c r="AU2576" s="1"/>
      <c r="AV2576" s="1"/>
      <c r="AW2576" s="1"/>
      <c r="AX2576" s="1"/>
      <c r="AY2576" s="1"/>
      <c r="AZ2576" s="1"/>
      <c r="BA2576" s="1"/>
      <c r="BB2576" s="1"/>
      <c r="BC2576" s="1"/>
      <c r="BD2576" s="1"/>
      <c r="BE2576" s="1"/>
      <c r="BF2576" s="1"/>
      <c r="BG2576" s="1"/>
      <c r="BH2576" s="1"/>
      <c r="BI2576" s="1"/>
      <c r="BJ2576" s="1"/>
      <c r="BK2576" s="1"/>
      <c r="BL2576" s="1"/>
      <c r="BM2576" s="1"/>
      <c r="BN2576" s="1"/>
      <c r="BO2576" s="1"/>
      <c r="BP2576" s="1"/>
      <c r="BQ2576" s="1"/>
      <c r="BR2576" s="1"/>
      <c r="BS2576" s="1"/>
      <c r="BT2576" s="1"/>
      <c r="BU2576" s="1"/>
      <c r="BV2576" s="1"/>
      <c r="BW2576" s="1"/>
      <c r="BX2576" s="1"/>
      <c r="BY2576" s="1"/>
      <c r="BZ2576" s="1"/>
      <c r="CA2576" s="1"/>
      <c r="CB2576" s="1"/>
      <c r="CC2576" s="1"/>
      <c r="CD2576" s="1"/>
      <c r="CE2576" s="1"/>
      <c r="CF2576" s="1"/>
      <c r="CG2576" s="1"/>
      <c r="CH2576" s="1"/>
      <c r="CI2576" s="1"/>
      <c r="CJ2576" s="1"/>
      <c r="CK2576" s="1"/>
      <c r="CL2576" s="1"/>
      <c r="CM2576" s="1"/>
      <c r="CN2576" s="1"/>
      <c r="CO2576" s="1"/>
      <c r="CP2576" s="1"/>
      <c r="CQ2576" s="1"/>
      <c r="CR2576" s="1"/>
      <c r="CS2576" s="1"/>
      <c r="CT2576" s="1"/>
      <c r="CU2576" s="1"/>
      <c r="CV2576" s="1"/>
      <c r="CW2576" s="1"/>
      <c r="CX2576" s="1"/>
      <c r="CY2576" s="1"/>
      <c r="CZ2576" s="1"/>
      <c r="DA2576" s="1"/>
      <c r="DB2576" s="1"/>
      <c r="DC2576" s="1"/>
      <c r="DD2576" s="1"/>
      <c r="DE2576" s="1"/>
      <c r="DF2576" s="1"/>
      <c r="DG2576" s="1"/>
      <c r="DH2576" s="1"/>
      <c r="DI2576" s="1"/>
      <c r="DJ2576" s="1"/>
      <c r="DK2576" s="1"/>
      <c r="DL2576" s="1"/>
      <c r="DM2576" s="1"/>
      <c r="DN2576" s="1"/>
      <c r="DO2576" s="1"/>
      <c r="DP2576" s="1"/>
      <c r="DQ2576" s="1"/>
      <c r="DR2576" s="1"/>
      <c r="DS2576" s="1"/>
      <c r="DT2576" s="1"/>
      <c r="DU2576" s="1"/>
      <c r="DV2576" s="1"/>
      <c r="DW2576" s="1"/>
      <c r="DX2576" s="1"/>
      <c r="DY2576" s="1"/>
      <c r="DZ2576" s="1"/>
      <c r="EA2576" s="1"/>
      <c r="EB2576" s="1"/>
      <c r="EC2576" s="1"/>
      <c r="ED2576" s="1"/>
      <c r="EE2576" s="1"/>
      <c r="EF2576" s="1"/>
      <c r="EG2576" s="1"/>
      <c r="EH2576" s="1"/>
      <c r="EI2576" s="1"/>
      <c r="EJ2576" s="1"/>
      <c r="EK2576" s="1"/>
      <c r="EL2576" s="1"/>
      <c r="EM2576" s="1"/>
      <c r="EN2576" s="1"/>
      <c r="EO2576" s="1"/>
      <c r="EP2576" s="1"/>
      <c r="EQ2576" s="1"/>
      <c r="ER2576" s="1"/>
      <c r="ES2576" s="1"/>
      <c r="ET2576" s="1"/>
      <c r="EU2576" s="1"/>
      <c r="EV2576" s="1"/>
      <c r="EW2576" s="1"/>
      <c r="EX2576" s="1"/>
      <c r="EY2576" s="1"/>
      <c r="EZ2576" s="1"/>
      <c r="FA2576" s="1"/>
      <c r="FB2576" s="1"/>
      <c r="FC2576" s="1"/>
      <c r="FD2576" s="1"/>
      <c r="FE2576" s="1"/>
      <c r="FF2576" s="1"/>
      <c r="FG2576" s="1"/>
      <c r="FH2576" s="1"/>
      <c r="FI2576" s="1"/>
      <c r="FJ2576" s="1"/>
      <c r="FK2576" s="1"/>
      <c r="FL2576" s="1"/>
      <c r="FM2576" s="1"/>
      <c r="FN2576" s="1"/>
      <c r="FO2576" s="1"/>
      <c r="FP2576" s="1"/>
      <c r="FQ2576" s="1"/>
      <c r="FR2576" s="1"/>
      <c r="FS2576" s="1"/>
      <c r="FT2576" s="1"/>
      <c r="FU2576" s="1"/>
      <c r="FV2576" s="1"/>
      <c r="FW2576" s="1"/>
      <c r="FX2576" s="1"/>
      <c r="FY2576" s="1"/>
      <c r="FZ2576" s="1"/>
      <c r="GA2576" s="1"/>
      <c r="GB2576" s="1"/>
      <c r="GC2576" s="1"/>
      <c r="GD2576" s="1"/>
      <c r="GE2576" s="1"/>
      <c r="GF2576" s="1"/>
      <c r="GG2576" s="1"/>
      <c r="GH2576" s="1"/>
      <c r="GI2576" s="1"/>
      <c r="GJ2576" s="1"/>
      <c r="GK2576" s="1"/>
      <c r="GL2576" s="1"/>
      <c r="GM2576" s="1"/>
      <c r="GN2576" s="1"/>
      <c r="GO2576" s="1"/>
      <c r="GP2576" s="1"/>
      <c r="GQ2576" s="1"/>
      <c r="GR2576" s="1"/>
      <c r="GS2576" s="1"/>
      <c r="GT2576" s="1"/>
      <c r="GU2576" s="1"/>
      <c r="GV2576" s="1"/>
      <c r="GW2576" s="1"/>
      <c r="GX2576" s="1"/>
      <c r="GY2576" s="1"/>
      <c r="GZ2576" s="1"/>
      <c r="HA2576" s="1"/>
      <c r="HB2576" s="1"/>
      <c r="HC2576" s="1"/>
      <c r="HD2576" s="1"/>
      <c r="HE2576" s="1"/>
      <c r="HF2576" s="1"/>
      <c r="HG2576" s="1"/>
      <c r="HH2576" s="1"/>
      <c r="HI2576" s="1"/>
      <c r="HJ2576" s="1"/>
      <c r="HK2576" s="1"/>
      <c r="HL2576" s="1"/>
      <c r="HM2576" s="1"/>
      <c r="HN2576" s="1"/>
      <c r="HO2576" s="1"/>
      <c r="HP2576" s="1"/>
      <c r="HQ2576" s="1"/>
    </row>
    <row r="2577" spans="1:225" ht="46.5" x14ac:dyDescent="0.35">
      <c r="A2577" s="257"/>
      <c r="B2577" s="257"/>
      <c r="C2577" s="260"/>
      <c r="D2577" s="263"/>
      <c r="E2577" s="266"/>
      <c r="F2577" s="266"/>
      <c r="G2577" s="257"/>
      <c r="H2577" s="159" t="s">
        <v>705</v>
      </c>
      <c r="I2577" s="158">
        <f>K2577*D2576</f>
        <v>63828.800000000003</v>
      </c>
      <c r="J2577" s="158">
        <f>I2577/D2576</f>
        <v>164</v>
      </c>
      <c r="K2577" s="158">
        <f>151+13</f>
        <v>164</v>
      </c>
      <c r="L2577" s="1"/>
      <c r="M2577" s="1"/>
      <c r="N2577" s="1"/>
      <c r="O2577" s="1"/>
      <c r="P2577" s="1"/>
      <c r="Q2577" s="1"/>
      <c r="R2577" s="1"/>
      <c r="S2577" s="1"/>
      <c r="T2577" s="1"/>
      <c r="U2577" s="1"/>
      <c r="V2577" s="1"/>
      <c r="W2577" s="1"/>
      <c r="X2577" s="1"/>
      <c r="Y2577" s="1"/>
      <c r="Z2577" s="1"/>
      <c r="AA2577" s="1"/>
      <c r="AB2577" s="1"/>
      <c r="AC2577" s="1"/>
      <c r="AD2577" s="1"/>
      <c r="AE2577" s="1"/>
      <c r="AF2577" s="1"/>
      <c r="AG2577" s="1"/>
      <c r="AH2577" s="1"/>
      <c r="AI2577" s="1"/>
      <c r="AJ2577" s="1"/>
      <c r="AK2577" s="1"/>
      <c r="AL2577" s="1"/>
      <c r="AM2577" s="1"/>
      <c r="AN2577" s="1"/>
      <c r="AO2577" s="1"/>
      <c r="AP2577" s="1"/>
      <c r="AQ2577" s="1"/>
      <c r="AR2577" s="1"/>
      <c r="AS2577" s="1"/>
      <c r="AT2577" s="1"/>
      <c r="AU2577" s="1"/>
      <c r="AV2577" s="1"/>
      <c r="AW2577" s="1"/>
      <c r="AX2577" s="1"/>
      <c r="AY2577" s="1"/>
      <c r="AZ2577" s="1"/>
      <c r="BA2577" s="1"/>
      <c r="BB2577" s="1"/>
      <c r="BC2577" s="1"/>
      <c r="BD2577" s="1"/>
      <c r="BE2577" s="1"/>
      <c r="BF2577" s="1"/>
      <c r="BG2577" s="1"/>
      <c r="BH2577" s="1"/>
      <c r="BI2577" s="1"/>
      <c r="BJ2577" s="1"/>
      <c r="BK2577" s="1"/>
      <c r="BL2577" s="1"/>
      <c r="BM2577" s="1"/>
      <c r="BN2577" s="1"/>
      <c r="BO2577" s="1"/>
      <c r="BP2577" s="1"/>
      <c r="BQ2577" s="1"/>
      <c r="BR2577" s="1"/>
      <c r="BS2577" s="1"/>
      <c r="BT2577" s="1"/>
      <c r="BU2577" s="1"/>
      <c r="BV2577" s="1"/>
      <c r="BW2577" s="1"/>
      <c r="BX2577" s="1"/>
      <c r="BY2577" s="1"/>
      <c r="BZ2577" s="1"/>
      <c r="CA2577" s="1"/>
      <c r="CB2577" s="1"/>
      <c r="CC2577" s="1"/>
      <c r="CD2577" s="1"/>
      <c r="CE2577" s="1"/>
      <c r="CF2577" s="1"/>
      <c r="CG2577" s="1"/>
      <c r="CH2577" s="1"/>
      <c r="CI2577" s="1"/>
      <c r="CJ2577" s="1"/>
      <c r="CK2577" s="1"/>
      <c r="CL2577" s="1"/>
      <c r="CM2577" s="1"/>
      <c r="CN2577" s="1"/>
      <c r="CO2577" s="1"/>
      <c r="CP2577" s="1"/>
      <c r="CQ2577" s="1"/>
      <c r="CR2577" s="1"/>
      <c r="CS2577" s="1"/>
      <c r="CT2577" s="1"/>
      <c r="CU2577" s="1"/>
      <c r="CV2577" s="1"/>
      <c r="CW2577" s="1"/>
      <c r="CX2577" s="1"/>
      <c r="CY2577" s="1"/>
      <c r="CZ2577" s="1"/>
      <c r="DA2577" s="1"/>
      <c r="DB2577" s="1"/>
      <c r="DC2577" s="1"/>
      <c r="DD2577" s="1"/>
      <c r="DE2577" s="1"/>
      <c r="DF2577" s="1"/>
      <c r="DG2577" s="1"/>
      <c r="DH2577" s="1"/>
      <c r="DI2577" s="1"/>
      <c r="DJ2577" s="1"/>
      <c r="DK2577" s="1"/>
      <c r="DL2577" s="1"/>
      <c r="DM2577" s="1"/>
      <c r="DN2577" s="1"/>
      <c r="DO2577" s="1"/>
      <c r="DP2577" s="1"/>
      <c r="DQ2577" s="1"/>
      <c r="DR2577" s="1"/>
      <c r="DS2577" s="1"/>
      <c r="DT2577" s="1"/>
      <c r="DU2577" s="1"/>
      <c r="DV2577" s="1"/>
      <c r="DW2577" s="1"/>
      <c r="DX2577" s="1"/>
      <c r="DY2577" s="1"/>
      <c r="DZ2577" s="1"/>
      <c r="EA2577" s="1"/>
      <c r="EB2577" s="1"/>
      <c r="EC2577" s="1"/>
      <c r="ED2577" s="1"/>
      <c r="EE2577" s="1"/>
      <c r="EF2577" s="1"/>
      <c r="EG2577" s="1"/>
      <c r="EH2577" s="1"/>
      <c r="EI2577" s="1"/>
      <c r="EJ2577" s="1"/>
      <c r="EK2577" s="1"/>
      <c r="EL2577" s="1"/>
      <c r="EM2577" s="1"/>
      <c r="EN2577" s="1"/>
      <c r="EO2577" s="1"/>
      <c r="EP2577" s="1"/>
      <c r="EQ2577" s="1"/>
      <c r="ER2577" s="1"/>
      <c r="ES2577" s="1"/>
      <c r="ET2577" s="1"/>
      <c r="EU2577" s="1"/>
      <c r="EV2577" s="1"/>
      <c r="EW2577" s="1"/>
      <c r="EX2577" s="1"/>
      <c r="EY2577" s="1"/>
      <c r="EZ2577" s="1"/>
      <c r="FA2577" s="1"/>
      <c r="FB2577" s="1"/>
      <c r="FC2577" s="1"/>
      <c r="FD2577" s="1"/>
      <c r="FE2577" s="1"/>
      <c r="FF2577" s="1"/>
      <c r="FG2577" s="1"/>
      <c r="FH2577" s="1"/>
      <c r="FI2577" s="1"/>
      <c r="FJ2577" s="1"/>
      <c r="FK2577" s="1"/>
      <c r="FL2577" s="1"/>
      <c r="FM2577" s="1"/>
      <c r="FN2577" s="1"/>
      <c r="FO2577" s="1"/>
      <c r="FP2577" s="1"/>
      <c r="FQ2577" s="1"/>
      <c r="FR2577" s="1"/>
      <c r="FS2577" s="1"/>
      <c r="FT2577" s="1"/>
      <c r="FU2577" s="1"/>
      <c r="FV2577" s="1"/>
      <c r="FW2577" s="1"/>
      <c r="FX2577" s="1"/>
      <c r="FY2577" s="1"/>
      <c r="FZ2577" s="1"/>
      <c r="GA2577" s="1"/>
      <c r="GB2577" s="1"/>
      <c r="GC2577" s="1"/>
      <c r="GD2577" s="1"/>
      <c r="GE2577" s="1"/>
      <c r="GF2577" s="1"/>
      <c r="GG2577" s="1"/>
      <c r="GH2577" s="1"/>
      <c r="GI2577" s="1"/>
      <c r="GJ2577" s="1"/>
      <c r="GK2577" s="1"/>
      <c r="GL2577" s="1"/>
      <c r="GM2577" s="1"/>
      <c r="GN2577" s="1"/>
      <c r="GO2577" s="1"/>
      <c r="GP2577" s="1"/>
      <c r="GQ2577" s="1"/>
      <c r="GR2577" s="1"/>
      <c r="GS2577" s="1"/>
      <c r="GT2577" s="1"/>
      <c r="GU2577" s="1"/>
      <c r="GV2577" s="1"/>
      <c r="GW2577" s="1"/>
      <c r="GX2577" s="1"/>
      <c r="GY2577" s="1"/>
      <c r="GZ2577" s="1"/>
      <c r="HA2577" s="1"/>
      <c r="HB2577" s="1"/>
      <c r="HC2577" s="1"/>
      <c r="HD2577" s="1"/>
      <c r="HE2577" s="1"/>
      <c r="HF2577" s="1"/>
      <c r="HG2577" s="1"/>
      <c r="HH2577" s="1"/>
      <c r="HI2577" s="1"/>
      <c r="HJ2577" s="1"/>
      <c r="HK2577" s="1"/>
      <c r="HL2577" s="1"/>
      <c r="HM2577" s="1"/>
      <c r="HN2577" s="1"/>
      <c r="HO2577" s="1"/>
      <c r="HP2577" s="1"/>
      <c r="HQ2577" s="1"/>
    </row>
    <row r="2578" spans="1:225" x14ac:dyDescent="0.35">
      <c r="A2578" s="257"/>
      <c r="B2578" s="257"/>
      <c r="C2578" s="260"/>
      <c r="D2578" s="263"/>
      <c r="E2578" s="266"/>
      <c r="F2578" s="266"/>
      <c r="G2578" s="257"/>
      <c r="H2578" s="159" t="s">
        <v>74</v>
      </c>
      <c r="I2578" s="158">
        <f>K2578*D2576</f>
        <v>2692485.6</v>
      </c>
      <c r="J2578" s="158">
        <f>I2578/D2576</f>
        <v>6918</v>
      </c>
      <c r="K2578" s="158">
        <v>6918</v>
      </c>
      <c r="L2578" s="1"/>
      <c r="M2578" s="1"/>
      <c r="N2578" s="1"/>
      <c r="O2578" s="1"/>
      <c r="P2578" s="1"/>
      <c r="Q2578" s="1"/>
      <c r="R2578" s="1"/>
      <c r="S2578" s="1"/>
      <c r="T2578" s="1"/>
      <c r="U2578" s="1"/>
      <c r="V2578" s="1"/>
      <c r="W2578" s="1"/>
      <c r="X2578" s="1"/>
      <c r="Y2578" s="1"/>
      <c r="Z2578" s="1"/>
      <c r="AA2578" s="1"/>
      <c r="AB2578" s="1"/>
      <c r="AC2578" s="1"/>
      <c r="AD2578" s="1"/>
      <c r="AE2578" s="1"/>
      <c r="AF2578" s="1"/>
      <c r="AG2578" s="1"/>
      <c r="AH2578" s="1"/>
      <c r="AI2578" s="1"/>
      <c r="AJ2578" s="1"/>
      <c r="AK2578" s="1"/>
      <c r="AL2578" s="1"/>
      <c r="AM2578" s="1"/>
      <c r="AN2578" s="1"/>
      <c r="AO2578" s="1"/>
      <c r="AP2578" s="1"/>
      <c r="AQ2578" s="1"/>
      <c r="AR2578" s="1"/>
      <c r="AS2578" s="1"/>
      <c r="AT2578" s="1"/>
      <c r="AU2578" s="1"/>
      <c r="AV2578" s="1"/>
      <c r="AW2578" s="1"/>
      <c r="AX2578" s="1"/>
      <c r="AY2578" s="1"/>
      <c r="AZ2578" s="1"/>
      <c r="BA2578" s="1"/>
      <c r="BB2578" s="1"/>
      <c r="BC2578" s="1"/>
      <c r="BD2578" s="1"/>
      <c r="BE2578" s="1"/>
      <c r="BF2578" s="1"/>
      <c r="BG2578" s="1"/>
      <c r="BH2578" s="1"/>
      <c r="BI2578" s="1"/>
      <c r="BJ2578" s="1"/>
      <c r="BK2578" s="1"/>
      <c r="BL2578" s="1"/>
      <c r="BM2578" s="1"/>
      <c r="BN2578" s="1"/>
      <c r="BO2578" s="1"/>
      <c r="BP2578" s="1"/>
      <c r="BQ2578" s="1"/>
      <c r="BR2578" s="1"/>
      <c r="BS2578" s="1"/>
      <c r="BT2578" s="1"/>
      <c r="BU2578" s="1"/>
      <c r="BV2578" s="1"/>
      <c r="BW2578" s="1"/>
      <c r="BX2578" s="1"/>
      <c r="BY2578" s="1"/>
      <c r="BZ2578" s="1"/>
      <c r="CA2578" s="1"/>
      <c r="CB2578" s="1"/>
      <c r="CC2578" s="1"/>
      <c r="CD2578" s="1"/>
      <c r="CE2578" s="1"/>
      <c r="CF2578" s="1"/>
      <c r="CG2578" s="1"/>
      <c r="CH2578" s="1"/>
      <c r="CI2578" s="1"/>
      <c r="CJ2578" s="1"/>
      <c r="CK2578" s="1"/>
      <c r="CL2578" s="1"/>
      <c r="CM2578" s="1"/>
      <c r="CN2578" s="1"/>
      <c r="CO2578" s="1"/>
      <c r="CP2578" s="1"/>
      <c r="CQ2578" s="1"/>
      <c r="CR2578" s="1"/>
      <c r="CS2578" s="1"/>
      <c r="CT2578" s="1"/>
      <c r="CU2578" s="1"/>
      <c r="CV2578" s="1"/>
      <c r="CW2578" s="1"/>
      <c r="CX2578" s="1"/>
      <c r="CY2578" s="1"/>
      <c r="CZ2578" s="1"/>
      <c r="DA2578" s="1"/>
      <c r="DB2578" s="1"/>
      <c r="DC2578" s="1"/>
      <c r="DD2578" s="1"/>
      <c r="DE2578" s="1"/>
      <c r="DF2578" s="1"/>
      <c r="DG2578" s="1"/>
      <c r="DH2578" s="1"/>
      <c r="DI2578" s="1"/>
      <c r="DJ2578" s="1"/>
      <c r="DK2578" s="1"/>
      <c r="DL2578" s="1"/>
      <c r="DM2578" s="1"/>
      <c r="DN2578" s="1"/>
      <c r="DO2578" s="1"/>
      <c r="DP2578" s="1"/>
      <c r="DQ2578" s="1"/>
      <c r="DR2578" s="1"/>
      <c r="DS2578" s="1"/>
      <c r="DT2578" s="1"/>
      <c r="DU2578" s="1"/>
      <c r="DV2578" s="1"/>
      <c r="DW2578" s="1"/>
      <c r="DX2578" s="1"/>
      <c r="DY2578" s="1"/>
      <c r="DZ2578" s="1"/>
      <c r="EA2578" s="1"/>
      <c r="EB2578" s="1"/>
      <c r="EC2578" s="1"/>
      <c r="ED2578" s="1"/>
      <c r="EE2578" s="1"/>
      <c r="EF2578" s="1"/>
      <c r="EG2578" s="1"/>
      <c r="EH2578" s="1"/>
      <c r="EI2578" s="1"/>
      <c r="EJ2578" s="1"/>
      <c r="EK2578" s="1"/>
      <c r="EL2578" s="1"/>
      <c r="EM2578" s="1"/>
      <c r="EN2578" s="1"/>
      <c r="EO2578" s="1"/>
      <c r="EP2578" s="1"/>
      <c r="EQ2578" s="1"/>
      <c r="ER2578" s="1"/>
      <c r="ES2578" s="1"/>
      <c r="ET2578" s="1"/>
      <c r="EU2578" s="1"/>
      <c r="EV2578" s="1"/>
      <c r="EW2578" s="1"/>
      <c r="EX2578" s="1"/>
      <c r="EY2578" s="1"/>
      <c r="EZ2578" s="1"/>
      <c r="FA2578" s="1"/>
      <c r="FB2578" s="1"/>
      <c r="FC2578" s="1"/>
      <c r="FD2578" s="1"/>
      <c r="FE2578" s="1"/>
      <c r="FF2578" s="1"/>
      <c r="FG2578" s="1"/>
      <c r="FH2578" s="1"/>
      <c r="FI2578" s="1"/>
      <c r="FJ2578" s="1"/>
      <c r="FK2578" s="1"/>
      <c r="FL2578" s="1"/>
      <c r="FM2578" s="1"/>
      <c r="FN2578" s="1"/>
      <c r="FO2578" s="1"/>
      <c r="FP2578" s="1"/>
      <c r="FQ2578" s="1"/>
      <c r="FR2578" s="1"/>
      <c r="FS2578" s="1"/>
      <c r="FT2578" s="1"/>
      <c r="FU2578" s="1"/>
      <c r="FV2578" s="1"/>
      <c r="FW2578" s="1"/>
      <c r="FX2578" s="1"/>
      <c r="FY2578" s="1"/>
      <c r="FZ2578" s="1"/>
      <c r="GA2578" s="1"/>
      <c r="GB2578" s="1"/>
      <c r="GC2578" s="1"/>
      <c r="GD2578" s="1"/>
      <c r="GE2578" s="1"/>
      <c r="GF2578" s="1"/>
      <c r="GG2578" s="1"/>
      <c r="GH2578" s="1"/>
      <c r="GI2578" s="1"/>
      <c r="GJ2578" s="1"/>
      <c r="GK2578" s="1"/>
      <c r="GL2578" s="1"/>
      <c r="GM2578" s="1"/>
      <c r="GN2578" s="1"/>
      <c r="GO2578" s="1"/>
      <c r="GP2578" s="1"/>
      <c r="GQ2578" s="1"/>
      <c r="GR2578" s="1"/>
      <c r="GS2578" s="1"/>
      <c r="GT2578" s="1"/>
      <c r="GU2578" s="1"/>
      <c r="GV2578" s="1"/>
      <c r="GW2578" s="1"/>
      <c r="GX2578" s="1"/>
      <c r="GY2578" s="1"/>
      <c r="GZ2578" s="1"/>
      <c r="HA2578" s="1"/>
      <c r="HB2578" s="1"/>
      <c r="HC2578" s="1"/>
      <c r="HD2578" s="1"/>
      <c r="HE2578" s="1"/>
      <c r="HF2578" s="1"/>
      <c r="HG2578" s="1"/>
      <c r="HH2578" s="1"/>
      <c r="HI2578" s="1"/>
      <c r="HJ2578" s="1"/>
      <c r="HK2578" s="1"/>
      <c r="HL2578" s="1"/>
      <c r="HM2578" s="1"/>
      <c r="HN2578" s="1"/>
      <c r="HO2578" s="1"/>
      <c r="HP2578" s="1"/>
      <c r="HQ2578" s="1"/>
    </row>
    <row r="2579" spans="1:225" x14ac:dyDescent="0.35">
      <c r="A2579" s="257"/>
      <c r="B2579" s="257"/>
      <c r="C2579" s="260"/>
      <c r="D2579" s="263"/>
      <c r="E2579" s="266"/>
      <c r="F2579" s="266"/>
      <c r="G2579" s="258"/>
      <c r="H2579" s="159" t="s">
        <v>76</v>
      </c>
      <c r="I2579" s="158">
        <f>K2579*D2576</f>
        <v>57601.599999999999</v>
      </c>
      <c r="J2579" s="158">
        <f>I2579/D2576</f>
        <v>148</v>
      </c>
      <c r="K2579" s="158">
        <v>148</v>
      </c>
      <c r="L2579" s="1"/>
      <c r="M2579" s="1"/>
      <c r="N2579" s="1"/>
      <c r="O2579" s="1"/>
      <c r="P2579" s="1"/>
      <c r="Q2579" s="1"/>
      <c r="R2579" s="1"/>
      <c r="S2579" s="1"/>
      <c r="T2579" s="1"/>
      <c r="U2579" s="1"/>
      <c r="V2579" s="1"/>
      <c r="W2579" s="1"/>
      <c r="X2579" s="1"/>
      <c r="Y2579" s="1"/>
      <c r="Z2579" s="1"/>
      <c r="AA2579" s="1"/>
      <c r="AB2579" s="1"/>
      <c r="AC2579" s="1"/>
      <c r="AD2579" s="1"/>
      <c r="AE2579" s="1"/>
      <c r="AF2579" s="1"/>
      <c r="AG2579" s="1"/>
      <c r="AH2579" s="1"/>
      <c r="AI2579" s="1"/>
      <c r="AJ2579" s="1"/>
      <c r="AK2579" s="1"/>
      <c r="AL2579" s="1"/>
      <c r="AM2579" s="1"/>
      <c r="AN2579" s="1"/>
      <c r="AO2579" s="1"/>
      <c r="AP2579" s="1"/>
      <c r="AQ2579" s="1"/>
      <c r="AR2579" s="1"/>
      <c r="AS2579" s="1"/>
      <c r="AT2579" s="1"/>
      <c r="AU2579" s="1"/>
      <c r="AV2579" s="1"/>
      <c r="AW2579" s="1"/>
      <c r="AX2579" s="1"/>
      <c r="AY2579" s="1"/>
      <c r="AZ2579" s="1"/>
      <c r="BA2579" s="1"/>
      <c r="BB2579" s="1"/>
      <c r="BC2579" s="1"/>
      <c r="BD2579" s="1"/>
      <c r="BE2579" s="1"/>
      <c r="BF2579" s="1"/>
      <c r="BG2579" s="1"/>
      <c r="BH2579" s="1"/>
      <c r="BI2579" s="1"/>
      <c r="BJ2579" s="1"/>
      <c r="BK2579" s="1"/>
      <c r="BL2579" s="1"/>
      <c r="BM2579" s="1"/>
      <c r="BN2579" s="1"/>
      <c r="BO2579" s="1"/>
      <c r="BP2579" s="1"/>
      <c r="BQ2579" s="1"/>
      <c r="BR2579" s="1"/>
      <c r="BS2579" s="1"/>
      <c r="BT2579" s="1"/>
      <c r="BU2579" s="1"/>
      <c r="BV2579" s="1"/>
      <c r="BW2579" s="1"/>
      <c r="BX2579" s="1"/>
      <c r="BY2579" s="1"/>
      <c r="BZ2579" s="1"/>
      <c r="CA2579" s="1"/>
      <c r="CB2579" s="1"/>
      <c r="CC2579" s="1"/>
      <c r="CD2579" s="1"/>
      <c r="CE2579" s="1"/>
      <c r="CF2579" s="1"/>
      <c r="CG2579" s="1"/>
      <c r="CH2579" s="1"/>
      <c r="CI2579" s="1"/>
      <c r="CJ2579" s="1"/>
      <c r="CK2579" s="1"/>
      <c r="CL2579" s="1"/>
      <c r="CM2579" s="1"/>
      <c r="CN2579" s="1"/>
      <c r="CO2579" s="1"/>
      <c r="CP2579" s="1"/>
      <c r="CQ2579" s="1"/>
      <c r="CR2579" s="1"/>
      <c r="CS2579" s="1"/>
      <c r="CT2579" s="1"/>
      <c r="CU2579" s="1"/>
      <c r="CV2579" s="1"/>
      <c r="CW2579" s="1"/>
      <c r="CX2579" s="1"/>
      <c r="CY2579" s="1"/>
      <c r="CZ2579" s="1"/>
      <c r="DA2579" s="1"/>
      <c r="DB2579" s="1"/>
      <c r="DC2579" s="1"/>
      <c r="DD2579" s="1"/>
      <c r="DE2579" s="1"/>
      <c r="DF2579" s="1"/>
      <c r="DG2579" s="1"/>
      <c r="DH2579" s="1"/>
      <c r="DI2579" s="1"/>
      <c r="DJ2579" s="1"/>
      <c r="DK2579" s="1"/>
      <c r="DL2579" s="1"/>
      <c r="DM2579" s="1"/>
      <c r="DN2579" s="1"/>
      <c r="DO2579" s="1"/>
      <c r="DP2579" s="1"/>
      <c r="DQ2579" s="1"/>
      <c r="DR2579" s="1"/>
      <c r="DS2579" s="1"/>
      <c r="DT2579" s="1"/>
      <c r="DU2579" s="1"/>
      <c r="DV2579" s="1"/>
      <c r="DW2579" s="1"/>
      <c r="DX2579" s="1"/>
      <c r="DY2579" s="1"/>
      <c r="DZ2579" s="1"/>
      <c r="EA2579" s="1"/>
      <c r="EB2579" s="1"/>
      <c r="EC2579" s="1"/>
      <c r="ED2579" s="1"/>
      <c r="EE2579" s="1"/>
      <c r="EF2579" s="1"/>
      <c r="EG2579" s="1"/>
      <c r="EH2579" s="1"/>
      <c r="EI2579" s="1"/>
      <c r="EJ2579" s="1"/>
      <c r="EK2579" s="1"/>
      <c r="EL2579" s="1"/>
      <c r="EM2579" s="1"/>
      <c r="EN2579" s="1"/>
      <c r="EO2579" s="1"/>
      <c r="EP2579" s="1"/>
      <c r="EQ2579" s="1"/>
      <c r="ER2579" s="1"/>
      <c r="ES2579" s="1"/>
      <c r="ET2579" s="1"/>
      <c r="EU2579" s="1"/>
      <c r="EV2579" s="1"/>
      <c r="EW2579" s="1"/>
      <c r="EX2579" s="1"/>
      <c r="EY2579" s="1"/>
      <c r="EZ2579" s="1"/>
      <c r="FA2579" s="1"/>
      <c r="FB2579" s="1"/>
      <c r="FC2579" s="1"/>
      <c r="FD2579" s="1"/>
      <c r="FE2579" s="1"/>
      <c r="FF2579" s="1"/>
      <c r="FG2579" s="1"/>
      <c r="FH2579" s="1"/>
      <c r="FI2579" s="1"/>
      <c r="FJ2579" s="1"/>
      <c r="FK2579" s="1"/>
      <c r="FL2579" s="1"/>
      <c r="FM2579" s="1"/>
      <c r="FN2579" s="1"/>
      <c r="FO2579" s="1"/>
      <c r="FP2579" s="1"/>
      <c r="FQ2579" s="1"/>
      <c r="FR2579" s="1"/>
      <c r="FS2579" s="1"/>
      <c r="FT2579" s="1"/>
      <c r="FU2579" s="1"/>
      <c r="FV2579" s="1"/>
      <c r="FW2579" s="1"/>
      <c r="FX2579" s="1"/>
      <c r="FY2579" s="1"/>
      <c r="FZ2579" s="1"/>
      <c r="GA2579" s="1"/>
      <c r="GB2579" s="1"/>
      <c r="GC2579" s="1"/>
      <c r="GD2579" s="1"/>
      <c r="GE2579" s="1"/>
      <c r="GF2579" s="1"/>
      <c r="GG2579" s="1"/>
      <c r="GH2579" s="1"/>
      <c r="GI2579" s="1"/>
      <c r="GJ2579" s="1"/>
      <c r="GK2579" s="1"/>
      <c r="GL2579" s="1"/>
      <c r="GM2579" s="1"/>
      <c r="GN2579" s="1"/>
      <c r="GO2579" s="1"/>
      <c r="GP2579" s="1"/>
      <c r="GQ2579" s="1"/>
      <c r="GR2579" s="1"/>
      <c r="GS2579" s="1"/>
      <c r="GT2579" s="1"/>
      <c r="GU2579" s="1"/>
      <c r="GV2579" s="1"/>
      <c r="GW2579" s="1"/>
      <c r="GX2579" s="1"/>
      <c r="GY2579" s="1"/>
      <c r="GZ2579" s="1"/>
      <c r="HA2579" s="1"/>
      <c r="HB2579" s="1"/>
      <c r="HC2579" s="1"/>
      <c r="HD2579" s="1"/>
      <c r="HE2579" s="1"/>
      <c r="HF2579" s="1"/>
      <c r="HG2579" s="1"/>
      <c r="HH2579" s="1"/>
      <c r="HI2579" s="1"/>
      <c r="HJ2579" s="1"/>
      <c r="HK2579" s="1"/>
      <c r="HL2579" s="1"/>
      <c r="HM2579" s="1"/>
      <c r="HN2579" s="1"/>
      <c r="HO2579" s="1"/>
      <c r="HP2579" s="1"/>
      <c r="HQ2579" s="1"/>
    </row>
    <row r="2580" spans="1:225" ht="15.75" customHeight="1" x14ac:dyDescent="0.35">
      <c r="A2580" s="256">
        <f>A2576+1</f>
        <v>3</v>
      </c>
      <c r="B2580" s="256">
        <v>7203</v>
      </c>
      <c r="C2580" s="252" t="s">
        <v>650</v>
      </c>
      <c r="D2580" s="262">
        <v>620.70000000000005</v>
      </c>
      <c r="E2580" s="265" t="s">
        <v>75</v>
      </c>
      <c r="F2580" s="265">
        <v>2</v>
      </c>
      <c r="G2580" s="256" t="s">
        <v>72</v>
      </c>
      <c r="H2580" s="159" t="s">
        <v>73</v>
      </c>
      <c r="I2580" s="158">
        <f>I2581</f>
        <v>101794.8</v>
      </c>
      <c r="J2580" s="158">
        <f>J2581</f>
        <v>164</v>
      </c>
      <c r="K2580" s="158">
        <f>K2581</f>
        <v>164</v>
      </c>
      <c r="L2580" s="1"/>
      <c r="M2580" s="1"/>
      <c r="N2580" s="1"/>
      <c r="O2580" s="1"/>
      <c r="P2580" s="1"/>
      <c r="Q2580" s="1"/>
      <c r="R2580" s="1"/>
      <c r="S2580" s="1"/>
      <c r="T2580" s="1"/>
      <c r="U2580" s="1"/>
      <c r="V2580" s="1"/>
      <c r="W2580" s="1"/>
      <c r="X2580" s="1"/>
      <c r="Y2580" s="1"/>
      <c r="Z2580" s="1"/>
      <c r="AA2580" s="1"/>
      <c r="AB2580" s="1"/>
      <c r="AC2580" s="1"/>
      <c r="AD2580" s="1"/>
      <c r="AE2580" s="1"/>
      <c r="AF2580" s="1"/>
      <c r="AG2580" s="1"/>
      <c r="AH2580" s="1"/>
      <c r="AI2580" s="1"/>
      <c r="AJ2580" s="1"/>
      <c r="AK2580" s="1"/>
      <c r="AL2580" s="1"/>
      <c r="AM2580" s="1"/>
      <c r="AN2580" s="1"/>
      <c r="AO2580" s="1"/>
      <c r="AP2580" s="1"/>
      <c r="AQ2580" s="1"/>
      <c r="AR2580" s="1"/>
      <c r="AS2580" s="1"/>
      <c r="AT2580" s="1"/>
      <c r="AU2580" s="1"/>
      <c r="AV2580" s="1"/>
      <c r="AW2580" s="1"/>
      <c r="AX2580" s="1"/>
      <c r="AY2580" s="1"/>
      <c r="AZ2580" s="1"/>
      <c r="BA2580" s="1"/>
      <c r="BB2580" s="1"/>
      <c r="BC2580" s="1"/>
      <c r="BD2580" s="1"/>
      <c r="BE2580" s="1"/>
      <c r="BF2580" s="1"/>
      <c r="BG2580" s="1"/>
      <c r="BH2580" s="1"/>
      <c r="BI2580" s="1"/>
      <c r="BJ2580" s="1"/>
      <c r="BK2580" s="1"/>
      <c r="BL2580" s="1"/>
      <c r="BM2580" s="1"/>
      <c r="BN2580" s="1"/>
      <c r="BO2580" s="1"/>
      <c r="BP2580" s="1"/>
      <c r="BQ2580" s="1"/>
      <c r="BR2580" s="1"/>
      <c r="BS2580" s="1"/>
      <c r="BT2580" s="1"/>
      <c r="BU2580" s="1"/>
      <c r="BV2580" s="1"/>
      <c r="BW2580" s="1"/>
      <c r="BX2580" s="1"/>
      <c r="BY2580" s="1"/>
      <c r="BZ2580" s="1"/>
      <c r="CA2580" s="1"/>
      <c r="CB2580" s="1"/>
      <c r="CC2580" s="1"/>
      <c r="CD2580" s="1"/>
      <c r="CE2580" s="1"/>
      <c r="CF2580" s="1"/>
      <c r="CG2580" s="1"/>
      <c r="CH2580" s="1"/>
      <c r="CI2580" s="1"/>
      <c r="CJ2580" s="1"/>
      <c r="CK2580" s="1"/>
      <c r="CL2580" s="1"/>
      <c r="CM2580" s="1"/>
      <c r="CN2580" s="1"/>
      <c r="CO2580" s="1"/>
      <c r="CP2580" s="1"/>
      <c r="CQ2580" s="1"/>
      <c r="CR2580" s="1"/>
      <c r="CS2580" s="1"/>
      <c r="CT2580" s="1"/>
      <c r="CU2580" s="1"/>
      <c r="CV2580" s="1"/>
      <c r="CW2580" s="1"/>
      <c r="CX2580" s="1"/>
      <c r="CY2580" s="1"/>
      <c r="CZ2580" s="1"/>
      <c r="DA2580" s="1"/>
      <c r="DB2580" s="1"/>
      <c r="DC2580" s="1"/>
      <c r="DD2580" s="1"/>
      <c r="DE2580" s="1"/>
      <c r="DF2580" s="1"/>
      <c r="DG2580" s="1"/>
      <c r="DH2580" s="1"/>
      <c r="DI2580" s="1"/>
      <c r="DJ2580" s="1"/>
      <c r="DK2580" s="1"/>
      <c r="DL2580" s="1"/>
      <c r="DM2580" s="1"/>
      <c r="DN2580" s="1"/>
      <c r="DO2580" s="1"/>
      <c r="DP2580" s="1"/>
      <c r="DQ2580" s="1"/>
      <c r="DR2580" s="1"/>
      <c r="DS2580" s="1"/>
      <c r="DT2580" s="1"/>
      <c r="DU2580" s="1"/>
      <c r="DV2580" s="1"/>
      <c r="DW2580" s="1"/>
      <c r="DX2580" s="1"/>
      <c r="DY2580" s="1"/>
      <c r="DZ2580" s="1"/>
      <c r="EA2580" s="1"/>
      <c r="EB2580" s="1"/>
      <c r="EC2580" s="1"/>
      <c r="ED2580" s="1"/>
      <c r="EE2580" s="1"/>
      <c r="EF2580" s="1"/>
      <c r="EG2580" s="1"/>
      <c r="EH2580" s="1"/>
      <c r="EI2580" s="1"/>
      <c r="EJ2580" s="1"/>
      <c r="EK2580" s="1"/>
      <c r="EL2580" s="1"/>
      <c r="EM2580" s="1"/>
      <c r="EN2580" s="1"/>
      <c r="EO2580" s="1"/>
      <c r="EP2580" s="1"/>
      <c r="EQ2580" s="1"/>
      <c r="ER2580" s="1"/>
      <c r="ES2580" s="1"/>
      <c r="ET2580" s="1"/>
      <c r="EU2580" s="1"/>
      <c r="EV2580" s="1"/>
      <c r="EW2580" s="1"/>
      <c r="EX2580" s="1"/>
      <c r="EY2580" s="1"/>
      <c r="EZ2580" s="1"/>
      <c r="FA2580" s="1"/>
      <c r="FB2580" s="1"/>
      <c r="FC2580" s="1"/>
      <c r="FD2580" s="1"/>
      <c r="FE2580" s="1"/>
      <c r="FF2580" s="1"/>
      <c r="FG2580" s="1"/>
      <c r="FH2580" s="1"/>
      <c r="FI2580" s="1"/>
      <c r="FJ2580" s="1"/>
      <c r="FK2580" s="1"/>
      <c r="FL2580" s="1"/>
      <c r="FM2580" s="1"/>
      <c r="FN2580" s="1"/>
      <c r="FO2580" s="1"/>
      <c r="FP2580" s="1"/>
      <c r="FQ2580" s="1"/>
      <c r="FR2580" s="1"/>
      <c r="FS2580" s="1"/>
      <c r="FT2580" s="1"/>
      <c r="FU2580" s="1"/>
      <c r="FV2580" s="1"/>
      <c r="FW2580" s="1"/>
      <c r="FX2580" s="1"/>
      <c r="FY2580" s="1"/>
      <c r="FZ2580" s="1"/>
      <c r="GA2580" s="1"/>
      <c r="GB2580" s="1"/>
      <c r="GC2580" s="1"/>
      <c r="GD2580" s="1"/>
      <c r="GE2580" s="1"/>
      <c r="GF2580" s="1"/>
      <c r="GG2580" s="1"/>
      <c r="GH2580" s="1"/>
      <c r="GI2580" s="1"/>
      <c r="GJ2580" s="1"/>
      <c r="GK2580" s="1"/>
      <c r="GL2580" s="1"/>
      <c r="GM2580" s="1"/>
      <c r="GN2580" s="1"/>
      <c r="GO2580" s="1"/>
      <c r="GP2580" s="1"/>
      <c r="GQ2580" s="1"/>
      <c r="GR2580" s="1"/>
      <c r="GS2580" s="1"/>
      <c r="GT2580" s="1"/>
      <c r="GU2580" s="1"/>
      <c r="GV2580" s="1"/>
      <c r="GW2580" s="1"/>
      <c r="GX2580" s="1"/>
      <c r="GY2580" s="1"/>
      <c r="GZ2580" s="1"/>
      <c r="HA2580" s="1"/>
      <c r="HB2580" s="1"/>
      <c r="HC2580" s="1"/>
      <c r="HD2580" s="1"/>
      <c r="HE2580" s="1"/>
      <c r="HF2580" s="1"/>
      <c r="HG2580" s="1"/>
      <c r="HH2580" s="1"/>
      <c r="HI2580" s="1"/>
      <c r="HJ2580" s="1"/>
      <c r="HK2580" s="1"/>
      <c r="HL2580" s="1"/>
      <c r="HM2580" s="1"/>
      <c r="HN2580" s="1"/>
      <c r="HO2580" s="1"/>
      <c r="HP2580" s="1"/>
      <c r="HQ2580" s="1"/>
    </row>
    <row r="2581" spans="1:225" ht="46.5" x14ac:dyDescent="0.35">
      <c r="A2581" s="257"/>
      <c r="B2581" s="257"/>
      <c r="C2581" s="252"/>
      <c r="D2581" s="263"/>
      <c r="E2581" s="266"/>
      <c r="F2581" s="266"/>
      <c r="G2581" s="258"/>
      <c r="H2581" s="159" t="s">
        <v>705</v>
      </c>
      <c r="I2581" s="158">
        <f>K2581*D2580</f>
        <v>101794.8</v>
      </c>
      <c r="J2581" s="158">
        <f>I2581/D2580</f>
        <v>164</v>
      </c>
      <c r="K2581" s="158">
        <f>151+13</f>
        <v>164</v>
      </c>
      <c r="L2581" s="1"/>
      <c r="M2581" s="1"/>
      <c r="N2581" s="1"/>
      <c r="O2581" s="1"/>
      <c r="P2581" s="1"/>
      <c r="Q2581" s="1"/>
      <c r="R2581" s="1"/>
      <c r="S2581" s="1"/>
      <c r="T2581" s="1"/>
      <c r="U2581" s="1"/>
      <c r="V2581" s="1"/>
      <c r="W2581" s="1"/>
      <c r="X2581" s="1"/>
      <c r="Y2581" s="1"/>
      <c r="Z2581" s="1"/>
      <c r="AA2581" s="1"/>
      <c r="AB2581" s="1"/>
      <c r="AC2581" s="1"/>
      <c r="AD2581" s="1"/>
      <c r="AE2581" s="1"/>
      <c r="AF2581" s="1"/>
      <c r="AG2581" s="1"/>
      <c r="AH2581" s="1"/>
      <c r="AI2581" s="1"/>
      <c r="AJ2581" s="1"/>
      <c r="AK2581" s="1"/>
      <c r="AL2581" s="1"/>
      <c r="AM2581" s="1"/>
      <c r="AN2581" s="1"/>
      <c r="AO2581" s="1"/>
      <c r="AP2581" s="1"/>
      <c r="AQ2581" s="1"/>
      <c r="AR2581" s="1"/>
      <c r="AS2581" s="1"/>
      <c r="AT2581" s="1"/>
      <c r="AU2581" s="1"/>
      <c r="AV2581" s="1"/>
      <c r="AW2581" s="1"/>
      <c r="AX2581" s="1"/>
      <c r="AY2581" s="1"/>
      <c r="AZ2581" s="1"/>
      <c r="BA2581" s="1"/>
      <c r="BB2581" s="1"/>
      <c r="BC2581" s="1"/>
      <c r="BD2581" s="1"/>
      <c r="BE2581" s="1"/>
      <c r="BF2581" s="1"/>
      <c r="BG2581" s="1"/>
      <c r="BH2581" s="1"/>
      <c r="BI2581" s="1"/>
      <c r="BJ2581" s="1"/>
      <c r="BK2581" s="1"/>
      <c r="BL2581" s="1"/>
      <c r="BM2581" s="1"/>
      <c r="BN2581" s="1"/>
      <c r="BO2581" s="1"/>
      <c r="BP2581" s="1"/>
      <c r="BQ2581" s="1"/>
      <c r="BR2581" s="1"/>
      <c r="BS2581" s="1"/>
      <c r="BT2581" s="1"/>
      <c r="BU2581" s="1"/>
      <c r="BV2581" s="1"/>
      <c r="BW2581" s="1"/>
      <c r="BX2581" s="1"/>
      <c r="BY2581" s="1"/>
      <c r="BZ2581" s="1"/>
      <c r="CA2581" s="1"/>
      <c r="CB2581" s="1"/>
      <c r="CC2581" s="1"/>
      <c r="CD2581" s="1"/>
      <c r="CE2581" s="1"/>
      <c r="CF2581" s="1"/>
      <c r="CG2581" s="1"/>
      <c r="CH2581" s="1"/>
      <c r="CI2581" s="1"/>
      <c r="CJ2581" s="1"/>
      <c r="CK2581" s="1"/>
      <c r="CL2581" s="1"/>
      <c r="CM2581" s="1"/>
      <c r="CN2581" s="1"/>
      <c r="CO2581" s="1"/>
      <c r="CP2581" s="1"/>
      <c r="CQ2581" s="1"/>
      <c r="CR2581" s="1"/>
      <c r="CS2581" s="1"/>
      <c r="CT2581" s="1"/>
      <c r="CU2581" s="1"/>
      <c r="CV2581" s="1"/>
      <c r="CW2581" s="1"/>
      <c r="CX2581" s="1"/>
      <c r="CY2581" s="1"/>
      <c r="CZ2581" s="1"/>
      <c r="DA2581" s="1"/>
      <c r="DB2581" s="1"/>
      <c r="DC2581" s="1"/>
      <c r="DD2581" s="1"/>
      <c r="DE2581" s="1"/>
      <c r="DF2581" s="1"/>
      <c r="DG2581" s="1"/>
      <c r="DH2581" s="1"/>
      <c r="DI2581" s="1"/>
      <c r="DJ2581" s="1"/>
      <c r="DK2581" s="1"/>
      <c r="DL2581" s="1"/>
      <c r="DM2581" s="1"/>
      <c r="DN2581" s="1"/>
      <c r="DO2581" s="1"/>
      <c r="DP2581" s="1"/>
      <c r="DQ2581" s="1"/>
      <c r="DR2581" s="1"/>
      <c r="DS2581" s="1"/>
      <c r="DT2581" s="1"/>
      <c r="DU2581" s="1"/>
      <c r="DV2581" s="1"/>
      <c r="DW2581" s="1"/>
      <c r="DX2581" s="1"/>
      <c r="DY2581" s="1"/>
      <c r="DZ2581" s="1"/>
      <c r="EA2581" s="1"/>
      <c r="EB2581" s="1"/>
      <c r="EC2581" s="1"/>
      <c r="ED2581" s="1"/>
      <c r="EE2581" s="1"/>
      <c r="EF2581" s="1"/>
      <c r="EG2581" s="1"/>
      <c r="EH2581" s="1"/>
      <c r="EI2581" s="1"/>
      <c r="EJ2581" s="1"/>
      <c r="EK2581" s="1"/>
      <c r="EL2581" s="1"/>
      <c r="EM2581" s="1"/>
      <c r="EN2581" s="1"/>
      <c r="EO2581" s="1"/>
      <c r="EP2581" s="1"/>
      <c r="EQ2581" s="1"/>
      <c r="ER2581" s="1"/>
      <c r="ES2581" s="1"/>
      <c r="ET2581" s="1"/>
      <c r="EU2581" s="1"/>
      <c r="EV2581" s="1"/>
      <c r="EW2581" s="1"/>
      <c r="EX2581" s="1"/>
      <c r="EY2581" s="1"/>
      <c r="EZ2581" s="1"/>
      <c r="FA2581" s="1"/>
      <c r="FB2581" s="1"/>
      <c r="FC2581" s="1"/>
      <c r="FD2581" s="1"/>
      <c r="FE2581" s="1"/>
      <c r="FF2581" s="1"/>
      <c r="FG2581" s="1"/>
      <c r="FH2581" s="1"/>
      <c r="FI2581" s="1"/>
      <c r="FJ2581" s="1"/>
      <c r="FK2581" s="1"/>
      <c r="FL2581" s="1"/>
      <c r="FM2581" s="1"/>
      <c r="FN2581" s="1"/>
      <c r="FO2581" s="1"/>
      <c r="FP2581" s="1"/>
      <c r="FQ2581" s="1"/>
      <c r="FR2581" s="1"/>
      <c r="FS2581" s="1"/>
      <c r="FT2581" s="1"/>
      <c r="FU2581" s="1"/>
      <c r="FV2581" s="1"/>
      <c r="FW2581" s="1"/>
      <c r="FX2581" s="1"/>
      <c r="FY2581" s="1"/>
      <c r="FZ2581" s="1"/>
      <c r="GA2581" s="1"/>
      <c r="GB2581" s="1"/>
      <c r="GC2581" s="1"/>
      <c r="GD2581" s="1"/>
      <c r="GE2581" s="1"/>
      <c r="GF2581" s="1"/>
      <c r="GG2581" s="1"/>
      <c r="GH2581" s="1"/>
      <c r="GI2581" s="1"/>
      <c r="GJ2581" s="1"/>
      <c r="GK2581" s="1"/>
      <c r="GL2581" s="1"/>
      <c r="GM2581" s="1"/>
      <c r="GN2581" s="1"/>
      <c r="GO2581" s="1"/>
      <c r="GP2581" s="1"/>
      <c r="GQ2581" s="1"/>
      <c r="GR2581" s="1"/>
      <c r="GS2581" s="1"/>
      <c r="GT2581" s="1"/>
      <c r="GU2581" s="1"/>
      <c r="GV2581" s="1"/>
      <c r="GW2581" s="1"/>
      <c r="GX2581" s="1"/>
      <c r="GY2581" s="1"/>
      <c r="GZ2581" s="1"/>
      <c r="HA2581" s="1"/>
      <c r="HB2581" s="1"/>
      <c r="HC2581" s="1"/>
      <c r="HD2581" s="1"/>
      <c r="HE2581" s="1"/>
      <c r="HF2581" s="1"/>
      <c r="HG2581" s="1"/>
      <c r="HH2581" s="1"/>
      <c r="HI2581" s="1"/>
      <c r="HJ2581" s="1"/>
      <c r="HK2581" s="1"/>
      <c r="HL2581" s="1"/>
      <c r="HM2581" s="1"/>
      <c r="HN2581" s="1"/>
      <c r="HO2581" s="1"/>
      <c r="HP2581" s="1"/>
      <c r="HQ2581" s="1"/>
    </row>
    <row r="2582" spans="1:225" x14ac:dyDescent="0.35">
      <c r="A2582" s="68" t="s">
        <v>30</v>
      </c>
      <c r="B2582" s="69"/>
      <c r="C2582" s="216"/>
      <c r="D2582" s="142">
        <f>D2583+D2590+D2603+D2607+D2611+D2693+D3003+D3007+D3013+D3017+D3039+D3043+D3049+D3053+D3071+D2754</f>
        <v>297860.28000000003</v>
      </c>
      <c r="E2582" s="31"/>
      <c r="F2582" s="31"/>
      <c r="G2582" s="159"/>
      <c r="H2582" s="159"/>
      <c r="I2582" s="158">
        <f>I2583+I2590+I2603+I2607+I2611+I2693+I2754+I3003+I3007+I3013+I3017+I3039+I3043+I3049+I3053+I3071</f>
        <v>798998754.20000005</v>
      </c>
      <c r="J2582" s="158"/>
      <c r="K2582" s="158"/>
      <c r="L2582" s="8"/>
      <c r="M2582" s="8"/>
      <c r="N2582" s="8"/>
      <c r="O2582" s="8"/>
      <c r="P2582" s="8"/>
      <c r="Q2582" s="8"/>
      <c r="R2582" s="8"/>
      <c r="S2582" s="8"/>
      <c r="T2582" s="8"/>
      <c r="U2582" s="8"/>
      <c r="V2582" s="8"/>
      <c r="W2582" s="8"/>
      <c r="X2582" s="1"/>
      <c r="Y2582" s="1"/>
      <c r="Z2582" s="1"/>
      <c r="AA2582" s="1"/>
      <c r="AB2582" s="1"/>
      <c r="AC2582" s="1"/>
      <c r="AD2582" s="1"/>
      <c r="AE2582" s="1"/>
      <c r="AF2582" s="1"/>
      <c r="AG2582" s="1"/>
      <c r="AH2582" s="1"/>
      <c r="AI2582" s="1"/>
      <c r="AJ2582" s="1"/>
      <c r="AK2582" s="1"/>
      <c r="AL2582" s="1"/>
      <c r="AM2582" s="1"/>
      <c r="AN2582" s="1"/>
      <c r="AO2582" s="1"/>
      <c r="AP2582" s="1"/>
      <c r="AQ2582" s="1"/>
      <c r="AR2582" s="1"/>
      <c r="AS2582" s="1"/>
      <c r="AT2582" s="1"/>
      <c r="AU2582" s="1"/>
      <c r="AV2582" s="1"/>
      <c r="AW2582" s="1"/>
      <c r="AX2582" s="1"/>
      <c r="AY2582" s="1"/>
      <c r="AZ2582" s="1"/>
      <c r="BA2582" s="1"/>
      <c r="BB2582" s="1"/>
      <c r="BC2582" s="1"/>
      <c r="BD2582" s="1"/>
      <c r="BE2582" s="1"/>
      <c r="BF2582" s="1"/>
      <c r="BG2582" s="1"/>
      <c r="BH2582" s="1"/>
      <c r="BI2582" s="1"/>
      <c r="BJ2582" s="1"/>
      <c r="BK2582" s="1"/>
      <c r="BL2582" s="1"/>
      <c r="BM2582" s="1"/>
      <c r="BN2582" s="1"/>
      <c r="BO2582" s="1"/>
      <c r="BP2582" s="1"/>
      <c r="BQ2582" s="1"/>
      <c r="BR2582" s="1"/>
      <c r="BS2582" s="1"/>
      <c r="BT2582" s="1"/>
      <c r="BU2582" s="1"/>
      <c r="BV2582" s="1"/>
      <c r="BW2582" s="1"/>
      <c r="BX2582" s="1"/>
      <c r="BY2582" s="1"/>
      <c r="BZ2582" s="1"/>
      <c r="CA2582" s="1"/>
      <c r="CB2582" s="1"/>
      <c r="CC2582" s="1"/>
      <c r="CD2582" s="1"/>
      <c r="CE2582" s="1"/>
      <c r="CF2582" s="1"/>
      <c r="CG2582" s="1"/>
      <c r="CH2582" s="1"/>
      <c r="CI2582" s="1"/>
      <c r="CJ2582" s="1"/>
      <c r="CK2582" s="1"/>
      <c r="CL2582" s="1"/>
      <c r="CM2582" s="1"/>
      <c r="CN2582" s="1"/>
      <c r="CO2582" s="1"/>
      <c r="CP2582" s="1"/>
      <c r="CQ2582" s="1"/>
      <c r="CR2582" s="1"/>
      <c r="CS2582" s="1"/>
      <c r="CT2582" s="1"/>
      <c r="CU2582" s="1"/>
      <c r="CV2582" s="1"/>
      <c r="CW2582" s="1"/>
      <c r="CX2582" s="1"/>
      <c r="CY2582" s="1"/>
      <c r="CZ2582" s="1"/>
      <c r="DA2582" s="1"/>
      <c r="DB2582" s="1"/>
      <c r="DC2582" s="1"/>
      <c r="DD2582" s="1"/>
      <c r="DE2582" s="1"/>
      <c r="DF2582" s="1"/>
      <c r="DG2582" s="1"/>
      <c r="DH2582" s="1"/>
      <c r="DI2582" s="1"/>
      <c r="DJ2582" s="1"/>
      <c r="DK2582" s="1"/>
      <c r="DL2582" s="1"/>
      <c r="DM2582" s="1"/>
      <c r="DN2582" s="1"/>
      <c r="DO2582" s="1"/>
      <c r="DP2582" s="1"/>
      <c r="DQ2582" s="1"/>
      <c r="DR2582" s="1"/>
      <c r="DS2582" s="1"/>
      <c r="DT2582" s="1"/>
      <c r="DU2582" s="1"/>
      <c r="DV2582" s="1"/>
      <c r="DW2582" s="1"/>
      <c r="DX2582" s="1"/>
      <c r="DY2582" s="1"/>
      <c r="DZ2582" s="1"/>
      <c r="EA2582" s="1"/>
      <c r="EB2582" s="1"/>
      <c r="EC2582" s="1"/>
      <c r="ED2582" s="1"/>
      <c r="EE2582" s="1"/>
      <c r="EF2582" s="1"/>
      <c r="EG2582" s="1"/>
      <c r="EH2582" s="1"/>
      <c r="EI2582" s="1"/>
      <c r="EJ2582" s="1"/>
      <c r="EK2582" s="1"/>
      <c r="EL2582" s="1"/>
      <c r="EM2582" s="1"/>
      <c r="EN2582" s="1"/>
      <c r="EO2582" s="1"/>
      <c r="EP2582" s="1"/>
      <c r="EQ2582" s="1"/>
      <c r="ER2582" s="1"/>
      <c r="ES2582" s="1"/>
      <c r="ET2582" s="1"/>
      <c r="EU2582" s="1"/>
      <c r="EV2582" s="1"/>
      <c r="EW2582" s="1"/>
      <c r="EX2582" s="1"/>
      <c r="EY2582" s="1"/>
      <c r="EZ2582" s="1"/>
      <c r="FA2582" s="1"/>
      <c r="FB2582" s="1"/>
      <c r="FC2582" s="1"/>
      <c r="FD2582" s="1"/>
      <c r="FE2582" s="1"/>
      <c r="FF2582" s="1"/>
      <c r="FG2582" s="1"/>
      <c r="FH2582" s="1"/>
      <c r="FI2582" s="1"/>
      <c r="FJ2582" s="1"/>
      <c r="FK2582" s="1"/>
      <c r="FL2582" s="1"/>
      <c r="FM2582" s="1"/>
      <c r="FN2582" s="1"/>
      <c r="FO2582" s="1"/>
      <c r="FP2582" s="1"/>
      <c r="FQ2582" s="1"/>
      <c r="FR2582" s="1"/>
      <c r="FS2582" s="1"/>
      <c r="FT2582" s="1"/>
      <c r="FU2582" s="1"/>
      <c r="FV2582" s="1"/>
      <c r="FW2582" s="1"/>
      <c r="FX2582" s="1"/>
      <c r="FY2582" s="1"/>
      <c r="FZ2582" s="1"/>
      <c r="GA2582" s="1"/>
      <c r="GB2582" s="1"/>
      <c r="GC2582" s="1"/>
      <c r="GD2582" s="1"/>
      <c r="GE2582" s="1"/>
      <c r="GF2582" s="1"/>
      <c r="GG2582" s="1"/>
      <c r="GH2582" s="1"/>
      <c r="GI2582" s="1"/>
      <c r="GJ2582" s="1"/>
      <c r="GK2582" s="1"/>
      <c r="GL2582" s="1"/>
      <c r="GM2582" s="1"/>
      <c r="GN2582" s="1"/>
      <c r="GO2582" s="1"/>
      <c r="GP2582" s="1"/>
      <c r="GQ2582" s="1"/>
      <c r="GR2582" s="1"/>
      <c r="GS2582" s="1"/>
      <c r="GT2582" s="1"/>
      <c r="GU2582" s="1"/>
      <c r="GV2582" s="1"/>
      <c r="GW2582" s="1"/>
      <c r="GX2582" s="1"/>
      <c r="GY2582" s="1"/>
      <c r="GZ2582" s="1"/>
      <c r="HA2582" s="1"/>
      <c r="HB2582" s="1"/>
      <c r="HC2582" s="1"/>
      <c r="HD2582" s="1"/>
      <c r="HE2582" s="1"/>
      <c r="HF2582" s="1"/>
      <c r="HG2582" s="1"/>
      <c r="HH2582" s="1"/>
      <c r="HI2582" s="1"/>
      <c r="HJ2582" s="1"/>
      <c r="HK2582" s="1"/>
      <c r="HL2582" s="1"/>
      <c r="HM2582" s="1"/>
      <c r="HN2582" s="1"/>
      <c r="HO2582" s="1"/>
    </row>
    <row r="2583" spans="1:225" ht="15.75" customHeight="1" x14ac:dyDescent="0.35">
      <c r="A2583" s="215" t="s">
        <v>16</v>
      </c>
      <c r="B2583" s="207"/>
      <c r="C2583" s="152"/>
      <c r="D2583" s="125">
        <f>D2584+D2587</f>
        <v>735.2</v>
      </c>
      <c r="E2583" s="125"/>
      <c r="F2583" s="125"/>
      <c r="G2583" s="123"/>
      <c r="H2583" s="157"/>
      <c r="I2583" s="158">
        <f>I2584+I2587</f>
        <v>5133265.5999999996</v>
      </c>
      <c r="J2583" s="157"/>
      <c r="K2583" s="157"/>
      <c r="L2583" s="8"/>
      <c r="M2583" s="8"/>
      <c r="N2583" s="8"/>
      <c r="O2583" s="8"/>
      <c r="P2583" s="8"/>
      <c r="Q2583" s="8"/>
      <c r="R2583" s="8"/>
      <c r="S2583" s="8"/>
      <c r="T2583" s="8"/>
      <c r="U2583" s="8"/>
      <c r="V2583" s="8"/>
      <c r="W2583" s="8"/>
      <c r="X2583" s="1"/>
      <c r="Y2583" s="1"/>
      <c r="Z2583" s="1"/>
      <c r="AA2583" s="1"/>
      <c r="AB2583" s="1"/>
      <c r="AC2583" s="1"/>
      <c r="AD2583" s="1"/>
      <c r="AE2583" s="1"/>
      <c r="AF2583" s="1"/>
      <c r="AG2583" s="1"/>
      <c r="AH2583" s="1"/>
      <c r="AI2583" s="1"/>
      <c r="AJ2583" s="1"/>
      <c r="AK2583" s="1"/>
      <c r="AL2583" s="1"/>
      <c r="AM2583" s="1"/>
      <c r="AN2583" s="1"/>
      <c r="AO2583" s="1"/>
      <c r="AP2583" s="1"/>
      <c r="AQ2583" s="1"/>
      <c r="AR2583" s="1"/>
      <c r="AS2583" s="1"/>
      <c r="AT2583" s="1"/>
      <c r="AU2583" s="1"/>
      <c r="AV2583" s="1"/>
      <c r="AW2583" s="1"/>
      <c r="AX2583" s="1"/>
      <c r="AY2583" s="1"/>
      <c r="AZ2583" s="1"/>
      <c r="BA2583" s="1"/>
      <c r="BB2583" s="1"/>
      <c r="BC2583" s="1"/>
      <c r="BD2583" s="1"/>
      <c r="BE2583" s="1"/>
      <c r="BF2583" s="1"/>
      <c r="BG2583" s="1"/>
      <c r="BH2583" s="1"/>
      <c r="BI2583" s="1"/>
      <c r="BJ2583" s="1"/>
      <c r="BK2583" s="1"/>
      <c r="BL2583" s="1"/>
      <c r="BM2583" s="1"/>
      <c r="BN2583" s="1"/>
      <c r="BO2583" s="1"/>
      <c r="BP2583" s="1"/>
      <c r="BQ2583" s="1"/>
      <c r="BR2583" s="1"/>
      <c r="BS2583" s="1"/>
      <c r="BT2583" s="1"/>
      <c r="BU2583" s="1"/>
      <c r="BV2583" s="1"/>
      <c r="BW2583" s="1"/>
      <c r="BX2583" s="1"/>
      <c r="BY2583" s="1"/>
      <c r="BZ2583" s="1"/>
      <c r="CA2583" s="1"/>
      <c r="CB2583" s="1"/>
      <c r="CC2583" s="1"/>
      <c r="CD2583" s="1"/>
      <c r="CE2583" s="1"/>
      <c r="CF2583" s="1"/>
      <c r="CG2583" s="1"/>
      <c r="CH2583" s="1"/>
      <c r="CI2583" s="1"/>
      <c r="CJ2583" s="1"/>
      <c r="CK2583" s="1"/>
      <c r="CL2583" s="1"/>
      <c r="CM2583" s="1"/>
      <c r="CN2583" s="1"/>
      <c r="CO2583" s="1"/>
      <c r="CP2583" s="1"/>
      <c r="CQ2583" s="1"/>
      <c r="CR2583" s="1"/>
      <c r="CS2583" s="1"/>
      <c r="CT2583" s="1"/>
      <c r="CU2583" s="1"/>
      <c r="CV2583" s="1"/>
      <c r="CW2583" s="1"/>
      <c r="CX2583" s="1"/>
      <c r="CY2583" s="1"/>
      <c r="CZ2583" s="1"/>
      <c r="DA2583" s="1"/>
      <c r="DB2583" s="1"/>
      <c r="DC2583" s="1"/>
      <c r="DD2583" s="1"/>
      <c r="DE2583" s="1"/>
      <c r="DF2583" s="1"/>
      <c r="DG2583" s="1"/>
      <c r="DH2583" s="1"/>
      <c r="DI2583" s="1"/>
      <c r="DJ2583" s="1"/>
      <c r="DK2583" s="1"/>
      <c r="DL2583" s="1"/>
      <c r="DM2583" s="1"/>
      <c r="DN2583" s="1"/>
      <c r="DO2583" s="1"/>
      <c r="DP2583" s="1"/>
      <c r="DQ2583" s="1"/>
      <c r="DR2583" s="1"/>
      <c r="DS2583" s="1"/>
      <c r="DT2583" s="1"/>
      <c r="DU2583" s="1"/>
      <c r="DV2583" s="1"/>
      <c r="DW2583" s="1"/>
      <c r="DX2583" s="1"/>
      <c r="DY2583" s="1"/>
      <c r="DZ2583" s="1"/>
      <c r="EA2583" s="1"/>
      <c r="EB2583" s="1"/>
      <c r="EC2583" s="1"/>
      <c r="ED2583" s="1"/>
      <c r="EE2583" s="1"/>
      <c r="EF2583" s="1"/>
      <c r="EG2583" s="1"/>
      <c r="EH2583" s="1"/>
      <c r="EI2583" s="1"/>
      <c r="EJ2583" s="1"/>
      <c r="EK2583" s="1"/>
      <c r="EL2583" s="1"/>
      <c r="EM2583" s="1"/>
      <c r="EN2583" s="1"/>
      <c r="EO2583" s="1"/>
      <c r="EP2583" s="1"/>
      <c r="EQ2583" s="1"/>
      <c r="ER2583" s="1"/>
      <c r="ES2583" s="1"/>
      <c r="ET2583" s="1"/>
      <c r="EU2583" s="1"/>
      <c r="EV2583" s="1"/>
      <c r="EW2583" s="1"/>
      <c r="EX2583" s="1"/>
      <c r="EY2583" s="1"/>
      <c r="EZ2583" s="1"/>
      <c r="FA2583" s="1"/>
      <c r="FB2583" s="1"/>
      <c r="FC2583" s="1"/>
      <c r="FD2583" s="1"/>
      <c r="FE2583" s="1"/>
      <c r="FF2583" s="1"/>
      <c r="FG2583" s="1"/>
      <c r="FH2583" s="1"/>
      <c r="FI2583" s="1"/>
      <c r="FJ2583" s="1"/>
      <c r="FK2583" s="1"/>
      <c r="FL2583" s="1"/>
      <c r="FM2583" s="1"/>
      <c r="FN2583" s="1"/>
      <c r="FO2583" s="1"/>
      <c r="FP2583" s="1"/>
      <c r="FQ2583" s="1"/>
      <c r="FR2583" s="1"/>
      <c r="FS2583" s="1"/>
      <c r="FT2583" s="1"/>
      <c r="FU2583" s="1"/>
      <c r="FV2583" s="1"/>
      <c r="FW2583" s="1"/>
      <c r="FX2583" s="1"/>
      <c r="FY2583" s="1"/>
      <c r="FZ2583" s="1"/>
      <c r="GA2583" s="1"/>
      <c r="GB2583" s="1"/>
      <c r="GC2583" s="1"/>
      <c r="GD2583" s="1"/>
      <c r="GE2583" s="1"/>
      <c r="GF2583" s="1"/>
      <c r="GG2583" s="1"/>
      <c r="GH2583" s="1"/>
      <c r="GI2583" s="1"/>
      <c r="GJ2583" s="1"/>
      <c r="GK2583" s="1"/>
      <c r="GL2583" s="1"/>
      <c r="GM2583" s="1"/>
      <c r="GN2583" s="1"/>
      <c r="GO2583" s="1"/>
      <c r="GP2583" s="1"/>
      <c r="GQ2583" s="1"/>
      <c r="GR2583" s="1"/>
      <c r="GS2583" s="1"/>
      <c r="GT2583" s="1"/>
      <c r="GU2583" s="1"/>
      <c r="GV2583" s="1"/>
      <c r="GW2583" s="1"/>
      <c r="GX2583" s="1"/>
      <c r="GY2583" s="1"/>
      <c r="GZ2583" s="1"/>
      <c r="HA2583" s="1"/>
      <c r="HB2583" s="1"/>
      <c r="HC2583" s="1"/>
      <c r="HD2583" s="1"/>
      <c r="HE2583" s="1"/>
      <c r="HF2583" s="1"/>
      <c r="HG2583" s="1"/>
      <c r="HH2583" s="1"/>
      <c r="HI2583" s="1"/>
      <c r="HJ2583" s="1"/>
      <c r="HK2583" s="1"/>
      <c r="HL2583" s="1"/>
      <c r="HM2583" s="1"/>
      <c r="HN2583" s="1"/>
      <c r="HO2583" s="1"/>
    </row>
    <row r="2584" spans="1:225" ht="15.75" customHeight="1" x14ac:dyDescent="0.35">
      <c r="A2584" s="256">
        <v>1</v>
      </c>
      <c r="B2584" s="328">
        <v>4692</v>
      </c>
      <c r="C2584" s="259" t="s">
        <v>481</v>
      </c>
      <c r="D2584" s="262">
        <v>237.2</v>
      </c>
      <c r="E2584" s="262" t="s">
        <v>75</v>
      </c>
      <c r="F2584" s="265">
        <v>2</v>
      </c>
      <c r="G2584" s="256" t="s">
        <v>82</v>
      </c>
      <c r="H2584" s="159" t="s">
        <v>73</v>
      </c>
      <c r="I2584" s="158">
        <f>SUM(I2585:I2586)</f>
        <v>1378843.6</v>
      </c>
      <c r="J2584" s="158">
        <f>SUM(J2585:J2586)</f>
        <v>5813</v>
      </c>
      <c r="K2584" s="158">
        <f>SUM(K2585:K2586)</f>
        <v>5813</v>
      </c>
      <c r="L2584" s="8"/>
      <c r="M2584" s="8"/>
      <c r="N2584" s="8"/>
      <c r="O2584" s="8"/>
      <c r="P2584" s="8"/>
      <c r="Q2584" s="8"/>
      <c r="R2584" s="8"/>
      <c r="S2584" s="8"/>
      <c r="T2584" s="8"/>
      <c r="U2584" s="8"/>
      <c r="V2584" s="8"/>
      <c r="W2584" s="8"/>
      <c r="X2584" s="1"/>
      <c r="Y2584" s="1"/>
      <c r="Z2584" s="1"/>
      <c r="AA2584" s="1"/>
      <c r="AB2584" s="1"/>
      <c r="AC2584" s="1"/>
      <c r="AD2584" s="1"/>
      <c r="AE2584" s="1"/>
      <c r="AF2584" s="1"/>
      <c r="AG2584" s="1"/>
      <c r="AH2584" s="1"/>
      <c r="AI2584" s="1"/>
      <c r="AJ2584" s="1"/>
      <c r="AK2584" s="1"/>
      <c r="AL2584" s="1"/>
      <c r="AM2584" s="1"/>
      <c r="AN2584" s="1"/>
      <c r="AO2584" s="1"/>
      <c r="AP2584" s="1"/>
      <c r="AQ2584" s="1"/>
      <c r="AR2584" s="1"/>
      <c r="AS2584" s="1"/>
      <c r="AT2584" s="1"/>
      <c r="AU2584" s="1"/>
      <c r="AV2584" s="1"/>
      <c r="AW2584" s="1"/>
      <c r="AX2584" s="1"/>
      <c r="AY2584" s="1"/>
      <c r="AZ2584" s="1"/>
      <c r="BA2584" s="1"/>
      <c r="BB2584" s="1"/>
      <c r="BC2584" s="1"/>
      <c r="BD2584" s="1"/>
      <c r="BE2584" s="1"/>
      <c r="BF2584" s="1"/>
      <c r="BG2584" s="1"/>
      <c r="BH2584" s="1"/>
      <c r="BI2584" s="1"/>
      <c r="BJ2584" s="1"/>
      <c r="BK2584" s="1"/>
      <c r="BL2584" s="1"/>
      <c r="BM2584" s="1"/>
      <c r="BN2584" s="1"/>
      <c r="BO2584" s="1"/>
      <c r="BP2584" s="1"/>
      <c r="BQ2584" s="1"/>
      <c r="BR2584" s="1"/>
      <c r="BS2584" s="1"/>
      <c r="BT2584" s="1"/>
      <c r="BU2584" s="1"/>
      <c r="BV2584" s="1"/>
      <c r="BW2584" s="1"/>
      <c r="BX2584" s="1"/>
      <c r="BY2584" s="1"/>
      <c r="BZ2584" s="1"/>
      <c r="CA2584" s="1"/>
      <c r="CB2584" s="1"/>
      <c r="CC2584" s="1"/>
      <c r="CD2584" s="1"/>
      <c r="CE2584" s="1"/>
      <c r="CF2584" s="1"/>
      <c r="CG2584" s="1"/>
      <c r="CH2584" s="1"/>
      <c r="CI2584" s="1"/>
      <c r="CJ2584" s="1"/>
      <c r="CK2584" s="1"/>
      <c r="CL2584" s="1"/>
      <c r="CM2584" s="1"/>
      <c r="CN2584" s="1"/>
      <c r="CO2584" s="1"/>
      <c r="CP2584" s="1"/>
      <c r="CQ2584" s="1"/>
      <c r="CR2584" s="1"/>
      <c r="CS2584" s="1"/>
      <c r="CT2584" s="1"/>
      <c r="CU2584" s="1"/>
      <c r="CV2584" s="1"/>
      <c r="CW2584" s="1"/>
      <c r="CX2584" s="1"/>
      <c r="CY2584" s="1"/>
      <c r="CZ2584" s="1"/>
      <c r="DA2584" s="1"/>
      <c r="DB2584" s="1"/>
      <c r="DC2584" s="1"/>
      <c r="DD2584" s="1"/>
      <c r="DE2584" s="1"/>
      <c r="DF2584" s="1"/>
      <c r="DG2584" s="1"/>
      <c r="DH2584" s="1"/>
      <c r="DI2584" s="1"/>
      <c r="DJ2584" s="1"/>
      <c r="DK2584" s="1"/>
      <c r="DL2584" s="1"/>
      <c r="DM2584" s="1"/>
      <c r="DN2584" s="1"/>
      <c r="DO2584" s="1"/>
      <c r="DP2584" s="1"/>
      <c r="DQ2584" s="1"/>
      <c r="DR2584" s="1"/>
      <c r="DS2584" s="1"/>
      <c r="DT2584" s="1"/>
      <c r="DU2584" s="1"/>
      <c r="DV2584" s="1"/>
      <c r="DW2584" s="1"/>
      <c r="DX2584" s="1"/>
      <c r="DY2584" s="1"/>
      <c r="DZ2584" s="1"/>
      <c r="EA2584" s="1"/>
      <c r="EB2584" s="1"/>
      <c r="EC2584" s="1"/>
      <c r="ED2584" s="1"/>
      <c r="EE2584" s="1"/>
      <c r="EF2584" s="1"/>
      <c r="EG2584" s="1"/>
      <c r="EH2584" s="1"/>
      <c r="EI2584" s="1"/>
      <c r="EJ2584" s="1"/>
      <c r="EK2584" s="1"/>
      <c r="EL2584" s="1"/>
      <c r="EM2584" s="1"/>
      <c r="EN2584" s="1"/>
      <c r="EO2584" s="1"/>
      <c r="EP2584" s="1"/>
      <c r="EQ2584" s="1"/>
      <c r="ER2584" s="1"/>
      <c r="ES2584" s="1"/>
      <c r="ET2584" s="1"/>
      <c r="EU2584" s="1"/>
      <c r="EV2584" s="1"/>
      <c r="EW2584" s="1"/>
      <c r="EX2584" s="1"/>
      <c r="EY2584" s="1"/>
      <c r="EZ2584" s="1"/>
      <c r="FA2584" s="1"/>
      <c r="FB2584" s="1"/>
      <c r="FC2584" s="1"/>
      <c r="FD2584" s="1"/>
      <c r="FE2584" s="1"/>
      <c r="FF2584" s="1"/>
      <c r="FG2584" s="1"/>
      <c r="FH2584" s="1"/>
      <c r="FI2584" s="1"/>
      <c r="FJ2584" s="1"/>
      <c r="FK2584" s="1"/>
      <c r="FL2584" s="1"/>
      <c r="FM2584" s="1"/>
      <c r="FN2584" s="1"/>
      <c r="FO2584" s="1"/>
      <c r="FP2584" s="1"/>
      <c r="FQ2584" s="1"/>
      <c r="FR2584" s="1"/>
      <c r="FS2584" s="1"/>
      <c r="FT2584" s="1"/>
      <c r="FU2584" s="1"/>
      <c r="FV2584" s="1"/>
      <c r="FW2584" s="1"/>
      <c r="FX2584" s="1"/>
      <c r="FY2584" s="1"/>
      <c r="FZ2584" s="1"/>
      <c r="GA2584" s="1"/>
      <c r="GB2584" s="1"/>
      <c r="GC2584" s="1"/>
      <c r="GD2584" s="1"/>
      <c r="GE2584" s="1"/>
      <c r="GF2584" s="1"/>
      <c r="GG2584" s="1"/>
      <c r="GH2584" s="1"/>
      <c r="GI2584" s="1"/>
      <c r="GJ2584" s="1"/>
      <c r="GK2584" s="1"/>
      <c r="GL2584" s="1"/>
      <c r="GM2584" s="1"/>
      <c r="GN2584" s="1"/>
      <c r="GO2584" s="1"/>
      <c r="GP2584" s="1"/>
      <c r="GQ2584" s="1"/>
      <c r="GR2584" s="1"/>
      <c r="GS2584" s="1"/>
      <c r="GT2584" s="1"/>
      <c r="GU2584" s="1"/>
      <c r="GV2584" s="1"/>
      <c r="GW2584" s="1"/>
      <c r="GX2584" s="1"/>
      <c r="GY2584" s="1"/>
      <c r="GZ2584" s="1"/>
      <c r="HA2584" s="1"/>
      <c r="HB2584" s="1"/>
      <c r="HC2584" s="1"/>
      <c r="HD2584" s="1"/>
      <c r="HE2584" s="1"/>
      <c r="HF2584" s="1"/>
      <c r="HG2584" s="1"/>
      <c r="HH2584" s="1"/>
      <c r="HI2584" s="1"/>
      <c r="HJ2584" s="1"/>
      <c r="HK2584" s="1"/>
      <c r="HL2584" s="1"/>
      <c r="HM2584" s="1"/>
      <c r="HN2584" s="1"/>
      <c r="HO2584" s="1"/>
    </row>
    <row r="2585" spans="1:225" x14ac:dyDescent="0.35">
      <c r="A2585" s="257"/>
      <c r="B2585" s="328"/>
      <c r="C2585" s="260"/>
      <c r="D2585" s="263"/>
      <c r="E2585" s="263"/>
      <c r="F2585" s="266"/>
      <c r="G2585" s="257"/>
      <c r="H2585" s="159" t="s">
        <v>667</v>
      </c>
      <c r="I2585" s="158">
        <f>K2585*D2584</f>
        <v>1349905.2</v>
      </c>
      <c r="J2585" s="158">
        <f>I2585/D2584</f>
        <v>5691</v>
      </c>
      <c r="K2585" s="158">
        <v>5691</v>
      </c>
      <c r="L2585" s="8"/>
      <c r="M2585" s="8"/>
      <c r="N2585" s="8"/>
      <c r="O2585" s="8"/>
      <c r="P2585" s="8"/>
      <c r="Q2585" s="8"/>
      <c r="R2585" s="8"/>
      <c r="S2585" s="8"/>
      <c r="T2585" s="8"/>
      <c r="U2585" s="8"/>
      <c r="V2585" s="8"/>
      <c r="W2585" s="8"/>
      <c r="X2585" s="1"/>
      <c r="Y2585" s="1"/>
      <c r="Z2585" s="1"/>
      <c r="AA2585" s="1"/>
      <c r="AB2585" s="1"/>
      <c r="AC2585" s="1"/>
      <c r="AD2585" s="1"/>
      <c r="AE2585" s="1"/>
      <c r="AF2585" s="1"/>
      <c r="AG2585" s="1"/>
      <c r="AH2585" s="1"/>
      <c r="AI2585" s="1"/>
      <c r="AJ2585" s="1"/>
      <c r="AK2585" s="1"/>
      <c r="AL2585" s="1"/>
      <c r="AM2585" s="1"/>
      <c r="AN2585" s="1"/>
      <c r="AO2585" s="1"/>
      <c r="AP2585" s="1"/>
      <c r="AQ2585" s="1"/>
      <c r="AR2585" s="1"/>
      <c r="AS2585" s="1"/>
      <c r="AT2585" s="1"/>
      <c r="AU2585" s="1"/>
      <c r="AV2585" s="1"/>
      <c r="AW2585" s="1"/>
      <c r="AX2585" s="1"/>
      <c r="AY2585" s="1"/>
      <c r="AZ2585" s="1"/>
      <c r="BA2585" s="1"/>
      <c r="BB2585" s="1"/>
      <c r="BC2585" s="1"/>
      <c r="BD2585" s="1"/>
      <c r="BE2585" s="1"/>
      <c r="BF2585" s="1"/>
      <c r="BG2585" s="1"/>
      <c r="BH2585" s="1"/>
      <c r="BI2585" s="1"/>
      <c r="BJ2585" s="1"/>
      <c r="BK2585" s="1"/>
      <c r="BL2585" s="1"/>
      <c r="BM2585" s="1"/>
      <c r="BN2585" s="1"/>
      <c r="BO2585" s="1"/>
      <c r="BP2585" s="1"/>
      <c r="BQ2585" s="1"/>
      <c r="BR2585" s="1"/>
      <c r="BS2585" s="1"/>
      <c r="BT2585" s="1"/>
      <c r="BU2585" s="1"/>
      <c r="BV2585" s="1"/>
      <c r="BW2585" s="1"/>
      <c r="BX2585" s="1"/>
      <c r="BY2585" s="1"/>
      <c r="BZ2585" s="1"/>
      <c r="CA2585" s="1"/>
      <c r="CB2585" s="1"/>
      <c r="CC2585" s="1"/>
      <c r="CD2585" s="1"/>
      <c r="CE2585" s="1"/>
      <c r="CF2585" s="1"/>
      <c r="CG2585" s="1"/>
      <c r="CH2585" s="1"/>
      <c r="CI2585" s="1"/>
      <c r="CJ2585" s="1"/>
      <c r="CK2585" s="1"/>
      <c r="CL2585" s="1"/>
      <c r="CM2585" s="1"/>
      <c r="CN2585" s="1"/>
      <c r="CO2585" s="1"/>
      <c r="CP2585" s="1"/>
      <c r="CQ2585" s="1"/>
      <c r="CR2585" s="1"/>
      <c r="CS2585" s="1"/>
      <c r="CT2585" s="1"/>
      <c r="CU2585" s="1"/>
      <c r="CV2585" s="1"/>
      <c r="CW2585" s="1"/>
      <c r="CX2585" s="1"/>
      <c r="CY2585" s="1"/>
      <c r="CZ2585" s="1"/>
      <c r="DA2585" s="1"/>
      <c r="DB2585" s="1"/>
      <c r="DC2585" s="1"/>
      <c r="DD2585" s="1"/>
      <c r="DE2585" s="1"/>
      <c r="DF2585" s="1"/>
      <c r="DG2585" s="1"/>
      <c r="DH2585" s="1"/>
      <c r="DI2585" s="1"/>
      <c r="DJ2585" s="1"/>
      <c r="DK2585" s="1"/>
      <c r="DL2585" s="1"/>
      <c r="DM2585" s="1"/>
      <c r="DN2585" s="1"/>
      <c r="DO2585" s="1"/>
      <c r="DP2585" s="1"/>
      <c r="DQ2585" s="1"/>
      <c r="DR2585" s="1"/>
      <c r="DS2585" s="1"/>
      <c r="DT2585" s="1"/>
      <c r="DU2585" s="1"/>
      <c r="DV2585" s="1"/>
      <c r="DW2585" s="1"/>
      <c r="DX2585" s="1"/>
      <c r="DY2585" s="1"/>
      <c r="DZ2585" s="1"/>
      <c r="EA2585" s="1"/>
      <c r="EB2585" s="1"/>
      <c r="EC2585" s="1"/>
      <c r="ED2585" s="1"/>
      <c r="EE2585" s="1"/>
      <c r="EF2585" s="1"/>
      <c r="EG2585" s="1"/>
      <c r="EH2585" s="1"/>
      <c r="EI2585" s="1"/>
      <c r="EJ2585" s="1"/>
      <c r="EK2585" s="1"/>
      <c r="EL2585" s="1"/>
      <c r="EM2585" s="1"/>
      <c r="EN2585" s="1"/>
      <c r="EO2585" s="1"/>
      <c r="EP2585" s="1"/>
      <c r="EQ2585" s="1"/>
      <c r="ER2585" s="1"/>
      <c r="ES2585" s="1"/>
      <c r="ET2585" s="1"/>
      <c r="EU2585" s="1"/>
      <c r="EV2585" s="1"/>
      <c r="EW2585" s="1"/>
      <c r="EX2585" s="1"/>
      <c r="EY2585" s="1"/>
      <c r="EZ2585" s="1"/>
      <c r="FA2585" s="1"/>
      <c r="FB2585" s="1"/>
      <c r="FC2585" s="1"/>
      <c r="FD2585" s="1"/>
      <c r="FE2585" s="1"/>
      <c r="FF2585" s="1"/>
      <c r="FG2585" s="1"/>
      <c r="FH2585" s="1"/>
      <c r="FI2585" s="1"/>
      <c r="FJ2585" s="1"/>
      <c r="FK2585" s="1"/>
      <c r="FL2585" s="1"/>
      <c r="FM2585" s="1"/>
      <c r="FN2585" s="1"/>
      <c r="FO2585" s="1"/>
      <c r="FP2585" s="1"/>
      <c r="FQ2585" s="1"/>
      <c r="FR2585" s="1"/>
      <c r="FS2585" s="1"/>
      <c r="FT2585" s="1"/>
      <c r="FU2585" s="1"/>
      <c r="FV2585" s="1"/>
      <c r="FW2585" s="1"/>
      <c r="FX2585" s="1"/>
      <c r="FY2585" s="1"/>
      <c r="FZ2585" s="1"/>
      <c r="GA2585" s="1"/>
      <c r="GB2585" s="1"/>
      <c r="GC2585" s="1"/>
      <c r="GD2585" s="1"/>
      <c r="GE2585" s="1"/>
      <c r="GF2585" s="1"/>
      <c r="GG2585" s="1"/>
      <c r="GH2585" s="1"/>
      <c r="GI2585" s="1"/>
      <c r="GJ2585" s="1"/>
      <c r="GK2585" s="1"/>
      <c r="GL2585" s="1"/>
      <c r="GM2585" s="1"/>
      <c r="GN2585" s="1"/>
      <c r="GO2585" s="1"/>
      <c r="GP2585" s="1"/>
      <c r="GQ2585" s="1"/>
      <c r="GR2585" s="1"/>
      <c r="GS2585" s="1"/>
      <c r="GT2585" s="1"/>
      <c r="GU2585" s="1"/>
      <c r="GV2585" s="1"/>
      <c r="GW2585" s="1"/>
      <c r="GX2585" s="1"/>
      <c r="GY2585" s="1"/>
      <c r="GZ2585" s="1"/>
      <c r="HA2585" s="1"/>
      <c r="HB2585" s="1"/>
      <c r="HC2585" s="1"/>
      <c r="HD2585" s="1"/>
      <c r="HE2585" s="1"/>
      <c r="HF2585" s="1"/>
      <c r="HG2585" s="1"/>
      <c r="HH2585" s="1"/>
      <c r="HI2585" s="1"/>
      <c r="HJ2585" s="1"/>
      <c r="HK2585" s="1"/>
      <c r="HL2585" s="1"/>
      <c r="HM2585" s="1"/>
      <c r="HN2585" s="1"/>
      <c r="HO2585" s="1"/>
    </row>
    <row r="2586" spans="1:225" x14ac:dyDescent="0.35">
      <c r="A2586" s="258"/>
      <c r="B2586" s="328"/>
      <c r="C2586" s="261"/>
      <c r="D2586" s="264"/>
      <c r="E2586" s="264"/>
      <c r="F2586" s="267"/>
      <c r="G2586" s="258"/>
      <c r="H2586" s="159" t="s">
        <v>76</v>
      </c>
      <c r="I2586" s="158">
        <f>K2586*D2584</f>
        <v>28938.400000000001</v>
      </c>
      <c r="J2586" s="158">
        <f>I2586/D2584</f>
        <v>122</v>
      </c>
      <c r="K2586" s="158">
        <v>122</v>
      </c>
      <c r="L2586" s="8"/>
      <c r="M2586" s="8"/>
      <c r="N2586" s="8"/>
      <c r="O2586" s="8"/>
      <c r="P2586" s="8"/>
      <c r="Q2586" s="8"/>
      <c r="R2586" s="8"/>
      <c r="S2586" s="8"/>
      <c r="T2586" s="8"/>
      <c r="U2586" s="8"/>
      <c r="V2586" s="8"/>
      <c r="W2586" s="8"/>
      <c r="X2586" s="1"/>
      <c r="Y2586" s="1"/>
      <c r="Z2586" s="1"/>
      <c r="AA2586" s="1"/>
      <c r="AB2586" s="1"/>
      <c r="AC2586" s="1"/>
      <c r="AD2586" s="1"/>
      <c r="AE2586" s="1"/>
      <c r="AF2586" s="1"/>
      <c r="AG2586" s="1"/>
      <c r="AH2586" s="1"/>
      <c r="AI2586" s="1"/>
      <c r="AJ2586" s="1"/>
      <c r="AK2586" s="1"/>
      <c r="AL2586" s="1"/>
      <c r="AM2586" s="1"/>
      <c r="AN2586" s="1"/>
      <c r="AO2586" s="1"/>
      <c r="AP2586" s="1"/>
      <c r="AQ2586" s="1"/>
      <c r="AR2586" s="1"/>
      <c r="AS2586" s="1"/>
      <c r="AT2586" s="1"/>
      <c r="AU2586" s="1"/>
      <c r="AV2586" s="1"/>
      <c r="AW2586" s="1"/>
      <c r="AX2586" s="1"/>
      <c r="AY2586" s="1"/>
      <c r="AZ2586" s="1"/>
      <c r="BA2586" s="1"/>
      <c r="BB2586" s="1"/>
      <c r="BC2586" s="1"/>
      <c r="BD2586" s="1"/>
      <c r="BE2586" s="1"/>
      <c r="BF2586" s="1"/>
      <c r="BG2586" s="1"/>
      <c r="BH2586" s="1"/>
      <c r="BI2586" s="1"/>
      <c r="BJ2586" s="1"/>
      <c r="BK2586" s="1"/>
      <c r="BL2586" s="1"/>
      <c r="BM2586" s="1"/>
      <c r="BN2586" s="1"/>
      <c r="BO2586" s="1"/>
      <c r="BP2586" s="1"/>
      <c r="BQ2586" s="1"/>
      <c r="BR2586" s="1"/>
      <c r="BS2586" s="1"/>
      <c r="BT2586" s="1"/>
      <c r="BU2586" s="1"/>
      <c r="BV2586" s="1"/>
      <c r="BW2586" s="1"/>
      <c r="BX2586" s="1"/>
      <c r="BY2586" s="1"/>
      <c r="BZ2586" s="1"/>
      <c r="CA2586" s="1"/>
      <c r="CB2586" s="1"/>
      <c r="CC2586" s="1"/>
      <c r="CD2586" s="1"/>
      <c r="CE2586" s="1"/>
      <c r="CF2586" s="1"/>
      <c r="CG2586" s="1"/>
      <c r="CH2586" s="1"/>
      <c r="CI2586" s="1"/>
      <c r="CJ2586" s="1"/>
      <c r="CK2586" s="1"/>
      <c r="CL2586" s="1"/>
      <c r="CM2586" s="1"/>
      <c r="CN2586" s="1"/>
      <c r="CO2586" s="1"/>
      <c r="CP2586" s="1"/>
      <c r="CQ2586" s="1"/>
      <c r="CR2586" s="1"/>
      <c r="CS2586" s="1"/>
      <c r="CT2586" s="1"/>
      <c r="CU2586" s="1"/>
      <c r="CV2586" s="1"/>
      <c r="CW2586" s="1"/>
      <c r="CX2586" s="1"/>
      <c r="CY2586" s="1"/>
      <c r="CZ2586" s="1"/>
      <c r="DA2586" s="1"/>
      <c r="DB2586" s="1"/>
      <c r="DC2586" s="1"/>
      <c r="DD2586" s="1"/>
      <c r="DE2586" s="1"/>
      <c r="DF2586" s="1"/>
      <c r="DG2586" s="1"/>
      <c r="DH2586" s="1"/>
      <c r="DI2586" s="1"/>
      <c r="DJ2586" s="1"/>
      <c r="DK2586" s="1"/>
      <c r="DL2586" s="1"/>
      <c r="DM2586" s="1"/>
      <c r="DN2586" s="1"/>
      <c r="DO2586" s="1"/>
      <c r="DP2586" s="1"/>
      <c r="DQ2586" s="1"/>
      <c r="DR2586" s="1"/>
      <c r="DS2586" s="1"/>
      <c r="DT2586" s="1"/>
      <c r="DU2586" s="1"/>
      <c r="DV2586" s="1"/>
      <c r="DW2586" s="1"/>
      <c r="DX2586" s="1"/>
      <c r="DY2586" s="1"/>
      <c r="DZ2586" s="1"/>
      <c r="EA2586" s="1"/>
      <c r="EB2586" s="1"/>
      <c r="EC2586" s="1"/>
      <c r="ED2586" s="1"/>
      <c r="EE2586" s="1"/>
      <c r="EF2586" s="1"/>
      <c r="EG2586" s="1"/>
      <c r="EH2586" s="1"/>
      <c r="EI2586" s="1"/>
      <c r="EJ2586" s="1"/>
      <c r="EK2586" s="1"/>
      <c r="EL2586" s="1"/>
      <c r="EM2586" s="1"/>
      <c r="EN2586" s="1"/>
      <c r="EO2586" s="1"/>
      <c r="EP2586" s="1"/>
      <c r="EQ2586" s="1"/>
      <c r="ER2586" s="1"/>
      <c r="ES2586" s="1"/>
      <c r="ET2586" s="1"/>
      <c r="EU2586" s="1"/>
      <c r="EV2586" s="1"/>
      <c r="EW2586" s="1"/>
      <c r="EX2586" s="1"/>
      <c r="EY2586" s="1"/>
      <c r="EZ2586" s="1"/>
      <c r="FA2586" s="1"/>
      <c r="FB2586" s="1"/>
      <c r="FC2586" s="1"/>
      <c r="FD2586" s="1"/>
      <c r="FE2586" s="1"/>
      <c r="FF2586" s="1"/>
      <c r="FG2586" s="1"/>
      <c r="FH2586" s="1"/>
      <c r="FI2586" s="1"/>
      <c r="FJ2586" s="1"/>
      <c r="FK2586" s="1"/>
      <c r="FL2586" s="1"/>
      <c r="FM2586" s="1"/>
      <c r="FN2586" s="1"/>
      <c r="FO2586" s="1"/>
      <c r="FP2586" s="1"/>
      <c r="FQ2586" s="1"/>
      <c r="FR2586" s="1"/>
      <c r="FS2586" s="1"/>
      <c r="FT2586" s="1"/>
      <c r="FU2586" s="1"/>
      <c r="FV2586" s="1"/>
      <c r="FW2586" s="1"/>
      <c r="FX2586" s="1"/>
      <c r="FY2586" s="1"/>
      <c r="FZ2586" s="1"/>
      <c r="GA2586" s="1"/>
      <c r="GB2586" s="1"/>
      <c r="GC2586" s="1"/>
      <c r="GD2586" s="1"/>
      <c r="GE2586" s="1"/>
      <c r="GF2586" s="1"/>
      <c r="GG2586" s="1"/>
      <c r="GH2586" s="1"/>
      <c r="GI2586" s="1"/>
      <c r="GJ2586" s="1"/>
      <c r="GK2586" s="1"/>
      <c r="GL2586" s="1"/>
      <c r="GM2586" s="1"/>
      <c r="GN2586" s="1"/>
      <c r="GO2586" s="1"/>
      <c r="GP2586" s="1"/>
      <c r="GQ2586" s="1"/>
      <c r="GR2586" s="1"/>
      <c r="GS2586" s="1"/>
      <c r="GT2586" s="1"/>
      <c r="GU2586" s="1"/>
      <c r="GV2586" s="1"/>
      <c r="GW2586" s="1"/>
      <c r="GX2586" s="1"/>
      <c r="GY2586" s="1"/>
      <c r="GZ2586" s="1"/>
      <c r="HA2586" s="1"/>
      <c r="HB2586" s="1"/>
      <c r="HC2586" s="1"/>
      <c r="HD2586" s="1"/>
      <c r="HE2586" s="1"/>
      <c r="HF2586" s="1"/>
      <c r="HG2586" s="1"/>
      <c r="HH2586" s="1"/>
      <c r="HI2586" s="1"/>
      <c r="HJ2586" s="1"/>
      <c r="HK2586" s="1"/>
      <c r="HL2586" s="1"/>
      <c r="HM2586" s="1"/>
      <c r="HN2586" s="1"/>
      <c r="HO2586" s="1"/>
    </row>
    <row r="2587" spans="1:225" ht="15.75" customHeight="1" x14ac:dyDescent="0.35">
      <c r="A2587" s="256">
        <f>A2584+1</f>
        <v>2</v>
      </c>
      <c r="B2587" s="328">
        <v>4743</v>
      </c>
      <c r="C2587" s="259" t="s">
        <v>154</v>
      </c>
      <c r="D2587" s="262">
        <v>498</v>
      </c>
      <c r="E2587" s="262" t="s">
        <v>665</v>
      </c>
      <c r="F2587" s="265">
        <v>2</v>
      </c>
      <c r="G2587" s="256" t="s">
        <v>72</v>
      </c>
      <c r="H2587" s="159" t="s">
        <v>73</v>
      </c>
      <c r="I2587" s="158">
        <f>SUM(I2588:I2589)</f>
        <v>3754422</v>
      </c>
      <c r="J2587" s="158">
        <f>SUM(J2588:J2589)</f>
        <v>7539</v>
      </c>
      <c r="K2587" s="158">
        <f>SUM(K2588:K2589)</f>
        <v>7539</v>
      </c>
      <c r="L2587" s="8"/>
      <c r="M2587" s="8"/>
      <c r="N2587" s="8"/>
      <c r="O2587" s="8"/>
      <c r="P2587" s="8"/>
      <c r="Q2587" s="8"/>
      <c r="R2587" s="8"/>
      <c r="S2587" s="8"/>
      <c r="T2587" s="8"/>
      <c r="U2587" s="8"/>
      <c r="V2587" s="8"/>
      <c r="W2587" s="8"/>
      <c r="X2587" s="1"/>
      <c r="Y2587" s="1"/>
      <c r="Z2587" s="1"/>
      <c r="AA2587" s="1"/>
      <c r="AB2587" s="1"/>
      <c r="AC2587" s="1"/>
      <c r="AD2587" s="1"/>
      <c r="AE2587" s="1"/>
      <c r="AF2587" s="1"/>
      <c r="AG2587" s="1"/>
      <c r="AH2587" s="1"/>
      <c r="AI2587" s="1"/>
      <c r="AJ2587" s="1"/>
      <c r="AK2587" s="1"/>
      <c r="AL2587" s="1"/>
      <c r="AM2587" s="1"/>
      <c r="AN2587" s="1"/>
      <c r="AO2587" s="1"/>
      <c r="AP2587" s="1"/>
      <c r="AQ2587" s="1"/>
      <c r="AR2587" s="1"/>
      <c r="AS2587" s="1"/>
      <c r="AT2587" s="1"/>
      <c r="AU2587" s="1"/>
      <c r="AV2587" s="1"/>
      <c r="AW2587" s="1"/>
      <c r="AX2587" s="1"/>
      <c r="AY2587" s="1"/>
      <c r="AZ2587" s="1"/>
      <c r="BA2587" s="1"/>
      <c r="BB2587" s="1"/>
      <c r="BC2587" s="1"/>
      <c r="BD2587" s="1"/>
      <c r="BE2587" s="1"/>
      <c r="BF2587" s="1"/>
      <c r="BG2587" s="1"/>
      <c r="BH2587" s="1"/>
      <c r="BI2587" s="1"/>
      <c r="BJ2587" s="1"/>
      <c r="BK2587" s="1"/>
      <c r="BL2587" s="1"/>
      <c r="BM2587" s="1"/>
      <c r="BN2587" s="1"/>
      <c r="BO2587" s="1"/>
      <c r="BP2587" s="1"/>
      <c r="BQ2587" s="1"/>
      <c r="BR2587" s="1"/>
      <c r="BS2587" s="1"/>
      <c r="BT2587" s="1"/>
      <c r="BU2587" s="1"/>
      <c r="BV2587" s="1"/>
      <c r="BW2587" s="1"/>
      <c r="BX2587" s="1"/>
      <c r="BY2587" s="1"/>
      <c r="BZ2587" s="1"/>
      <c r="CA2587" s="1"/>
      <c r="CB2587" s="1"/>
      <c r="CC2587" s="1"/>
      <c r="CD2587" s="1"/>
      <c r="CE2587" s="1"/>
      <c r="CF2587" s="1"/>
      <c r="CG2587" s="1"/>
      <c r="CH2587" s="1"/>
      <c r="CI2587" s="1"/>
      <c r="CJ2587" s="1"/>
      <c r="CK2587" s="1"/>
      <c r="CL2587" s="1"/>
      <c r="CM2587" s="1"/>
      <c r="CN2587" s="1"/>
      <c r="CO2587" s="1"/>
      <c r="CP2587" s="1"/>
      <c r="CQ2587" s="1"/>
      <c r="CR2587" s="1"/>
      <c r="CS2587" s="1"/>
      <c r="CT2587" s="1"/>
      <c r="CU2587" s="1"/>
      <c r="CV2587" s="1"/>
      <c r="CW2587" s="1"/>
      <c r="CX2587" s="1"/>
      <c r="CY2587" s="1"/>
      <c r="CZ2587" s="1"/>
      <c r="DA2587" s="1"/>
      <c r="DB2587" s="1"/>
      <c r="DC2587" s="1"/>
      <c r="DD2587" s="1"/>
      <c r="DE2587" s="1"/>
      <c r="DF2587" s="1"/>
      <c r="DG2587" s="1"/>
      <c r="DH2587" s="1"/>
      <c r="DI2587" s="1"/>
      <c r="DJ2587" s="1"/>
      <c r="DK2587" s="1"/>
      <c r="DL2587" s="1"/>
      <c r="DM2587" s="1"/>
      <c r="DN2587" s="1"/>
      <c r="DO2587" s="1"/>
      <c r="DP2587" s="1"/>
      <c r="DQ2587" s="1"/>
      <c r="DR2587" s="1"/>
      <c r="DS2587" s="1"/>
      <c r="DT2587" s="1"/>
      <c r="DU2587" s="1"/>
      <c r="DV2587" s="1"/>
      <c r="DW2587" s="1"/>
      <c r="DX2587" s="1"/>
      <c r="DY2587" s="1"/>
      <c r="DZ2587" s="1"/>
      <c r="EA2587" s="1"/>
      <c r="EB2587" s="1"/>
      <c r="EC2587" s="1"/>
      <c r="ED2587" s="1"/>
      <c r="EE2587" s="1"/>
      <c r="EF2587" s="1"/>
      <c r="EG2587" s="1"/>
      <c r="EH2587" s="1"/>
      <c r="EI2587" s="1"/>
      <c r="EJ2587" s="1"/>
      <c r="EK2587" s="1"/>
      <c r="EL2587" s="1"/>
      <c r="EM2587" s="1"/>
      <c r="EN2587" s="1"/>
      <c r="EO2587" s="1"/>
      <c r="EP2587" s="1"/>
      <c r="EQ2587" s="1"/>
      <c r="ER2587" s="1"/>
      <c r="ES2587" s="1"/>
      <c r="ET2587" s="1"/>
      <c r="EU2587" s="1"/>
      <c r="EV2587" s="1"/>
      <c r="EW2587" s="1"/>
      <c r="EX2587" s="1"/>
      <c r="EY2587" s="1"/>
      <c r="EZ2587" s="1"/>
      <c r="FA2587" s="1"/>
      <c r="FB2587" s="1"/>
      <c r="FC2587" s="1"/>
      <c r="FD2587" s="1"/>
      <c r="FE2587" s="1"/>
      <c r="FF2587" s="1"/>
      <c r="FG2587" s="1"/>
      <c r="FH2587" s="1"/>
      <c r="FI2587" s="1"/>
      <c r="FJ2587" s="1"/>
      <c r="FK2587" s="1"/>
      <c r="FL2587" s="1"/>
      <c r="FM2587" s="1"/>
      <c r="FN2587" s="1"/>
      <c r="FO2587" s="1"/>
      <c r="FP2587" s="1"/>
      <c r="FQ2587" s="1"/>
      <c r="FR2587" s="1"/>
      <c r="FS2587" s="1"/>
      <c r="FT2587" s="1"/>
      <c r="FU2587" s="1"/>
      <c r="FV2587" s="1"/>
      <c r="FW2587" s="1"/>
      <c r="FX2587" s="1"/>
      <c r="FY2587" s="1"/>
      <c r="FZ2587" s="1"/>
      <c r="GA2587" s="1"/>
      <c r="GB2587" s="1"/>
      <c r="GC2587" s="1"/>
      <c r="GD2587" s="1"/>
      <c r="GE2587" s="1"/>
      <c r="GF2587" s="1"/>
      <c r="GG2587" s="1"/>
      <c r="GH2587" s="1"/>
      <c r="GI2587" s="1"/>
      <c r="GJ2587" s="1"/>
      <c r="GK2587" s="1"/>
      <c r="GL2587" s="1"/>
      <c r="GM2587" s="1"/>
      <c r="GN2587" s="1"/>
      <c r="GO2587" s="1"/>
      <c r="GP2587" s="1"/>
      <c r="GQ2587" s="1"/>
      <c r="GR2587" s="1"/>
      <c r="GS2587" s="1"/>
      <c r="GT2587" s="1"/>
      <c r="GU2587" s="1"/>
      <c r="GV2587" s="1"/>
      <c r="GW2587" s="1"/>
      <c r="GX2587" s="1"/>
      <c r="GY2587" s="1"/>
      <c r="GZ2587" s="1"/>
      <c r="HA2587" s="1"/>
      <c r="HB2587" s="1"/>
      <c r="HC2587" s="1"/>
      <c r="HD2587" s="1"/>
      <c r="HE2587" s="1"/>
      <c r="HF2587" s="1"/>
      <c r="HG2587" s="1"/>
      <c r="HH2587" s="1"/>
      <c r="HI2587" s="1"/>
      <c r="HJ2587" s="1"/>
      <c r="HK2587" s="1"/>
      <c r="HL2587" s="1"/>
      <c r="HM2587" s="1"/>
      <c r="HN2587" s="1"/>
      <c r="HO2587" s="1"/>
    </row>
    <row r="2588" spans="1:225" x14ac:dyDescent="0.35">
      <c r="A2588" s="257"/>
      <c r="B2588" s="328"/>
      <c r="C2588" s="260"/>
      <c r="D2588" s="263"/>
      <c r="E2588" s="263"/>
      <c r="F2588" s="266"/>
      <c r="G2588" s="257"/>
      <c r="H2588" s="159" t="s">
        <v>667</v>
      </c>
      <c r="I2588" s="158">
        <f>K2588*D2587</f>
        <v>3675738</v>
      </c>
      <c r="J2588" s="158">
        <f>I2588/D2587</f>
        <v>7381</v>
      </c>
      <c r="K2588" s="158">
        <v>7381</v>
      </c>
      <c r="L2588" s="8"/>
      <c r="M2588" s="8"/>
      <c r="N2588" s="8"/>
      <c r="O2588" s="8"/>
      <c r="P2588" s="8"/>
      <c r="Q2588" s="8"/>
      <c r="R2588" s="8"/>
      <c r="S2588" s="8"/>
      <c r="T2588" s="8"/>
      <c r="U2588" s="8"/>
      <c r="V2588" s="8"/>
      <c r="W2588" s="8"/>
      <c r="X2588" s="1"/>
      <c r="Y2588" s="1"/>
      <c r="Z2588" s="1"/>
      <c r="AA2588" s="1"/>
      <c r="AB2588" s="1"/>
      <c r="AC2588" s="1"/>
      <c r="AD2588" s="1"/>
      <c r="AE2588" s="1"/>
      <c r="AF2588" s="1"/>
      <c r="AG2588" s="1"/>
      <c r="AH2588" s="1"/>
      <c r="AI2588" s="1"/>
      <c r="AJ2588" s="1"/>
      <c r="AK2588" s="1"/>
      <c r="AL2588" s="1"/>
      <c r="AM2588" s="1"/>
      <c r="AN2588" s="1"/>
      <c r="AO2588" s="1"/>
      <c r="AP2588" s="1"/>
      <c r="AQ2588" s="1"/>
      <c r="AR2588" s="1"/>
      <c r="AS2588" s="1"/>
      <c r="AT2588" s="1"/>
      <c r="AU2588" s="1"/>
      <c r="AV2588" s="1"/>
      <c r="AW2588" s="1"/>
      <c r="AX2588" s="1"/>
      <c r="AY2588" s="1"/>
      <c r="AZ2588" s="1"/>
      <c r="BA2588" s="1"/>
      <c r="BB2588" s="1"/>
      <c r="BC2588" s="1"/>
      <c r="BD2588" s="1"/>
      <c r="BE2588" s="1"/>
      <c r="BF2588" s="1"/>
      <c r="BG2588" s="1"/>
      <c r="BH2588" s="1"/>
      <c r="BI2588" s="1"/>
      <c r="BJ2588" s="1"/>
      <c r="BK2588" s="1"/>
      <c r="BL2588" s="1"/>
      <c r="BM2588" s="1"/>
      <c r="BN2588" s="1"/>
      <c r="BO2588" s="1"/>
      <c r="BP2588" s="1"/>
      <c r="BQ2588" s="1"/>
      <c r="BR2588" s="1"/>
      <c r="BS2588" s="1"/>
      <c r="BT2588" s="1"/>
      <c r="BU2588" s="1"/>
      <c r="BV2588" s="1"/>
      <c r="BW2588" s="1"/>
      <c r="BX2588" s="1"/>
      <c r="BY2588" s="1"/>
      <c r="BZ2588" s="1"/>
      <c r="CA2588" s="1"/>
      <c r="CB2588" s="1"/>
      <c r="CC2588" s="1"/>
      <c r="CD2588" s="1"/>
      <c r="CE2588" s="1"/>
      <c r="CF2588" s="1"/>
      <c r="CG2588" s="1"/>
      <c r="CH2588" s="1"/>
      <c r="CI2588" s="1"/>
      <c r="CJ2588" s="1"/>
      <c r="CK2588" s="1"/>
      <c r="CL2588" s="1"/>
      <c r="CM2588" s="1"/>
      <c r="CN2588" s="1"/>
      <c r="CO2588" s="1"/>
      <c r="CP2588" s="1"/>
      <c r="CQ2588" s="1"/>
      <c r="CR2588" s="1"/>
      <c r="CS2588" s="1"/>
      <c r="CT2588" s="1"/>
      <c r="CU2588" s="1"/>
      <c r="CV2588" s="1"/>
      <c r="CW2588" s="1"/>
      <c r="CX2588" s="1"/>
      <c r="CY2588" s="1"/>
      <c r="CZ2588" s="1"/>
      <c r="DA2588" s="1"/>
      <c r="DB2588" s="1"/>
      <c r="DC2588" s="1"/>
      <c r="DD2588" s="1"/>
      <c r="DE2588" s="1"/>
      <c r="DF2588" s="1"/>
      <c r="DG2588" s="1"/>
      <c r="DH2588" s="1"/>
      <c r="DI2588" s="1"/>
      <c r="DJ2588" s="1"/>
      <c r="DK2588" s="1"/>
      <c r="DL2588" s="1"/>
      <c r="DM2588" s="1"/>
      <c r="DN2588" s="1"/>
      <c r="DO2588" s="1"/>
      <c r="DP2588" s="1"/>
      <c r="DQ2588" s="1"/>
      <c r="DR2588" s="1"/>
      <c r="DS2588" s="1"/>
      <c r="DT2588" s="1"/>
      <c r="DU2588" s="1"/>
      <c r="DV2588" s="1"/>
      <c r="DW2588" s="1"/>
      <c r="DX2588" s="1"/>
      <c r="DY2588" s="1"/>
      <c r="DZ2588" s="1"/>
      <c r="EA2588" s="1"/>
      <c r="EB2588" s="1"/>
      <c r="EC2588" s="1"/>
      <c r="ED2588" s="1"/>
      <c r="EE2588" s="1"/>
      <c r="EF2588" s="1"/>
      <c r="EG2588" s="1"/>
      <c r="EH2588" s="1"/>
      <c r="EI2588" s="1"/>
      <c r="EJ2588" s="1"/>
      <c r="EK2588" s="1"/>
      <c r="EL2588" s="1"/>
      <c r="EM2588" s="1"/>
      <c r="EN2588" s="1"/>
      <c r="EO2588" s="1"/>
      <c r="EP2588" s="1"/>
      <c r="EQ2588" s="1"/>
      <c r="ER2588" s="1"/>
      <c r="ES2588" s="1"/>
      <c r="ET2588" s="1"/>
      <c r="EU2588" s="1"/>
      <c r="EV2588" s="1"/>
      <c r="EW2588" s="1"/>
      <c r="EX2588" s="1"/>
      <c r="EY2588" s="1"/>
      <c r="EZ2588" s="1"/>
      <c r="FA2588" s="1"/>
      <c r="FB2588" s="1"/>
      <c r="FC2588" s="1"/>
      <c r="FD2588" s="1"/>
      <c r="FE2588" s="1"/>
      <c r="FF2588" s="1"/>
      <c r="FG2588" s="1"/>
      <c r="FH2588" s="1"/>
      <c r="FI2588" s="1"/>
      <c r="FJ2588" s="1"/>
      <c r="FK2588" s="1"/>
      <c r="FL2588" s="1"/>
      <c r="FM2588" s="1"/>
      <c r="FN2588" s="1"/>
      <c r="FO2588" s="1"/>
      <c r="FP2588" s="1"/>
      <c r="FQ2588" s="1"/>
      <c r="FR2588" s="1"/>
      <c r="FS2588" s="1"/>
      <c r="FT2588" s="1"/>
      <c r="FU2588" s="1"/>
      <c r="FV2588" s="1"/>
      <c r="FW2588" s="1"/>
      <c r="FX2588" s="1"/>
      <c r="FY2588" s="1"/>
      <c r="FZ2588" s="1"/>
      <c r="GA2588" s="1"/>
      <c r="GB2588" s="1"/>
      <c r="GC2588" s="1"/>
      <c r="GD2588" s="1"/>
      <c r="GE2588" s="1"/>
      <c r="GF2588" s="1"/>
      <c r="GG2588" s="1"/>
      <c r="GH2588" s="1"/>
      <c r="GI2588" s="1"/>
      <c r="GJ2588" s="1"/>
      <c r="GK2588" s="1"/>
      <c r="GL2588" s="1"/>
      <c r="GM2588" s="1"/>
      <c r="GN2588" s="1"/>
      <c r="GO2588" s="1"/>
      <c r="GP2588" s="1"/>
      <c r="GQ2588" s="1"/>
      <c r="GR2588" s="1"/>
      <c r="GS2588" s="1"/>
      <c r="GT2588" s="1"/>
      <c r="GU2588" s="1"/>
      <c r="GV2588" s="1"/>
      <c r="GW2588" s="1"/>
      <c r="GX2588" s="1"/>
      <c r="GY2588" s="1"/>
      <c r="GZ2588" s="1"/>
      <c r="HA2588" s="1"/>
      <c r="HB2588" s="1"/>
      <c r="HC2588" s="1"/>
      <c r="HD2588" s="1"/>
      <c r="HE2588" s="1"/>
      <c r="HF2588" s="1"/>
      <c r="HG2588" s="1"/>
      <c r="HH2588" s="1"/>
      <c r="HI2588" s="1"/>
      <c r="HJ2588" s="1"/>
      <c r="HK2588" s="1"/>
      <c r="HL2588" s="1"/>
      <c r="HM2588" s="1"/>
      <c r="HN2588" s="1"/>
      <c r="HO2588" s="1"/>
    </row>
    <row r="2589" spans="1:225" x14ac:dyDescent="0.35">
      <c r="A2589" s="258"/>
      <c r="B2589" s="328"/>
      <c r="C2589" s="261"/>
      <c r="D2589" s="264"/>
      <c r="E2589" s="264"/>
      <c r="F2589" s="267"/>
      <c r="G2589" s="258"/>
      <c r="H2589" s="159" t="s">
        <v>76</v>
      </c>
      <c r="I2589" s="158">
        <f>K2589*D2587</f>
        <v>78684</v>
      </c>
      <c r="J2589" s="158">
        <f>I2589/D2587</f>
        <v>158</v>
      </c>
      <c r="K2589" s="158">
        <v>158</v>
      </c>
      <c r="L2589" s="8"/>
      <c r="M2589" s="8"/>
      <c r="N2589" s="8"/>
      <c r="O2589" s="8"/>
      <c r="P2589" s="8"/>
      <c r="Q2589" s="8"/>
      <c r="R2589" s="8"/>
      <c r="S2589" s="8"/>
      <c r="T2589" s="8"/>
      <c r="U2589" s="8"/>
      <c r="V2589" s="8"/>
      <c r="W2589" s="8"/>
      <c r="X2589" s="1"/>
      <c r="Y2589" s="1"/>
      <c r="Z2589" s="1"/>
      <c r="AA2589" s="1"/>
      <c r="AB2589" s="1"/>
      <c r="AC2589" s="1"/>
      <c r="AD2589" s="1"/>
      <c r="AE2589" s="1"/>
      <c r="AF2589" s="1"/>
      <c r="AG2589" s="1"/>
      <c r="AH2589" s="1"/>
      <c r="AI2589" s="1"/>
      <c r="AJ2589" s="1"/>
      <c r="AK2589" s="1"/>
      <c r="AL2589" s="1"/>
      <c r="AM2589" s="1"/>
      <c r="AN2589" s="1"/>
      <c r="AO2589" s="1"/>
      <c r="AP2589" s="1"/>
      <c r="AQ2589" s="1"/>
      <c r="AR2589" s="1"/>
      <c r="AS2589" s="1"/>
      <c r="AT2589" s="1"/>
      <c r="AU2589" s="1"/>
      <c r="AV2589" s="1"/>
      <c r="AW2589" s="1"/>
      <c r="AX2589" s="1"/>
      <c r="AY2589" s="1"/>
      <c r="AZ2589" s="1"/>
      <c r="BA2589" s="1"/>
      <c r="BB2589" s="1"/>
      <c r="BC2589" s="1"/>
      <c r="BD2589" s="1"/>
      <c r="BE2589" s="1"/>
      <c r="BF2589" s="1"/>
      <c r="BG2589" s="1"/>
      <c r="BH2589" s="1"/>
      <c r="BI2589" s="1"/>
      <c r="BJ2589" s="1"/>
      <c r="BK2589" s="1"/>
      <c r="BL2589" s="1"/>
      <c r="BM2589" s="1"/>
      <c r="BN2589" s="1"/>
      <c r="BO2589" s="1"/>
      <c r="BP2589" s="1"/>
      <c r="BQ2589" s="1"/>
      <c r="BR2589" s="1"/>
      <c r="BS2589" s="1"/>
      <c r="BT2589" s="1"/>
      <c r="BU2589" s="1"/>
      <c r="BV2589" s="1"/>
      <c r="BW2589" s="1"/>
      <c r="BX2589" s="1"/>
      <c r="BY2589" s="1"/>
      <c r="BZ2589" s="1"/>
      <c r="CA2589" s="1"/>
      <c r="CB2589" s="1"/>
      <c r="CC2589" s="1"/>
      <c r="CD2589" s="1"/>
      <c r="CE2589" s="1"/>
      <c r="CF2589" s="1"/>
      <c r="CG2589" s="1"/>
      <c r="CH2589" s="1"/>
      <c r="CI2589" s="1"/>
      <c r="CJ2589" s="1"/>
      <c r="CK2589" s="1"/>
      <c r="CL2589" s="1"/>
      <c r="CM2589" s="1"/>
      <c r="CN2589" s="1"/>
      <c r="CO2589" s="1"/>
      <c r="CP2589" s="1"/>
      <c r="CQ2589" s="1"/>
      <c r="CR2589" s="1"/>
      <c r="CS2589" s="1"/>
      <c r="CT2589" s="1"/>
      <c r="CU2589" s="1"/>
      <c r="CV2589" s="1"/>
      <c r="CW2589" s="1"/>
      <c r="CX2589" s="1"/>
      <c r="CY2589" s="1"/>
      <c r="CZ2589" s="1"/>
      <c r="DA2589" s="1"/>
      <c r="DB2589" s="1"/>
      <c r="DC2589" s="1"/>
      <c r="DD2589" s="1"/>
      <c r="DE2589" s="1"/>
      <c r="DF2589" s="1"/>
      <c r="DG2589" s="1"/>
      <c r="DH2589" s="1"/>
      <c r="DI2589" s="1"/>
      <c r="DJ2589" s="1"/>
      <c r="DK2589" s="1"/>
      <c r="DL2589" s="1"/>
      <c r="DM2589" s="1"/>
      <c r="DN2589" s="1"/>
      <c r="DO2589" s="1"/>
      <c r="DP2589" s="1"/>
      <c r="DQ2589" s="1"/>
      <c r="DR2589" s="1"/>
      <c r="DS2589" s="1"/>
      <c r="DT2589" s="1"/>
      <c r="DU2589" s="1"/>
      <c r="DV2589" s="1"/>
      <c r="DW2589" s="1"/>
      <c r="DX2589" s="1"/>
      <c r="DY2589" s="1"/>
      <c r="DZ2589" s="1"/>
      <c r="EA2589" s="1"/>
      <c r="EB2589" s="1"/>
      <c r="EC2589" s="1"/>
      <c r="ED2589" s="1"/>
      <c r="EE2589" s="1"/>
      <c r="EF2589" s="1"/>
      <c r="EG2589" s="1"/>
      <c r="EH2589" s="1"/>
      <c r="EI2589" s="1"/>
      <c r="EJ2589" s="1"/>
      <c r="EK2589" s="1"/>
      <c r="EL2589" s="1"/>
      <c r="EM2589" s="1"/>
      <c r="EN2589" s="1"/>
      <c r="EO2589" s="1"/>
      <c r="EP2589" s="1"/>
      <c r="EQ2589" s="1"/>
      <c r="ER2589" s="1"/>
      <c r="ES2589" s="1"/>
      <c r="ET2589" s="1"/>
      <c r="EU2589" s="1"/>
      <c r="EV2589" s="1"/>
      <c r="EW2589" s="1"/>
      <c r="EX2589" s="1"/>
      <c r="EY2589" s="1"/>
      <c r="EZ2589" s="1"/>
      <c r="FA2589" s="1"/>
      <c r="FB2589" s="1"/>
      <c r="FC2589" s="1"/>
      <c r="FD2589" s="1"/>
      <c r="FE2589" s="1"/>
      <c r="FF2589" s="1"/>
      <c r="FG2589" s="1"/>
      <c r="FH2589" s="1"/>
      <c r="FI2589" s="1"/>
      <c r="FJ2589" s="1"/>
      <c r="FK2589" s="1"/>
      <c r="FL2589" s="1"/>
      <c r="FM2589" s="1"/>
      <c r="FN2589" s="1"/>
      <c r="FO2589" s="1"/>
      <c r="FP2589" s="1"/>
      <c r="FQ2589" s="1"/>
      <c r="FR2589" s="1"/>
      <c r="FS2589" s="1"/>
      <c r="FT2589" s="1"/>
      <c r="FU2589" s="1"/>
      <c r="FV2589" s="1"/>
      <c r="FW2589" s="1"/>
      <c r="FX2589" s="1"/>
      <c r="FY2589" s="1"/>
      <c r="FZ2589" s="1"/>
      <c r="GA2589" s="1"/>
      <c r="GB2589" s="1"/>
      <c r="GC2589" s="1"/>
      <c r="GD2589" s="1"/>
      <c r="GE2589" s="1"/>
      <c r="GF2589" s="1"/>
      <c r="GG2589" s="1"/>
      <c r="GH2589" s="1"/>
      <c r="GI2589" s="1"/>
      <c r="GJ2589" s="1"/>
      <c r="GK2589" s="1"/>
      <c r="GL2589" s="1"/>
      <c r="GM2589" s="1"/>
      <c r="GN2589" s="1"/>
      <c r="GO2589" s="1"/>
      <c r="GP2589" s="1"/>
      <c r="GQ2589" s="1"/>
      <c r="GR2589" s="1"/>
      <c r="GS2589" s="1"/>
      <c r="GT2589" s="1"/>
      <c r="GU2589" s="1"/>
      <c r="GV2589" s="1"/>
      <c r="GW2589" s="1"/>
      <c r="GX2589" s="1"/>
      <c r="GY2589" s="1"/>
      <c r="GZ2589" s="1"/>
      <c r="HA2589" s="1"/>
      <c r="HB2589" s="1"/>
      <c r="HC2589" s="1"/>
      <c r="HD2589" s="1"/>
      <c r="HE2589" s="1"/>
      <c r="HF2589" s="1"/>
      <c r="HG2589" s="1"/>
      <c r="HH2589" s="1"/>
      <c r="HI2589" s="1"/>
      <c r="HJ2589" s="1"/>
      <c r="HK2589" s="1"/>
      <c r="HL2589" s="1"/>
      <c r="HM2589" s="1"/>
      <c r="HN2589" s="1"/>
      <c r="HO2589" s="1"/>
    </row>
    <row r="2590" spans="1:225" ht="15.75" customHeight="1" x14ac:dyDescent="0.35">
      <c r="A2590" s="209" t="s">
        <v>33</v>
      </c>
      <c r="B2590" s="207"/>
      <c r="C2590" s="152"/>
      <c r="D2590" s="125">
        <f>D2591+D2594+D2597+D2600</f>
        <v>3126.95</v>
      </c>
      <c r="E2590" s="122"/>
      <c r="F2590" s="122"/>
      <c r="G2590" s="125"/>
      <c r="H2590" s="158"/>
      <c r="I2590" s="158">
        <f>I2591+I2594+I2597+I2600</f>
        <v>22095028.699999999</v>
      </c>
      <c r="J2590" s="158"/>
      <c r="K2590" s="158"/>
      <c r="L2590" s="8"/>
      <c r="M2590" s="8"/>
      <c r="N2590" s="8"/>
      <c r="O2590" s="8"/>
      <c r="P2590" s="8"/>
      <c r="Q2590" s="8"/>
      <c r="R2590" s="8"/>
      <c r="S2590" s="8"/>
      <c r="T2590" s="8"/>
      <c r="U2590" s="8"/>
      <c r="V2590" s="8"/>
      <c r="W2590" s="8"/>
      <c r="X2590" s="1"/>
      <c r="Y2590" s="1"/>
      <c r="Z2590" s="1"/>
      <c r="AA2590" s="1"/>
      <c r="AB2590" s="1"/>
      <c r="AC2590" s="1"/>
      <c r="AD2590" s="1"/>
      <c r="AE2590" s="1"/>
      <c r="AF2590" s="1"/>
      <c r="AG2590" s="1"/>
      <c r="AH2590" s="1"/>
      <c r="AI2590" s="1"/>
      <c r="AJ2590" s="1"/>
      <c r="AK2590" s="1"/>
      <c r="AL2590" s="1"/>
      <c r="AM2590" s="1"/>
      <c r="AN2590" s="1"/>
      <c r="AO2590" s="1"/>
      <c r="AP2590" s="1"/>
      <c r="AQ2590" s="1"/>
      <c r="AR2590" s="1"/>
      <c r="AS2590" s="1"/>
      <c r="AT2590" s="1"/>
      <c r="AU2590" s="1"/>
      <c r="AV2590" s="1"/>
      <c r="AW2590" s="1"/>
      <c r="AX2590" s="1"/>
      <c r="AY2590" s="1"/>
      <c r="AZ2590" s="1"/>
      <c r="BA2590" s="1"/>
      <c r="BB2590" s="1"/>
      <c r="BC2590" s="1"/>
      <c r="BD2590" s="1"/>
      <c r="BE2590" s="1"/>
      <c r="BF2590" s="1"/>
      <c r="BG2590" s="1"/>
      <c r="BH2590" s="1"/>
      <c r="BI2590" s="1"/>
      <c r="BJ2590" s="1"/>
      <c r="BK2590" s="1"/>
      <c r="BL2590" s="1"/>
      <c r="BM2590" s="1"/>
      <c r="BN2590" s="1"/>
      <c r="BO2590" s="1"/>
      <c r="BP2590" s="1"/>
      <c r="BQ2590" s="1"/>
      <c r="BR2590" s="1"/>
      <c r="BS2590" s="1"/>
      <c r="BT2590" s="1"/>
      <c r="BU2590" s="1"/>
      <c r="BV2590" s="1"/>
      <c r="BW2590" s="1"/>
      <c r="BX2590" s="1"/>
      <c r="BY2590" s="1"/>
      <c r="BZ2590" s="1"/>
      <c r="CA2590" s="1"/>
      <c r="CB2590" s="1"/>
      <c r="CC2590" s="1"/>
      <c r="CD2590" s="1"/>
      <c r="CE2590" s="1"/>
      <c r="CF2590" s="1"/>
      <c r="CG2590" s="1"/>
      <c r="CH2590" s="1"/>
      <c r="CI2590" s="1"/>
      <c r="CJ2590" s="1"/>
      <c r="CK2590" s="1"/>
      <c r="CL2590" s="1"/>
      <c r="CM2590" s="1"/>
      <c r="CN2590" s="1"/>
      <c r="CO2590" s="1"/>
      <c r="CP2590" s="1"/>
      <c r="CQ2590" s="1"/>
      <c r="CR2590" s="1"/>
      <c r="CS2590" s="1"/>
      <c r="CT2590" s="1"/>
      <c r="CU2590" s="1"/>
      <c r="CV2590" s="1"/>
      <c r="CW2590" s="1"/>
      <c r="CX2590" s="1"/>
      <c r="CY2590" s="1"/>
      <c r="CZ2590" s="1"/>
      <c r="DA2590" s="1"/>
      <c r="DB2590" s="1"/>
      <c r="DC2590" s="1"/>
      <c r="DD2590" s="1"/>
      <c r="DE2590" s="1"/>
      <c r="DF2590" s="1"/>
      <c r="DG2590" s="1"/>
      <c r="DH2590" s="1"/>
      <c r="DI2590" s="1"/>
      <c r="DJ2590" s="1"/>
      <c r="DK2590" s="1"/>
      <c r="DL2590" s="1"/>
      <c r="DM2590" s="1"/>
      <c r="DN2590" s="1"/>
      <c r="DO2590" s="1"/>
      <c r="DP2590" s="1"/>
      <c r="DQ2590" s="1"/>
      <c r="DR2590" s="1"/>
      <c r="DS2590" s="1"/>
      <c r="DT2590" s="1"/>
      <c r="DU2590" s="1"/>
      <c r="DV2590" s="1"/>
      <c r="DW2590" s="1"/>
      <c r="DX2590" s="1"/>
      <c r="DY2590" s="1"/>
      <c r="DZ2590" s="1"/>
      <c r="EA2590" s="1"/>
      <c r="EB2590" s="1"/>
      <c r="EC2590" s="1"/>
      <c r="ED2590" s="1"/>
      <c r="EE2590" s="1"/>
      <c r="EF2590" s="1"/>
      <c r="EG2590" s="1"/>
      <c r="EH2590" s="1"/>
      <c r="EI2590" s="1"/>
      <c r="EJ2590" s="1"/>
      <c r="EK2590" s="1"/>
      <c r="EL2590" s="1"/>
      <c r="EM2590" s="1"/>
      <c r="EN2590" s="1"/>
      <c r="EO2590" s="1"/>
      <c r="EP2590" s="1"/>
      <c r="EQ2590" s="1"/>
      <c r="ER2590" s="1"/>
      <c r="ES2590" s="1"/>
      <c r="ET2590" s="1"/>
      <c r="EU2590" s="1"/>
      <c r="EV2590" s="1"/>
      <c r="EW2590" s="1"/>
      <c r="EX2590" s="1"/>
      <c r="EY2590" s="1"/>
      <c r="EZ2590" s="1"/>
      <c r="FA2590" s="1"/>
      <c r="FB2590" s="1"/>
      <c r="FC2590" s="1"/>
      <c r="FD2590" s="1"/>
      <c r="FE2590" s="1"/>
      <c r="FF2590" s="1"/>
      <c r="FG2590" s="1"/>
      <c r="FH2590" s="1"/>
      <c r="FI2590" s="1"/>
      <c r="FJ2590" s="1"/>
      <c r="FK2590" s="1"/>
      <c r="FL2590" s="1"/>
      <c r="FM2590" s="1"/>
      <c r="FN2590" s="1"/>
      <c r="FO2590" s="1"/>
      <c r="FP2590" s="1"/>
      <c r="FQ2590" s="1"/>
      <c r="FR2590" s="1"/>
      <c r="FS2590" s="1"/>
      <c r="FT2590" s="1"/>
      <c r="FU2590" s="1"/>
      <c r="FV2590" s="1"/>
      <c r="FW2590" s="1"/>
      <c r="FX2590" s="1"/>
      <c r="FY2590" s="1"/>
      <c r="FZ2590" s="1"/>
      <c r="GA2590" s="1"/>
      <c r="GB2590" s="1"/>
      <c r="GC2590" s="1"/>
      <c r="GD2590" s="1"/>
      <c r="GE2590" s="1"/>
      <c r="GF2590" s="1"/>
      <c r="GG2590" s="1"/>
      <c r="GH2590" s="1"/>
      <c r="GI2590" s="1"/>
      <c r="GJ2590" s="1"/>
      <c r="GK2590" s="1"/>
      <c r="GL2590" s="1"/>
      <c r="GM2590" s="1"/>
      <c r="GN2590" s="1"/>
      <c r="GO2590" s="1"/>
      <c r="GP2590" s="1"/>
      <c r="GQ2590" s="1"/>
      <c r="GR2590" s="1"/>
      <c r="GS2590" s="1"/>
      <c r="GT2590" s="1"/>
      <c r="GU2590" s="1"/>
      <c r="GV2590" s="1"/>
      <c r="GW2590" s="1"/>
      <c r="GX2590" s="1"/>
      <c r="GY2590" s="1"/>
      <c r="GZ2590" s="1"/>
      <c r="HA2590" s="1"/>
      <c r="HB2590" s="1"/>
      <c r="HC2590" s="1"/>
      <c r="HD2590" s="1"/>
      <c r="HE2590" s="1"/>
      <c r="HF2590" s="1"/>
      <c r="HG2590" s="1"/>
      <c r="HH2590" s="1"/>
      <c r="HI2590" s="1"/>
      <c r="HJ2590" s="1"/>
      <c r="HK2590" s="1"/>
      <c r="HL2590" s="1"/>
      <c r="HM2590" s="1"/>
      <c r="HN2590" s="1"/>
      <c r="HO2590" s="1"/>
    </row>
    <row r="2591" spans="1:225" ht="15.75" customHeight="1" x14ac:dyDescent="0.35">
      <c r="A2591" s="256">
        <v>1</v>
      </c>
      <c r="B2591" s="302">
        <v>4395</v>
      </c>
      <c r="C2591" s="259" t="s">
        <v>801</v>
      </c>
      <c r="D2591" s="262">
        <v>846</v>
      </c>
      <c r="E2591" s="262" t="s">
        <v>80</v>
      </c>
      <c r="F2591" s="265">
        <v>2</v>
      </c>
      <c r="G2591" s="256" t="s">
        <v>72</v>
      </c>
      <c r="H2591" s="159" t="s">
        <v>73</v>
      </c>
      <c r="I2591" s="158">
        <f>I2592+I2593</f>
        <v>5977836</v>
      </c>
      <c r="J2591" s="158">
        <f>J2592+J2593</f>
        <v>7066</v>
      </c>
      <c r="K2591" s="158">
        <f>K2592+K2593</f>
        <v>7066</v>
      </c>
      <c r="L2591" s="1"/>
      <c r="M2591" s="1"/>
      <c r="N2591" s="1"/>
      <c r="O2591" s="1"/>
      <c r="P2591" s="1"/>
      <c r="Q2591" s="1"/>
      <c r="R2591" s="1"/>
      <c r="S2591" s="1"/>
      <c r="T2591" s="1"/>
      <c r="U2591" s="1"/>
      <c r="V2591" s="1"/>
      <c r="W2591" s="1"/>
      <c r="X2591" s="1"/>
      <c r="Y2591" s="1"/>
      <c r="Z2591" s="1"/>
      <c r="AA2591" s="1"/>
      <c r="AB2591" s="1"/>
      <c r="AC2591" s="1"/>
      <c r="AD2591" s="1"/>
      <c r="AE2591" s="1"/>
      <c r="AF2591" s="1"/>
      <c r="AG2591" s="1"/>
      <c r="AH2591" s="1"/>
      <c r="AI2591" s="1"/>
      <c r="AJ2591" s="1"/>
      <c r="AK2591" s="1"/>
      <c r="AL2591" s="1"/>
      <c r="AM2591" s="1"/>
      <c r="AN2591" s="1"/>
      <c r="AO2591" s="1"/>
      <c r="AP2591" s="1"/>
      <c r="AQ2591" s="1"/>
      <c r="AR2591" s="1"/>
      <c r="AS2591" s="1"/>
      <c r="AT2591" s="1"/>
      <c r="AU2591" s="1"/>
      <c r="AV2591" s="1"/>
      <c r="AW2591" s="1"/>
      <c r="AX2591" s="1"/>
      <c r="AY2591" s="1"/>
      <c r="AZ2591" s="1"/>
      <c r="BA2591" s="1"/>
      <c r="BB2591" s="1"/>
      <c r="BC2591" s="1"/>
      <c r="BD2591" s="1"/>
      <c r="BE2591" s="1"/>
      <c r="BF2591" s="1"/>
      <c r="BG2591" s="1"/>
      <c r="BH2591" s="1"/>
      <c r="BI2591" s="1"/>
      <c r="BJ2591" s="1"/>
      <c r="BK2591" s="1"/>
      <c r="BL2591" s="1"/>
      <c r="BM2591" s="1"/>
      <c r="BN2591" s="1"/>
      <c r="BO2591" s="1"/>
      <c r="BP2591" s="1"/>
      <c r="BQ2591" s="1"/>
      <c r="BR2591" s="1"/>
      <c r="BS2591" s="1"/>
      <c r="BT2591" s="1"/>
      <c r="BU2591" s="1"/>
      <c r="BV2591" s="1"/>
      <c r="BW2591" s="1"/>
      <c r="BX2591" s="1"/>
      <c r="BY2591" s="1"/>
      <c r="BZ2591" s="1"/>
      <c r="CA2591" s="1"/>
      <c r="CB2591" s="1"/>
      <c r="CC2591" s="1"/>
      <c r="CD2591" s="1"/>
      <c r="CE2591" s="1"/>
      <c r="CF2591" s="1"/>
      <c r="CG2591" s="1"/>
      <c r="CH2591" s="1"/>
      <c r="CI2591" s="1"/>
      <c r="CJ2591" s="1"/>
      <c r="CK2591" s="1"/>
      <c r="CL2591" s="1"/>
      <c r="CM2591" s="1"/>
      <c r="CN2591" s="1"/>
      <c r="CO2591" s="1"/>
      <c r="CP2591" s="1"/>
      <c r="CQ2591" s="1"/>
      <c r="CR2591" s="1"/>
      <c r="CS2591" s="1"/>
      <c r="CT2591" s="1"/>
      <c r="CU2591" s="1"/>
      <c r="CV2591" s="1"/>
      <c r="CW2591" s="1"/>
      <c r="CX2591" s="1"/>
      <c r="CY2591" s="1"/>
      <c r="CZ2591" s="1"/>
      <c r="DA2591" s="1"/>
      <c r="DB2591" s="1"/>
      <c r="DC2591" s="1"/>
      <c r="DD2591" s="1"/>
      <c r="DE2591" s="1"/>
      <c r="DF2591" s="1"/>
      <c r="DG2591" s="1"/>
      <c r="DH2591" s="1"/>
      <c r="DI2591" s="1"/>
      <c r="DJ2591" s="1"/>
      <c r="DK2591" s="1"/>
      <c r="DL2591" s="1"/>
      <c r="DM2591" s="1"/>
      <c r="DN2591" s="1"/>
      <c r="DO2591" s="1"/>
      <c r="DP2591" s="1"/>
      <c r="DQ2591" s="1"/>
      <c r="DR2591" s="1"/>
      <c r="DS2591" s="1"/>
      <c r="DT2591" s="1"/>
      <c r="DU2591" s="1"/>
      <c r="DV2591" s="1"/>
      <c r="DW2591" s="1"/>
      <c r="DX2591" s="1"/>
      <c r="DY2591" s="1"/>
      <c r="DZ2591" s="1"/>
      <c r="EA2591" s="1"/>
      <c r="EB2591" s="1"/>
      <c r="EC2591" s="1"/>
      <c r="ED2591" s="1"/>
      <c r="EE2591" s="1"/>
      <c r="EF2591" s="1"/>
      <c r="EG2591" s="1"/>
      <c r="EH2591" s="1"/>
      <c r="EI2591" s="1"/>
      <c r="EJ2591" s="1"/>
      <c r="EK2591" s="1"/>
      <c r="EL2591" s="1"/>
      <c r="EM2591" s="1"/>
      <c r="EN2591" s="1"/>
      <c r="EO2591" s="1"/>
      <c r="EP2591" s="1"/>
      <c r="EQ2591" s="1"/>
      <c r="ER2591" s="1"/>
      <c r="ES2591" s="1"/>
      <c r="ET2591" s="1"/>
      <c r="EU2591" s="1"/>
      <c r="EV2591" s="1"/>
      <c r="EW2591" s="1"/>
      <c r="EX2591" s="1"/>
      <c r="EY2591" s="1"/>
      <c r="EZ2591" s="1"/>
      <c r="FA2591" s="1"/>
      <c r="FB2591" s="1"/>
      <c r="FC2591" s="1"/>
      <c r="FD2591" s="1"/>
      <c r="FE2591" s="1"/>
      <c r="FF2591" s="1"/>
      <c r="FG2591" s="1"/>
      <c r="FH2591" s="1"/>
      <c r="FI2591" s="1"/>
      <c r="FJ2591" s="1"/>
      <c r="FK2591" s="1"/>
      <c r="FL2591" s="1"/>
      <c r="FM2591" s="1"/>
      <c r="FN2591" s="1"/>
      <c r="FO2591" s="1"/>
      <c r="FP2591" s="1"/>
      <c r="FQ2591" s="1"/>
      <c r="FR2591" s="1"/>
      <c r="FS2591" s="1"/>
      <c r="FT2591" s="1"/>
      <c r="FU2591" s="1"/>
      <c r="FV2591" s="1"/>
      <c r="FW2591" s="1"/>
      <c r="FX2591" s="1"/>
      <c r="FY2591" s="1"/>
      <c r="FZ2591" s="1"/>
      <c r="GA2591" s="1"/>
      <c r="GB2591" s="1"/>
      <c r="GC2591" s="1"/>
      <c r="GD2591" s="1"/>
      <c r="GE2591" s="1"/>
      <c r="GF2591" s="1"/>
      <c r="GG2591" s="1"/>
      <c r="GH2591" s="1"/>
      <c r="GI2591" s="1"/>
      <c r="GJ2591" s="1"/>
      <c r="GK2591" s="1"/>
      <c r="GL2591" s="1"/>
      <c r="GM2591" s="1"/>
      <c r="GN2591" s="1"/>
      <c r="GO2591" s="1"/>
      <c r="GP2591" s="1"/>
      <c r="GQ2591" s="1"/>
      <c r="GR2591" s="1"/>
      <c r="GS2591" s="1"/>
      <c r="GT2591" s="1"/>
      <c r="GU2591" s="1"/>
      <c r="GV2591" s="1"/>
      <c r="GW2591" s="1"/>
      <c r="GX2591" s="1"/>
      <c r="GY2591" s="1"/>
      <c r="GZ2591" s="1"/>
      <c r="HA2591" s="1"/>
      <c r="HB2591" s="1"/>
      <c r="HC2591" s="1"/>
      <c r="HD2591" s="1"/>
      <c r="HE2591" s="1"/>
      <c r="HF2591" s="1"/>
      <c r="HG2591" s="1"/>
      <c r="HH2591" s="1"/>
      <c r="HI2591" s="1"/>
      <c r="HJ2591" s="1"/>
      <c r="HK2591" s="1"/>
      <c r="HL2591" s="1"/>
      <c r="HM2591" s="1"/>
      <c r="HN2591" s="1"/>
      <c r="HO2591" s="1"/>
      <c r="HP2591" s="1"/>
      <c r="HQ2591" s="1"/>
    </row>
    <row r="2592" spans="1:225" x14ac:dyDescent="0.35">
      <c r="A2592" s="257">
        <v>25</v>
      </c>
      <c r="B2592" s="303"/>
      <c r="C2592" s="260"/>
      <c r="D2592" s="263"/>
      <c r="E2592" s="263"/>
      <c r="F2592" s="266"/>
      <c r="G2592" s="257"/>
      <c r="H2592" s="159" t="s">
        <v>74</v>
      </c>
      <c r="I2592" s="158">
        <f>K2592*D2591</f>
        <v>5852628</v>
      </c>
      <c r="J2592" s="158">
        <f>I2592/D2591</f>
        <v>6918</v>
      </c>
      <c r="K2592" s="158">
        <v>6918</v>
      </c>
      <c r="L2592" s="1"/>
      <c r="M2592" s="1"/>
      <c r="N2592" s="1"/>
      <c r="O2592" s="1"/>
      <c r="P2592" s="1"/>
      <c r="Q2592" s="1"/>
      <c r="R2592" s="1"/>
      <c r="S2592" s="1"/>
      <c r="T2592" s="1"/>
      <c r="U2592" s="1"/>
      <c r="V2592" s="1"/>
      <c r="W2592" s="1"/>
      <c r="X2592" s="1"/>
      <c r="Y2592" s="1"/>
      <c r="Z2592" s="1"/>
      <c r="AA2592" s="1"/>
      <c r="AB2592" s="1"/>
      <c r="AC2592" s="1"/>
      <c r="AD2592" s="1"/>
      <c r="AE2592" s="1"/>
      <c r="AF2592" s="1"/>
      <c r="AG2592" s="1"/>
      <c r="AH2592" s="1"/>
      <c r="AI2592" s="1"/>
      <c r="AJ2592" s="1"/>
      <c r="AK2592" s="1"/>
      <c r="AL2592" s="1"/>
      <c r="AM2592" s="1"/>
      <c r="AN2592" s="1"/>
      <c r="AO2592" s="1"/>
      <c r="AP2592" s="1"/>
      <c r="AQ2592" s="1"/>
      <c r="AR2592" s="1"/>
      <c r="AS2592" s="1"/>
      <c r="AT2592" s="1"/>
      <c r="AU2592" s="1"/>
      <c r="AV2592" s="1"/>
      <c r="AW2592" s="1"/>
      <c r="AX2592" s="1"/>
      <c r="AY2592" s="1"/>
      <c r="AZ2592" s="1"/>
      <c r="BA2592" s="1"/>
      <c r="BB2592" s="1"/>
      <c r="BC2592" s="1"/>
      <c r="BD2592" s="1"/>
      <c r="BE2592" s="1"/>
      <c r="BF2592" s="1"/>
      <c r="BG2592" s="1"/>
      <c r="BH2592" s="1"/>
      <c r="BI2592" s="1"/>
      <c r="BJ2592" s="1"/>
      <c r="BK2592" s="1"/>
      <c r="BL2592" s="1"/>
      <c r="BM2592" s="1"/>
      <c r="BN2592" s="1"/>
      <c r="BO2592" s="1"/>
      <c r="BP2592" s="1"/>
      <c r="BQ2592" s="1"/>
      <c r="BR2592" s="1"/>
      <c r="BS2592" s="1"/>
      <c r="BT2592" s="1"/>
      <c r="BU2592" s="1"/>
      <c r="BV2592" s="1"/>
      <c r="BW2592" s="1"/>
      <c r="BX2592" s="1"/>
      <c r="BY2592" s="1"/>
      <c r="BZ2592" s="1"/>
      <c r="CA2592" s="1"/>
      <c r="CB2592" s="1"/>
      <c r="CC2592" s="1"/>
      <c r="CD2592" s="1"/>
      <c r="CE2592" s="1"/>
      <c r="CF2592" s="1"/>
      <c r="CG2592" s="1"/>
      <c r="CH2592" s="1"/>
      <c r="CI2592" s="1"/>
      <c r="CJ2592" s="1"/>
      <c r="CK2592" s="1"/>
      <c r="CL2592" s="1"/>
      <c r="CM2592" s="1"/>
      <c r="CN2592" s="1"/>
      <c r="CO2592" s="1"/>
      <c r="CP2592" s="1"/>
      <c r="CQ2592" s="1"/>
      <c r="CR2592" s="1"/>
      <c r="CS2592" s="1"/>
      <c r="CT2592" s="1"/>
      <c r="CU2592" s="1"/>
      <c r="CV2592" s="1"/>
      <c r="CW2592" s="1"/>
      <c r="CX2592" s="1"/>
      <c r="CY2592" s="1"/>
      <c r="CZ2592" s="1"/>
      <c r="DA2592" s="1"/>
      <c r="DB2592" s="1"/>
      <c r="DC2592" s="1"/>
      <c r="DD2592" s="1"/>
      <c r="DE2592" s="1"/>
      <c r="DF2592" s="1"/>
      <c r="DG2592" s="1"/>
      <c r="DH2592" s="1"/>
      <c r="DI2592" s="1"/>
      <c r="DJ2592" s="1"/>
      <c r="DK2592" s="1"/>
      <c r="DL2592" s="1"/>
      <c r="DM2592" s="1"/>
      <c r="DN2592" s="1"/>
      <c r="DO2592" s="1"/>
      <c r="DP2592" s="1"/>
      <c r="DQ2592" s="1"/>
      <c r="DR2592" s="1"/>
      <c r="DS2592" s="1"/>
      <c r="DT2592" s="1"/>
      <c r="DU2592" s="1"/>
      <c r="DV2592" s="1"/>
      <c r="DW2592" s="1"/>
      <c r="DX2592" s="1"/>
      <c r="DY2592" s="1"/>
      <c r="DZ2592" s="1"/>
      <c r="EA2592" s="1"/>
      <c r="EB2592" s="1"/>
      <c r="EC2592" s="1"/>
      <c r="ED2592" s="1"/>
      <c r="EE2592" s="1"/>
      <c r="EF2592" s="1"/>
      <c r="EG2592" s="1"/>
      <c r="EH2592" s="1"/>
      <c r="EI2592" s="1"/>
      <c r="EJ2592" s="1"/>
      <c r="EK2592" s="1"/>
      <c r="EL2592" s="1"/>
      <c r="EM2592" s="1"/>
      <c r="EN2592" s="1"/>
      <c r="EO2592" s="1"/>
      <c r="EP2592" s="1"/>
      <c r="EQ2592" s="1"/>
      <c r="ER2592" s="1"/>
      <c r="ES2592" s="1"/>
      <c r="ET2592" s="1"/>
      <c r="EU2592" s="1"/>
      <c r="EV2592" s="1"/>
      <c r="EW2592" s="1"/>
      <c r="EX2592" s="1"/>
      <c r="EY2592" s="1"/>
      <c r="EZ2592" s="1"/>
      <c r="FA2592" s="1"/>
      <c r="FB2592" s="1"/>
      <c r="FC2592" s="1"/>
      <c r="FD2592" s="1"/>
      <c r="FE2592" s="1"/>
      <c r="FF2592" s="1"/>
      <c r="FG2592" s="1"/>
      <c r="FH2592" s="1"/>
      <c r="FI2592" s="1"/>
      <c r="FJ2592" s="1"/>
      <c r="FK2592" s="1"/>
      <c r="FL2592" s="1"/>
      <c r="FM2592" s="1"/>
      <c r="FN2592" s="1"/>
      <c r="FO2592" s="1"/>
      <c r="FP2592" s="1"/>
      <c r="FQ2592" s="1"/>
      <c r="FR2592" s="1"/>
      <c r="FS2592" s="1"/>
      <c r="FT2592" s="1"/>
      <c r="FU2592" s="1"/>
      <c r="FV2592" s="1"/>
      <c r="FW2592" s="1"/>
      <c r="FX2592" s="1"/>
      <c r="FY2592" s="1"/>
      <c r="FZ2592" s="1"/>
      <c r="GA2592" s="1"/>
      <c r="GB2592" s="1"/>
      <c r="GC2592" s="1"/>
      <c r="GD2592" s="1"/>
      <c r="GE2592" s="1"/>
      <c r="GF2592" s="1"/>
      <c r="GG2592" s="1"/>
      <c r="GH2592" s="1"/>
      <c r="GI2592" s="1"/>
      <c r="GJ2592" s="1"/>
      <c r="GK2592" s="1"/>
      <c r="GL2592" s="1"/>
      <c r="GM2592" s="1"/>
      <c r="GN2592" s="1"/>
      <c r="GO2592" s="1"/>
      <c r="GP2592" s="1"/>
      <c r="GQ2592" s="1"/>
      <c r="GR2592" s="1"/>
      <c r="GS2592" s="1"/>
      <c r="GT2592" s="1"/>
      <c r="GU2592" s="1"/>
      <c r="GV2592" s="1"/>
      <c r="GW2592" s="1"/>
      <c r="GX2592" s="1"/>
      <c r="GY2592" s="1"/>
      <c r="GZ2592" s="1"/>
      <c r="HA2592" s="1"/>
      <c r="HB2592" s="1"/>
      <c r="HC2592" s="1"/>
      <c r="HD2592" s="1"/>
      <c r="HE2592" s="1"/>
      <c r="HF2592" s="1"/>
      <c r="HG2592" s="1"/>
      <c r="HH2592" s="1"/>
      <c r="HI2592" s="1"/>
      <c r="HJ2592" s="1"/>
      <c r="HK2592" s="1"/>
      <c r="HL2592" s="1"/>
      <c r="HM2592" s="1"/>
      <c r="HN2592" s="1"/>
      <c r="HO2592" s="1"/>
      <c r="HP2592" s="1"/>
      <c r="HQ2592" s="1"/>
    </row>
    <row r="2593" spans="1:225" x14ac:dyDescent="0.35">
      <c r="A2593" s="258">
        <v>26</v>
      </c>
      <c r="B2593" s="304"/>
      <c r="C2593" s="261"/>
      <c r="D2593" s="264"/>
      <c r="E2593" s="264"/>
      <c r="F2593" s="267"/>
      <c r="G2593" s="258"/>
      <c r="H2593" s="159" t="s">
        <v>76</v>
      </c>
      <c r="I2593" s="158">
        <f>K2593*D2591</f>
        <v>125208</v>
      </c>
      <c r="J2593" s="158">
        <f>I2593/D2591</f>
        <v>148</v>
      </c>
      <c r="K2593" s="158">
        <v>148</v>
      </c>
      <c r="L2593" s="1"/>
      <c r="M2593" s="1"/>
      <c r="N2593" s="1"/>
      <c r="O2593" s="1"/>
      <c r="P2593" s="1"/>
      <c r="Q2593" s="1"/>
      <c r="R2593" s="1"/>
      <c r="S2593" s="1"/>
      <c r="T2593" s="1"/>
      <c r="U2593" s="1"/>
      <c r="V2593" s="1"/>
      <c r="W2593" s="1"/>
      <c r="X2593" s="1"/>
      <c r="Y2593" s="1"/>
      <c r="Z2593" s="1"/>
      <c r="AA2593" s="1"/>
      <c r="AB2593" s="1"/>
      <c r="AC2593" s="1"/>
      <c r="AD2593" s="1"/>
      <c r="AE2593" s="1"/>
      <c r="AF2593" s="1"/>
      <c r="AG2593" s="1"/>
      <c r="AH2593" s="1"/>
      <c r="AI2593" s="1"/>
      <c r="AJ2593" s="1"/>
      <c r="AK2593" s="1"/>
      <c r="AL2593" s="1"/>
      <c r="AM2593" s="1"/>
      <c r="AN2593" s="1"/>
      <c r="AO2593" s="1"/>
      <c r="AP2593" s="1"/>
      <c r="AQ2593" s="1"/>
      <c r="AR2593" s="1"/>
      <c r="AS2593" s="1"/>
      <c r="AT2593" s="1"/>
      <c r="AU2593" s="1"/>
      <c r="AV2593" s="1"/>
      <c r="AW2593" s="1"/>
      <c r="AX2593" s="1"/>
      <c r="AY2593" s="1"/>
      <c r="AZ2593" s="1"/>
      <c r="BA2593" s="1"/>
      <c r="BB2593" s="1"/>
      <c r="BC2593" s="1"/>
      <c r="BD2593" s="1"/>
      <c r="BE2593" s="1"/>
      <c r="BF2593" s="1"/>
      <c r="BG2593" s="1"/>
      <c r="BH2593" s="1"/>
      <c r="BI2593" s="1"/>
      <c r="BJ2593" s="1"/>
      <c r="BK2593" s="1"/>
      <c r="BL2593" s="1"/>
      <c r="BM2593" s="1"/>
      <c r="BN2593" s="1"/>
      <c r="BO2593" s="1"/>
      <c r="BP2593" s="1"/>
      <c r="BQ2593" s="1"/>
      <c r="BR2593" s="1"/>
      <c r="BS2593" s="1"/>
      <c r="BT2593" s="1"/>
      <c r="BU2593" s="1"/>
      <c r="BV2593" s="1"/>
      <c r="BW2593" s="1"/>
      <c r="BX2593" s="1"/>
      <c r="BY2593" s="1"/>
      <c r="BZ2593" s="1"/>
      <c r="CA2593" s="1"/>
      <c r="CB2593" s="1"/>
      <c r="CC2593" s="1"/>
      <c r="CD2593" s="1"/>
      <c r="CE2593" s="1"/>
      <c r="CF2593" s="1"/>
      <c r="CG2593" s="1"/>
      <c r="CH2593" s="1"/>
      <c r="CI2593" s="1"/>
      <c r="CJ2593" s="1"/>
      <c r="CK2593" s="1"/>
      <c r="CL2593" s="1"/>
      <c r="CM2593" s="1"/>
      <c r="CN2593" s="1"/>
      <c r="CO2593" s="1"/>
      <c r="CP2593" s="1"/>
      <c r="CQ2593" s="1"/>
      <c r="CR2593" s="1"/>
      <c r="CS2593" s="1"/>
      <c r="CT2593" s="1"/>
      <c r="CU2593" s="1"/>
      <c r="CV2593" s="1"/>
      <c r="CW2593" s="1"/>
      <c r="CX2593" s="1"/>
      <c r="CY2593" s="1"/>
      <c r="CZ2593" s="1"/>
      <c r="DA2593" s="1"/>
      <c r="DB2593" s="1"/>
      <c r="DC2593" s="1"/>
      <c r="DD2593" s="1"/>
      <c r="DE2593" s="1"/>
      <c r="DF2593" s="1"/>
      <c r="DG2593" s="1"/>
      <c r="DH2593" s="1"/>
      <c r="DI2593" s="1"/>
      <c r="DJ2593" s="1"/>
      <c r="DK2593" s="1"/>
      <c r="DL2593" s="1"/>
      <c r="DM2593" s="1"/>
      <c r="DN2593" s="1"/>
      <c r="DO2593" s="1"/>
      <c r="DP2593" s="1"/>
      <c r="DQ2593" s="1"/>
      <c r="DR2593" s="1"/>
      <c r="DS2593" s="1"/>
      <c r="DT2593" s="1"/>
      <c r="DU2593" s="1"/>
      <c r="DV2593" s="1"/>
      <c r="DW2593" s="1"/>
      <c r="DX2593" s="1"/>
      <c r="DY2593" s="1"/>
      <c r="DZ2593" s="1"/>
      <c r="EA2593" s="1"/>
      <c r="EB2593" s="1"/>
      <c r="EC2593" s="1"/>
      <c r="ED2593" s="1"/>
      <c r="EE2593" s="1"/>
      <c r="EF2593" s="1"/>
      <c r="EG2593" s="1"/>
      <c r="EH2593" s="1"/>
      <c r="EI2593" s="1"/>
      <c r="EJ2593" s="1"/>
      <c r="EK2593" s="1"/>
      <c r="EL2593" s="1"/>
      <c r="EM2593" s="1"/>
      <c r="EN2593" s="1"/>
      <c r="EO2593" s="1"/>
      <c r="EP2593" s="1"/>
      <c r="EQ2593" s="1"/>
      <c r="ER2593" s="1"/>
      <c r="ES2593" s="1"/>
      <c r="ET2593" s="1"/>
      <c r="EU2593" s="1"/>
      <c r="EV2593" s="1"/>
      <c r="EW2593" s="1"/>
      <c r="EX2593" s="1"/>
      <c r="EY2593" s="1"/>
      <c r="EZ2593" s="1"/>
      <c r="FA2593" s="1"/>
      <c r="FB2593" s="1"/>
      <c r="FC2593" s="1"/>
      <c r="FD2593" s="1"/>
      <c r="FE2593" s="1"/>
      <c r="FF2593" s="1"/>
      <c r="FG2593" s="1"/>
      <c r="FH2593" s="1"/>
      <c r="FI2593" s="1"/>
      <c r="FJ2593" s="1"/>
      <c r="FK2593" s="1"/>
      <c r="FL2593" s="1"/>
      <c r="FM2593" s="1"/>
      <c r="FN2593" s="1"/>
      <c r="FO2593" s="1"/>
      <c r="FP2593" s="1"/>
      <c r="FQ2593" s="1"/>
      <c r="FR2593" s="1"/>
      <c r="FS2593" s="1"/>
      <c r="FT2593" s="1"/>
      <c r="FU2593" s="1"/>
      <c r="FV2593" s="1"/>
      <c r="FW2593" s="1"/>
      <c r="FX2593" s="1"/>
      <c r="FY2593" s="1"/>
      <c r="FZ2593" s="1"/>
      <c r="GA2593" s="1"/>
      <c r="GB2593" s="1"/>
      <c r="GC2593" s="1"/>
      <c r="GD2593" s="1"/>
      <c r="GE2593" s="1"/>
      <c r="GF2593" s="1"/>
      <c r="GG2593" s="1"/>
      <c r="GH2593" s="1"/>
      <c r="GI2593" s="1"/>
      <c r="GJ2593" s="1"/>
      <c r="GK2593" s="1"/>
      <c r="GL2593" s="1"/>
      <c r="GM2593" s="1"/>
      <c r="GN2593" s="1"/>
      <c r="GO2593" s="1"/>
      <c r="GP2593" s="1"/>
      <c r="GQ2593" s="1"/>
      <c r="GR2593" s="1"/>
      <c r="GS2593" s="1"/>
      <c r="GT2593" s="1"/>
      <c r="GU2593" s="1"/>
      <c r="GV2593" s="1"/>
      <c r="GW2593" s="1"/>
      <c r="GX2593" s="1"/>
      <c r="GY2593" s="1"/>
      <c r="GZ2593" s="1"/>
      <c r="HA2593" s="1"/>
      <c r="HB2593" s="1"/>
      <c r="HC2593" s="1"/>
      <c r="HD2593" s="1"/>
      <c r="HE2593" s="1"/>
      <c r="HF2593" s="1"/>
      <c r="HG2593" s="1"/>
      <c r="HH2593" s="1"/>
      <c r="HI2593" s="1"/>
      <c r="HJ2593" s="1"/>
      <c r="HK2593" s="1"/>
      <c r="HL2593" s="1"/>
      <c r="HM2593" s="1"/>
      <c r="HN2593" s="1"/>
      <c r="HO2593" s="1"/>
      <c r="HP2593" s="1"/>
      <c r="HQ2593" s="1"/>
    </row>
    <row r="2594" spans="1:225" ht="15.75" customHeight="1" x14ac:dyDescent="0.35">
      <c r="A2594" s="256">
        <f>A2591+1</f>
        <v>2</v>
      </c>
      <c r="B2594" s="302">
        <v>4444</v>
      </c>
      <c r="C2594" s="259" t="s">
        <v>730</v>
      </c>
      <c r="D2594" s="262">
        <v>725.1</v>
      </c>
      <c r="E2594" s="262" t="s">
        <v>75</v>
      </c>
      <c r="F2594" s="265">
        <v>2</v>
      </c>
      <c r="G2594" s="256" t="s">
        <v>72</v>
      </c>
      <c r="H2594" s="159" t="s">
        <v>73</v>
      </c>
      <c r="I2594" s="158">
        <f>I2595+I2596</f>
        <v>5123556.5999999996</v>
      </c>
      <c r="J2594" s="158">
        <f>J2595+J2596</f>
        <v>7066</v>
      </c>
      <c r="K2594" s="158">
        <f>K2595+K2596</f>
        <v>7066</v>
      </c>
      <c r="L2594" s="1"/>
      <c r="M2594" s="1"/>
      <c r="N2594" s="1"/>
      <c r="O2594" s="1"/>
      <c r="P2594" s="1"/>
      <c r="Q2594" s="1"/>
      <c r="R2594" s="1"/>
      <c r="S2594" s="1"/>
      <c r="T2594" s="1"/>
      <c r="U2594" s="1"/>
      <c r="V2594" s="1"/>
      <c r="W2594" s="1"/>
      <c r="X2594" s="1"/>
      <c r="Y2594" s="1"/>
      <c r="Z2594" s="1"/>
      <c r="AA2594" s="1"/>
      <c r="AB2594" s="1"/>
      <c r="AC2594" s="1"/>
      <c r="AD2594" s="1"/>
      <c r="AE2594" s="1"/>
      <c r="AF2594" s="1"/>
      <c r="AG2594" s="1"/>
      <c r="AH2594" s="1"/>
      <c r="AI2594" s="1"/>
      <c r="AJ2594" s="1"/>
      <c r="AK2594" s="1"/>
      <c r="AL2594" s="1"/>
      <c r="AM2594" s="1"/>
      <c r="AN2594" s="1"/>
      <c r="AO2594" s="1"/>
      <c r="AP2594" s="1"/>
      <c r="AQ2594" s="1"/>
      <c r="AR2594" s="1"/>
      <c r="AS2594" s="1"/>
      <c r="AT2594" s="1"/>
      <c r="AU2594" s="1"/>
      <c r="AV2594" s="1"/>
      <c r="AW2594" s="1"/>
      <c r="AX2594" s="1"/>
      <c r="AY2594" s="1"/>
      <c r="AZ2594" s="1"/>
      <c r="BA2594" s="1"/>
      <c r="BB2594" s="1"/>
      <c r="BC2594" s="1"/>
      <c r="BD2594" s="1"/>
      <c r="BE2594" s="1"/>
      <c r="BF2594" s="1"/>
      <c r="BG2594" s="1"/>
      <c r="BH2594" s="1"/>
      <c r="BI2594" s="1"/>
      <c r="BJ2594" s="1"/>
      <c r="BK2594" s="1"/>
      <c r="BL2594" s="1"/>
      <c r="BM2594" s="1"/>
      <c r="BN2594" s="1"/>
      <c r="BO2594" s="1"/>
      <c r="BP2594" s="1"/>
      <c r="BQ2594" s="1"/>
      <c r="BR2594" s="1"/>
      <c r="BS2594" s="1"/>
      <c r="BT2594" s="1"/>
      <c r="BU2594" s="1"/>
      <c r="BV2594" s="1"/>
      <c r="BW2594" s="1"/>
      <c r="BX2594" s="1"/>
      <c r="BY2594" s="1"/>
      <c r="BZ2594" s="1"/>
      <c r="CA2594" s="1"/>
      <c r="CB2594" s="1"/>
      <c r="CC2594" s="1"/>
      <c r="CD2594" s="1"/>
      <c r="CE2594" s="1"/>
      <c r="CF2594" s="1"/>
      <c r="CG2594" s="1"/>
      <c r="CH2594" s="1"/>
      <c r="CI2594" s="1"/>
      <c r="CJ2594" s="1"/>
      <c r="CK2594" s="1"/>
      <c r="CL2594" s="1"/>
      <c r="CM2594" s="1"/>
      <c r="CN2594" s="1"/>
      <c r="CO2594" s="1"/>
      <c r="CP2594" s="1"/>
      <c r="CQ2594" s="1"/>
      <c r="CR2594" s="1"/>
      <c r="CS2594" s="1"/>
      <c r="CT2594" s="1"/>
      <c r="CU2594" s="1"/>
      <c r="CV2594" s="1"/>
      <c r="CW2594" s="1"/>
      <c r="CX2594" s="1"/>
      <c r="CY2594" s="1"/>
      <c r="CZ2594" s="1"/>
      <c r="DA2594" s="1"/>
      <c r="DB2594" s="1"/>
      <c r="DC2594" s="1"/>
      <c r="DD2594" s="1"/>
      <c r="DE2594" s="1"/>
      <c r="DF2594" s="1"/>
      <c r="DG2594" s="1"/>
      <c r="DH2594" s="1"/>
      <c r="DI2594" s="1"/>
      <c r="DJ2594" s="1"/>
      <c r="DK2594" s="1"/>
      <c r="DL2594" s="1"/>
      <c r="DM2594" s="1"/>
      <c r="DN2594" s="1"/>
      <c r="DO2594" s="1"/>
      <c r="DP2594" s="1"/>
      <c r="DQ2594" s="1"/>
      <c r="DR2594" s="1"/>
      <c r="DS2594" s="1"/>
      <c r="DT2594" s="1"/>
      <c r="DU2594" s="1"/>
      <c r="DV2594" s="1"/>
      <c r="DW2594" s="1"/>
      <c r="DX2594" s="1"/>
      <c r="DY2594" s="1"/>
      <c r="DZ2594" s="1"/>
      <c r="EA2594" s="1"/>
      <c r="EB2594" s="1"/>
      <c r="EC2594" s="1"/>
      <c r="ED2594" s="1"/>
      <c r="EE2594" s="1"/>
      <c r="EF2594" s="1"/>
      <c r="EG2594" s="1"/>
      <c r="EH2594" s="1"/>
      <c r="EI2594" s="1"/>
      <c r="EJ2594" s="1"/>
      <c r="EK2594" s="1"/>
      <c r="EL2594" s="1"/>
      <c r="EM2594" s="1"/>
      <c r="EN2594" s="1"/>
      <c r="EO2594" s="1"/>
      <c r="EP2594" s="1"/>
      <c r="EQ2594" s="1"/>
      <c r="ER2594" s="1"/>
      <c r="ES2594" s="1"/>
      <c r="ET2594" s="1"/>
      <c r="EU2594" s="1"/>
      <c r="EV2594" s="1"/>
      <c r="EW2594" s="1"/>
      <c r="EX2594" s="1"/>
      <c r="EY2594" s="1"/>
      <c r="EZ2594" s="1"/>
      <c r="FA2594" s="1"/>
      <c r="FB2594" s="1"/>
      <c r="FC2594" s="1"/>
      <c r="FD2594" s="1"/>
      <c r="FE2594" s="1"/>
      <c r="FF2594" s="1"/>
      <c r="FG2594" s="1"/>
      <c r="FH2594" s="1"/>
      <c r="FI2594" s="1"/>
      <c r="FJ2594" s="1"/>
      <c r="FK2594" s="1"/>
      <c r="FL2594" s="1"/>
      <c r="FM2594" s="1"/>
      <c r="FN2594" s="1"/>
      <c r="FO2594" s="1"/>
      <c r="FP2594" s="1"/>
      <c r="FQ2594" s="1"/>
      <c r="FR2594" s="1"/>
      <c r="FS2594" s="1"/>
      <c r="FT2594" s="1"/>
      <c r="FU2594" s="1"/>
      <c r="FV2594" s="1"/>
      <c r="FW2594" s="1"/>
      <c r="FX2594" s="1"/>
      <c r="FY2594" s="1"/>
      <c r="FZ2594" s="1"/>
      <c r="GA2594" s="1"/>
      <c r="GB2594" s="1"/>
      <c r="GC2594" s="1"/>
      <c r="GD2594" s="1"/>
      <c r="GE2594" s="1"/>
      <c r="GF2594" s="1"/>
      <c r="GG2594" s="1"/>
      <c r="GH2594" s="1"/>
      <c r="GI2594" s="1"/>
      <c r="GJ2594" s="1"/>
      <c r="GK2594" s="1"/>
      <c r="GL2594" s="1"/>
      <c r="GM2594" s="1"/>
      <c r="GN2594" s="1"/>
      <c r="GO2594" s="1"/>
      <c r="GP2594" s="1"/>
      <c r="GQ2594" s="1"/>
      <c r="GR2594" s="1"/>
      <c r="GS2594" s="1"/>
      <c r="GT2594" s="1"/>
      <c r="GU2594" s="1"/>
      <c r="GV2594" s="1"/>
      <c r="GW2594" s="1"/>
      <c r="GX2594" s="1"/>
      <c r="GY2594" s="1"/>
      <c r="GZ2594" s="1"/>
      <c r="HA2594" s="1"/>
      <c r="HB2594" s="1"/>
      <c r="HC2594" s="1"/>
      <c r="HD2594" s="1"/>
      <c r="HE2594" s="1"/>
      <c r="HF2594" s="1"/>
      <c r="HG2594" s="1"/>
      <c r="HH2594" s="1"/>
      <c r="HI2594" s="1"/>
      <c r="HJ2594" s="1"/>
      <c r="HK2594" s="1"/>
      <c r="HL2594" s="1"/>
      <c r="HM2594" s="1"/>
      <c r="HN2594" s="1"/>
      <c r="HO2594" s="1"/>
      <c r="HP2594" s="1"/>
      <c r="HQ2594" s="1"/>
    </row>
    <row r="2595" spans="1:225" x14ac:dyDescent="0.35">
      <c r="A2595" s="257">
        <v>29</v>
      </c>
      <c r="B2595" s="303"/>
      <c r="C2595" s="260"/>
      <c r="D2595" s="263"/>
      <c r="E2595" s="263"/>
      <c r="F2595" s="266"/>
      <c r="G2595" s="257"/>
      <c r="H2595" s="159" t="s">
        <v>74</v>
      </c>
      <c r="I2595" s="158">
        <f>K2595*D2594</f>
        <v>5016241.8</v>
      </c>
      <c r="J2595" s="158">
        <f>I2595/D2594</f>
        <v>6918</v>
      </c>
      <c r="K2595" s="158">
        <v>6918</v>
      </c>
      <c r="L2595" s="1"/>
      <c r="M2595" s="1"/>
      <c r="N2595" s="1"/>
      <c r="O2595" s="1"/>
      <c r="P2595" s="1"/>
      <c r="Q2595" s="1"/>
      <c r="R2595" s="1"/>
      <c r="S2595" s="1"/>
      <c r="T2595" s="1"/>
      <c r="U2595" s="1"/>
      <c r="V2595" s="1"/>
      <c r="W2595" s="1"/>
      <c r="X2595" s="1"/>
      <c r="Y2595" s="1"/>
      <c r="Z2595" s="1"/>
      <c r="AA2595" s="1"/>
      <c r="AB2595" s="1"/>
      <c r="AC2595" s="1"/>
      <c r="AD2595" s="1"/>
      <c r="AE2595" s="1"/>
      <c r="AF2595" s="1"/>
      <c r="AG2595" s="1"/>
      <c r="AH2595" s="1"/>
      <c r="AI2595" s="1"/>
      <c r="AJ2595" s="1"/>
      <c r="AK2595" s="1"/>
      <c r="AL2595" s="1"/>
      <c r="AM2595" s="1"/>
      <c r="AN2595" s="1"/>
      <c r="AO2595" s="1"/>
      <c r="AP2595" s="1"/>
      <c r="AQ2595" s="1"/>
      <c r="AR2595" s="1"/>
      <c r="AS2595" s="1"/>
      <c r="AT2595" s="1"/>
      <c r="AU2595" s="1"/>
      <c r="AV2595" s="1"/>
      <c r="AW2595" s="1"/>
      <c r="AX2595" s="1"/>
      <c r="AY2595" s="1"/>
      <c r="AZ2595" s="1"/>
      <c r="BA2595" s="1"/>
      <c r="BB2595" s="1"/>
      <c r="BC2595" s="1"/>
      <c r="BD2595" s="1"/>
      <c r="BE2595" s="1"/>
      <c r="BF2595" s="1"/>
      <c r="BG2595" s="1"/>
      <c r="BH2595" s="1"/>
      <c r="BI2595" s="1"/>
      <c r="BJ2595" s="1"/>
      <c r="BK2595" s="1"/>
      <c r="BL2595" s="1"/>
      <c r="BM2595" s="1"/>
      <c r="BN2595" s="1"/>
      <c r="BO2595" s="1"/>
      <c r="BP2595" s="1"/>
      <c r="BQ2595" s="1"/>
      <c r="BR2595" s="1"/>
      <c r="BS2595" s="1"/>
      <c r="BT2595" s="1"/>
      <c r="BU2595" s="1"/>
      <c r="BV2595" s="1"/>
      <c r="BW2595" s="1"/>
      <c r="BX2595" s="1"/>
      <c r="BY2595" s="1"/>
      <c r="BZ2595" s="1"/>
      <c r="CA2595" s="1"/>
      <c r="CB2595" s="1"/>
      <c r="CC2595" s="1"/>
      <c r="CD2595" s="1"/>
      <c r="CE2595" s="1"/>
      <c r="CF2595" s="1"/>
      <c r="CG2595" s="1"/>
      <c r="CH2595" s="1"/>
      <c r="CI2595" s="1"/>
      <c r="CJ2595" s="1"/>
      <c r="CK2595" s="1"/>
      <c r="CL2595" s="1"/>
      <c r="CM2595" s="1"/>
      <c r="CN2595" s="1"/>
      <c r="CO2595" s="1"/>
      <c r="CP2595" s="1"/>
      <c r="CQ2595" s="1"/>
      <c r="CR2595" s="1"/>
      <c r="CS2595" s="1"/>
      <c r="CT2595" s="1"/>
      <c r="CU2595" s="1"/>
      <c r="CV2595" s="1"/>
      <c r="CW2595" s="1"/>
      <c r="CX2595" s="1"/>
      <c r="CY2595" s="1"/>
      <c r="CZ2595" s="1"/>
      <c r="DA2595" s="1"/>
      <c r="DB2595" s="1"/>
      <c r="DC2595" s="1"/>
      <c r="DD2595" s="1"/>
      <c r="DE2595" s="1"/>
      <c r="DF2595" s="1"/>
      <c r="DG2595" s="1"/>
      <c r="DH2595" s="1"/>
      <c r="DI2595" s="1"/>
      <c r="DJ2595" s="1"/>
      <c r="DK2595" s="1"/>
      <c r="DL2595" s="1"/>
      <c r="DM2595" s="1"/>
      <c r="DN2595" s="1"/>
      <c r="DO2595" s="1"/>
      <c r="DP2595" s="1"/>
      <c r="DQ2595" s="1"/>
      <c r="DR2595" s="1"/>
      <c r="DS2595" s="1"/>
      <c r="DT2595" s="1"/>
      <c r="DU2595" s="1"/>
      <c r="DV2595" s="1"/>
      <c r="DW2595" s="1"/>
      <c r="DX2595" s="1"/>
      <c r="DY2595" s="1"/>
      <c r="DZ2595" s="1"/>
      <c r="EA2595" s="1"/>
      <c r="EB2595" s="1"/>
      <c r="EC2595" s="1"/>
      <c r="ED2595" s="1"/>
      <c r="EE2595" s="1"/>
      <c r="EF2595" s="1"/>
      <c r="EG2595" s="1"/>
      <c r="EH2595" s="1"/>
      <c r="EI2595" s="1"/>
      <c r="EJ2595" s="1"/>
      <c r="EK2595" s="1"/>
      <c r="EL2595" s="1"/>
      <c r="EM2595" s="1"/>
      <c r="EN2595" s="1"/>
      <c r="EO2595" s="1"/>
      <c r="EP2595" s="1"/>
      <c r="EQ2595" s="1"/>
      <c r="ER2595" s="1"/>
      <c r="ES2595" s="1"/>
      <c r="ET2595" s="1"/>
      <c r="EU2595" s="1"/>
      <c r="EV2595" s="1"/>
      <c r="EW2595" s="1"/>
      <c r="EX2595" s="1"/>
      <c r="EY2595" s="1"/>
      <c r="EZ2595" s="1"/>
      <c r="FA2595" s="1"/>
      <c r="FB2595" s="1"/>
      <c r="FC2595" s="1"/>
      <c r="FD2595" s="1"/>
      <c r="FE2595" s="1"/>
      <c r="FF2595" s="1"/>
      <c r="FG2595" s="1"/>
      <c r="FH2595" s="1"/>
      <c r="FI2595" s="1"/>
      <c r="FJ2595" s="1"/>
      <c r="FK2595" s="1"/>
      <c r="FL2595" s="1"/>
      <c r="FM2595" s="1"/>
      <c r="FN2595" s="1"/>
      <c r="FO2595" s="1"/>
      <c r="FP2595" s="1"/>
      <c r="FQ2595" s="1"/>
      <c r="FR2595" s="1"/>
      <c r="FS2595" s="1"/>
      <c r="FT2595" s="1"/>
      <c r="FU2595" s="1"/>
      <c r="FV2595" s="1"/>
      <c r="FW2595" s="1"/>
      <c r="FX2595" s="1"/>
      <c r="FY2595" s="1"/>
      <c r="FZ2595" s="1"/>
      <c r="GA2595" s="1"/>
      <c r="GB2595" s="1"/>
      <c r="GC2595" s="1"/>
      <c r="GD2595" s="1"/>
      <c r="GE2595" s="1"/>
      <c r="GF2595" s="1"/>
      <c r="GG2595" s="1"/>
      <c r="GH2595" s="1"/>
      <c r="GI2595" s="1"/>
      <c r="GJ2595" s="1"/>
      <c r="GK2595" s="1"/>
      <c r="GL2595" s="1"/>
      <c r="GM2595" s="1"/>
      <c r="GN2595" s="1"/>
      <c r="GO2595" s="1"/>
      <c r="GP2595" s="1"/>
      <c r="GQ2595" s="1"/>
      <c r="GR2595" s="1"/>
      <c r="GS2595" s="1"/>
      <c r="GT2595" s="1"/>
      <c r="GU2595" s="1"/>
      <c r="GV2595" s="1"/>
      <c r="GW2595" s="1"/>
      <c r="GX2595" s="1"/>
      <c r="GY2595" s="1"/>
      <c r="GZ2595" s="1"/>
      <c r="HA2595" s="1"/>
      <c r="HB2595" s="1"/>
      <c r="HC2595" s="1"/>
      <c r="HD2595" s="1"/>
      <c r="HE2595" s="1"/>
      <c r="HF2595" s="1"/>
      <c r="HG2595" s="1"/>
      <c r="HH2595" s="1"/>
      <c r="HI2595" s="1"/>
      <c r="HJ2595" s="1"/>
      <c r="HK2595" s="1"/>
      <c r="HL2595" s="1"/>
      <c r="HM2595" s="1"/>
      <c r="HN2595" s="1"/>
      <c r="HO2595" s="1"/>
      <c r="HP2595" s="1"/>
      <c r="HQ2595" s="1"/>
    </row>
    <row r="2596" spans="1:225" x14ac:dyDescent="0.35">
      <c r="A2596" s="258">
        <v>30</v>
      </c>
      <c r="B2596" s="304"/>
      <c r="C2596" s="261"/>
      <c r="D2596" s="264"/>
      <c r="E2596" s="264"/>
      <c r="F2596" s="267"/>
      <c r="G2596" s="258"/>
      <c r="H2596" s="159" t="s">
        <v>76</v>
      </c>
      <c r="I2596" s="158">
        <f>K2596*D2594</f>
        <v>107314.8</v>
      </c>
      <c r="J2596" s="158">
        <f>I2596/D2594</f>
        <v>148</v>
      </c>
      <c r="K2596" s="158">
        <v>148</v>
      </c>
      <c r="L2596" s="1"/>
      <c r="M2596" s="1"/>
      <c r="N2596" s="1"/>
      <c r="O2596" s="1"/>
      <c r="P2596" s="1"/>
      <c r="Q2596" s="1"/>
      <c r="R2596" s="1"/>
      <c r="S2596" s="1"/>
      <c r="T2596" s="1"/>
      <c r="U2596" s="1"/>
      <c r="V2596" s="1"/>
      <c r="W2596" s="1"/>
      <c r="X2596" s="1"/>
      <c r="Y2596" s="1"/>
      <c r="Z2596" s="1"/>
      <c r="AA2596" s="1"/>
      <c r="AB2596" s="1"/>
      <c r="AC2596" s="1"/>
      <c r="AD2596" s="1"/>
      <c r="AE2596" s="1"/>
      <c r="AF2596" s="1"/>
      <c r="AG2596" s="1"/>
      <c r="AH2596" s="1"/>
      <c r="AI2596" s="1"/>
      <c r="AJ2596" s="1"/>
      <c r="AK2596" s="1"/>
      <c r="AL2596" s="1"/>
      <c r="AM2596" s="1"/>
      <c r="AN2596" s="1"/>
      <c r="AO2596" s="1"/>
      <c r="AP2596" s="1"/>
      <c r="AQ2596" s="1"/>
      <c r="AR2596" s="1"/>
      <c r="AS2596" s="1"/>
      <c r="AT2596" s="1"/>
      <c r="AU2596" s="1"/>
      <c r="AV2596" s="1"/>
      <c r="AW2596" s="1"/>
      <c r="AX2596" s="1"/>
      <c r="AY2596" s="1"/>
      <c r="AZ2596" s="1"/>
      <c r="BA2596" s="1"/>
      <c r="BB2596" s="1"/>
      <c r="BC2596" s="1"/>
      <c r="BD2596" s="1"/>
      <c r="BE2596" s="1"/>
      <c r="BF2596" s="1"/>
      <c r="BG2596" s="1"/>
      <c r="BH2596" s="1"/>
      <c r="BI2596" s="1"/>
      <c r="BJ2596" s="1"/>
      <c r="BK2596" s="1"/>
      <c r="BL2596" s="1"/>
      <c r="BM2596" s="1"/>
      <c r="BN2596" s="1"/>
      <c r="BO2596" s="1"/>
      <c r="BP2596" s="1"/>
      <c r="BQ2596" s="1"/>
      <c r="BR2596" s="1"/>
      <c r="BS2596" s="1"/>
      <c r="BT2596" s="1"/>
      <c r="BU2596" s="1"/>
      <c r="BV2596" s="1"/>
      <c r="BW2596" s="1"/>
      <c r="BX2596" s="1"/>
      <c r="BY2596" s="1"/>
      <c r="BZ2596" s="1"/>
      <c r="CA2596" s="1"/>
      <c r="CB2596" s="1"/>
      <c r="CC2596" s="1"/>
      <c r="CD2596" s="1"/>
      <c r="CE2596" s="1"/>
      <c r="CF2596" s="1"/>
      <c r="CG2596" s="1"/>
      <c r="CH2596" s="1"/>
      <c r="CI2596" s="1"/>
      <c r="CJ2596" s="1"/>
      <c r="CK2596" s="1"/>
      <c r="CL2596" s="1"/>
      <c r="CM2596" s="1"/>
      <c r="CN2596" s="1"/>
      <c r="CO2596" s="1"/>
      <c r="CP2596" s="1"/>
      <c r="CQ2596" s="1"/>
      <c r="CR2596" s="1"/>
      <c r="CS2596" s="1"/>
      <c r="CT2596" s="1"/>
      <c r="CU2596" s="1"/>
      <c r="CV2596" s="1"/>
      <c r="CW2596" s="1"/>
      <c r="CX2596" s="1"/>
      <c r="CY2596" s="1"/>
      <c r="CZ2596" s="1"/>
      <c r="DA2596" s="1"/>
      <c r="DB2596" s="1"/>
      <c r="DC2596" s="1"/>
      <c r="DD2596" s="1"/>
      <c r="DE2596" s="1"/>
      <c r="DF2596" s="1"/>
      <c r="DG2596" s="1"/>
      <c r="DH2596" s="1"/>
      <c r="DI2596" s="1"/>
      <c r="DJ2596" s="1"/>
      <c r="DK2596" s="1"/>
      <c r="DL2596" s="1"/>
      <c r="DM2596" s="1"/>
      <c r="DN2596" s="1"/>
      <c r="DO2596" s="1"/>
      <c r="DP2596" s="1"/>
      <c r="DQ2596" s="1"/>
      <c r="DR2596" s="1"/>
      <c r="DS2596" s="1"/>
      <c r="DT2596" s="1"/>
      <c r="DU2596" s="1"/>
      <c r="DV2596" s="1"/>
      <c r="DW2596" s="1"/>
      <c r="DX2596" s="1"/>
      <c r="DY2596" s="1"/>
      <c r="DZ2596" s="1"/>
      <c r="EA2596" s="1"/>
      <c r="EB2596" s="1"/>
      <c r="EC2596" s="1"/>
      <c r="ED2596" s="1"/>
      <c r="EE2596" s="1"/>
      <c r="EF2596" s="1"/>
      <c r="EG2596" s="1"/>
      <c r="EH2596" s="1"/>
      <c r="EI2596" s="1"/>
      <c r="EJ2596" s="1"/>
      <c r="EK2596" s="1"/>
      <c r="EL2596" s="1"/>
      <c r="EM2596" s="1"/>
      <c r="EN2596" s="1"/>
      <c r="EO2596" s="1"/>
      <c r="EP2596" s="1"/>
      <c r="EQ2596" s="1"/>
      <c r="ER2596" s="1"/>
      <c r="ES2596" s="1"/>
      <c r="ET2596" s="1"/>
      <c r="EU2596" s="1"/>
      <c r="EV2596" s="1"/>
      <c r="EW2596" s="1"/>
      <c r="EX2596" s="1"/>
      <c r="EY2596" s="1"/>
      <c r="EZ2596" s="1"/>
      <c r="FA2596" s="1"/>
      <c r="FB2596" s="1"/>
      <c r="FC2596" s="1"/>
      <c r="FD2596" s="1"/>
      <c r="FE2596" s="1"/>
      <c r="FF2596" s="1"/>
      <c r="FG2596" s="1"/>
      <c r="FH2596" s="1"/>
      <c r="FI2596" s="1"/>
      <c r="FJ2596" s="1"/>
      <c r="FK2596" s="1"/>
      <c r="FL2596" s="1"/>
      <c r="FM2596" s="1"/>
      <c r="FN2596" s="1"/>
      <c r="FO2596" s="1"/>
      <c r="FP2596" s="1"/>
      <c r="FQ2596" s="1"/>
      <c r="FR2596" s="1"/>
      <c r="FS2596" s="1"/>
      <c r="FT2596" s="1"/>
      <c r="FU2596" s="1"/>
      <c r="FV2596" s="1"/>
      <c r="FW2596" s="1"/>
      <c r="FX2596" s="1"/>
      <c r="FY2596" s="1"/>
      <c r="FZ2596" s="1"/>
      <c r="GA2596" s="1"/>
      <c r="GB2596" s="1"/>
      <c r="GC2596" s="1"/>
      <c r="GD2596" s="1"/>
      <c r="GE2596" s="1"/>
      <c r="GF2596" s="1"/>
      <c r="GG2596" s="1"/>
      <c r="GH2596" s="1"/>
      <c r="GI2596" s="1"/>
      <c r="GJ2596" s="1"/>
      <c r="GK2596" s="1"/>
      <c r="GL2596" s="1"/>
      <c r="GM2596" s="1"/>
      <c r="GN2596" s="1"/>
      <c r="GO2596" s="1"/>
      <c r="GP2596" s="1"/>
      <c r="GQ2596" s="1"/>
      <c r="GR2596" s="1"/>
      <c r="GS2596" s="1"/>
      <c r="GT2596" s="1"/>
      <c r="GU2596" s="1"/>
      <c r="GV2596" s="1"/>
      <c r="GW2596" s="1"/>
      <c r="GX2596" s="1"/>
      <c r="GY2596" s="1"/>
      <c r="GZ2596" s="1"/>
      <c r="HA2596" s="1"/>
      <c r="HB2596" s="1"/>
      <c r="HC2596" s="1"/>
      <c r="HD2596" s="1"/>
      <c r="HE2596" s="1"/>
      <c r="HF2596" s="1"/>
      <c r="HG2596" s="1"/>
      <c r="HH2596" s="1"/>
      <c r="HI2596" s="1"/>
      <c r="HJ2596" s="1"/>
      <c r="HK2596" s="1"/>
      <c r="HL2596" s="1"/>
      <c r="HM2596" s="1"/>
      <c r="HN2596" s="1"/>
      <c r="HO2596" s="1"/>
      <c r="HP2596" s="1"/>
      <c r="HQ2596" s="1"/>
    </row>
    <row r="2597" spans="1:225" ht="15.75" customHeight="1" x14ac:dyDescent="0.35">
      <c r="A2597" s="256">
        <f>A2594+1</f>
        <v>3</v>
      </c>
      <c r="B2597" s="302">
        <v>4516</v>
      </c>
      <c r="C2597" s="259" t="s">
        <v>716</v>
      </c>
      <c r="D2597" s="262">
        <v>704.7</v>
      </c>
      <c r="E2597" s="262" t="s">
        <v>75</v>
      </c>
      <c r="F2597" s="265">
        <v>2</v>
      </c>
      <c r="G2597" s="256" t="s">
        <v>72</v>
      </c>
      <c r="H2597" s="159" t="s">
        <v>73</v>
      </c>
      <c r="I2597" s="158">
        <f>I2598+I2599</f>
        <v>4979410.2</v>
      </c>
      <c r="J2597" s="158">
        <f>J2598+J2599</f>
        <v>7066</v>
      </c>
      <c r="K2597" s="158">
        <f>K2598+K2599</f>
        <v>7066</v>
      </c>
      <c r="L2597" s="1"/>
      <c r="M2597" s="1"/>
      <c r="N2597" s="1"/>
      <c r="O2597" s="1"/>
      <c r="P2597" s="1"/>
      <c r="Q2597" s="1"/>
      <c r="R2597" s="1"/>
      <c r="S2597" s="1"/>
      <c r="T2597" s="1"/>
      <c r="U2597" s="1"/>
      <c r="V2597" s="1"/>
      <c r="W2597" s="1"/>
      <c r="X2597" s="1"/>
      <c r="Y2597" s="1"/>
      <c r="Z2597" s="1"/>
      <c r="AA2597" s="1"/>
      <c r="AB2597" s="1"/>
      <c r="AC2597" s="1"/>
      <c r="AD2597" s="1"/>
      <c r="AE2597" s="1"/>
      <c r="AF2597" s="1"/>
      <c r="AG2597" s="1"/>
      <c r="AH2597" s="1"/>
      <c r="AI2597" s="1"/>
      <c r="AJ2597" s="1"/>
      <c r="AK2597" s="1"/>
      <c r="AL2597" s="1"/>
      <c r="AM2597" s="1"/>
      <c r="AN2597" s="1"/>
      <c r="AO2597" s="1"/>
      <c r="AP2597" s="1"/>
      <c r="AQ2597" s="1"/>
      <c r="AR2597" s="1"/>
      <c r="AS2597" s="1"/>
      <c r="AT2597" s="1"/>
      <c r="AU2597" s="1"/>
      <c r="AV2597" s="1"/>
      <c r="AW2597" s="1"/>
      <c r="AX2597" s="1"/>
      <c r="AY2597" s="1"/>
      <c r="AZ2597" s="1"/>
      <c r="BA2597" s="1"/>
      <c r="BB2597" s="1"/>
      <c r="BC2597" s="1"/>
      <c r="BD2597" s="1"/>
      <c r="BE2597" s="1"/>
      <c r="BF2597" s="1"/>
      <c r="BG2597" s="1"/>
      <c r="BH2597" s="1"/>
      <c r="BI2597" s="1"/>
      <c r="BJ2597" s="1"/>
      <c r="BK2597" s="1"/>
      <c r="BL2597" s="1"/>
      <c r="BM2597" s="1"/>
      <c r="BN2597" s="1"/>
      <c r="BO2597" s="1"/>
      <c r="BP2597" s="1"/>
      <c r="BQ2597" s="1"/>
      <c r="BR2597" s="1"/>
      <c r="BS2597" s="1"/>
      <c r="BT2597" s="1"/>
      <c r="BU2597" s="1"/>
      <c r="BV2597" s="1"/>
      <c r="BW2597" s="1"/>
      <c r="BX2597" s="1"/>
      <c r="BY2597" s="1"/>
      <c r="BZ2597" s="1"/>
      <c r="CA2597" s="1"/>
      <c r="CB2597" s="1"/>
      <c r="CC2597" s="1"/>
      <c r="CD2597" s="1"/>
      <c r="CE2597" s="1"/>
      <c r="CF2597" s="1"/>
      <c r="CG2597" s="1"/>
      <c r="CH2597" s="1"/>
      <c r="CI2597" s="1"/>
      <c r="CJ2597" s="1"/>
      <c r="CK2597" s="1"/>
      <c r="CL2597" s="1"/>
      <c r="CM2597" s="1"/>
      <c r="CN2597" s="1"/>
      <c r="CO2597" s="1"/>
      <c r="CP2597" s="1"/>
      <c r="CQ2597" s="1"/>
      <c r="CR2597" s="1"/>
      <c r="CS2597" s="1"/>
      <c r="CT2597" s="1"/>
      <c r="CU2597" s="1"/>
      <c r="CV2597" s="1"/>
      <c r="CW2597" s="1"/>
      <c r="CX2597" s="1"/>
      <c r="CY2597" s="1"/>
      <c r="CZ2597" s="1"/>
      <c r="DA2597" s="1"/>
      <c r="DB2597" s="1"/>
      <c r="DC2597" s="1"/>
      <c r="DD2597" s="1"/>
      <c r="DE2597" s="1"/>
      <c r="DF2597" s="1"/>
      <c r="DG2597" s="1"/>
      <c r="DH2597" s="1"/>
      <c r="DI2597" s="1"/>
      <c r="DJ2597" s="1"/>
      <c r="DK2597" s="1"/>
      <c r="DL2597" s="1"/>
      <c r="DM2597" s="1"/>
      <c r="DN2597" s="1"/>
      <c r="DO2597" s="1"/>
      <c r="DP2597" s="1"/>
      <c r="DQ2597" s="1"/>
      <c r="DR2597" s="1"/>
      <c r="DS2597" s="1"/>
      <c r="DT2597" s="1"/>
      <c r="DU2597" s="1"/>
      <c r="DV2597" s="1"/>
      <c r="DW2597" s="1"/>
      <c r="DX2597" s="1"/>
      <c r="DY2597" s="1"/>
      <c r="DZ2597" s="1"/>
      <c r="EA2597" s="1"/>
      <c r="EB2597" s="1"/>
      <c r="EC2597" s="1"/>
      <c r="ED2597" s="1"/>
      <c r="EE2597" s="1"/>
      <c r="EF2597" s="1"/>
      <c r="EG2597" s="1"/>
      <c r="EH2597" s="1"/>
      <c r="EI2597" s="1"/>
      <c r="EJ2597" s="1"/>
      <c r="EK2597" s="1"/>
      <c r="EL2597" s="1"/>
      <c r="EM2597" s="1"/>
      <c r="EN2597" s="1"/>
      <c r="EO2597" s="1"/>
      <c r="EP2597" s="1"/>
      <c r="EQ2597" s="1"/>
      <c r="ER2597" s="1"/>
      <c r="ES2597" s="1"/>
      <c r="ET2597" s="1"/>
      <c r="EU2597" s="1"/>
      <c r="EV2597" s="1"/>
      <c r="EW2597" s="1"/>
      <c r="EX2597" s="1"/>
      <c r="EY2597" s="1"/>
      <c r="EZ2597" s="1"/>
      <c r="FA2597" s="1"/>
      <c r="FB2597" s="1"/>
      <c r="FC2597" s="1"/>
      <c r="FD2597" s="1"/>
      <c r="FE2597" s="1"/>
      <c r="FF2597" s="1"/>
      <c r="FG2597" s="1"/>
      <c r="FH2597" s="1"/>
      <c r="FI2597" s="1"/>
      <c r="FJ2597" s="1"/>
      <c r="FK2597" s="1"/>
      <c r="FL2597" s="1"/>
      <c r="FM2597" s="1"/>
      <c r="FN2597" s="1"/>
      <c r="FO2597" s="1"/>
      <c r="FP2597" s="1"/>
      <c r="FQ2597" s="1"/>
      <c r="FR2597" s="1"/>
      <c r="FS2597" s="1"/>
      <c r="FT2597" s="1"/>
      <c r="FU2597" s="1"/>
      <c r="FV2597" s="1"/>
      <c r="FW2597" s="1"/>
      <c r="FX2597" s="1"/>
      <c r="FY2597" s="1"/>
      <c r="FZ2597" s="1"/>
      <c r="GA2597" s="1"/>
      <c r="GB2597" s="1"/>
      <c r="GC2597" s="1"/>
      <c r="GD2597" s="1"/>
      <c r="GE2597" s="1"/>
      <c r="GF2597" s="1"/>
      <c r="GG2597" s="1"/>
      <c r="GH2597" s="1"/>
      <c r="GI2597" s="1"/>
      <c r="GJ2597" s="1"/>
      <c r="GK2597" s="1"/>
      <c r="GL2597" s="1"/>
      <c r="GM2597" s="1"/>
      <c r="GN2597" s="1"/>
      <c r="GO2597" s="1"/>
      <c r="GP2597" s="1"/>
      <c r="GQ2597" s="1"/>
      <c r="GR2597" s="1"/>
      <c r="GS2597" s="1"/>
      <c r="GT2597" s="1"/>
      <c r="GU2597" s="1"/>
      <c r="GV2597" s="1"/>
      <c r="GW2597" s="1"/>
      <c r="GX2597" s="1"/>
      <c r="GY2597" s="1"/>
      <c r="GZ2597" s="1"/>
      <c r="HA2597" s="1"/>
      <c r="HB2597" s="1"/>
      <c r="HC2597" s="1"/>
      <c r="HD2597" s="1"/>
      <c r="HE2597" s="1"/>
      <c r="HF2597" s="1"/>
      <c r="HG2597" s="1"/>
      <c r="HH2597" s="1"/>
      <c r="HI2597" s="1"/>
      <c r="HJ2597" s="1"/>
      <c r="HK2597" s="1"/>
      <c r="HL2597" s="1"/>
      <c r="HM2597" s="1"/>
      <c r="HN2597" s="1"/>
      <c r="HO2597" s="1"/>
      <c r="HP2597" s="1"/>
      <c r="HQ2597" s="1"/>
    </row>
    <row r="2598" spans="1:225" x14ac:dyDescent="0.35">
      <c r="A2598" s="257">
        <v>29</v>
      </c>
      <c r="B2598" s="303"/>
      <c r="C2598" s="260"/>
      <c r="D2598" s="263"/>
      <c r="E2598" s="263"/>
      <c r="F2598" s="266"/>
      <c r="G2598" s="257"/>
      <c r="H2598" s="159" t="s">
        <v>74</v>
      </c>
      <c r="I2598" s="158">
        <f>D2597*K2598</f>
        <v>4875114.5999999996</v>
      </c>
      <c r="J2598" s="158">
        <f>I2598/D2597</f>
        <v>6918</v>
      </c>
      <c r="K2598" s="158">
        <v>6918</v>
      </c>
      <c r="L2598" s="1"/>
      <c r="M2598" s="1"/>
      <c r="N2598" s="1"/>
      <c r="O2598" s="1"/>
      <c r="P2598" s="1"/>
      <c r="Q2598" s="1"/>
      <c r="R2598" s="1"/>
      <c r="S2598" s="1"/>
      <c r="T2598" s="1"/>
      <c r="U2598" s="1"/>
      <c r="V2598" s="1"/>
      <c r="W2598" s="1"/>
      <c r="X2598" s="1"/>
      <c r="Y2598" s="1"/>
      <c r="Z2598" s="1"/>
      <c r="AA2598" s="1"/>
      <c r="AB2598" s="1"/>
      <c r="AC2598" s="1"/>
      <c r="AD2598" s="1"/>
      <c r="AE2598" s="1"/>
      <c r="AF2598" s="1"/>
      <c r="AG2598" s="1"/>
      <c r="AH2598" s="1"/>
      <c r="AI2598" s="1"/>
      <c r="AJ2598" s="1"/>
      <c r="AK2598" s="1"/>
      <c r="AL2598" s="1"/>
      <c r="AM2598" s="1"/>
      <c r="AN2598" s="1"/>
      <c r="AO2598" s="1"/>
      <c r="AP2598" s="1"/>
      <c r="AQ2598" s="1"/>
      <c r="AR2598" s="1"/>
      <c r="AS2598" s="1"/>
      <c r="AT2598" s="1"/>
      <c r="AU2598" s="1"/>
      <c r="AV2598" s="1"/>
      <c r="AW2598" s="1"/>
      <c r="AX2598" s="1"/>
      <c r="AY2598" s="1"/>
      <c r="AZ2598" s="1"/>
      <c r="BA2598" s="1"/>
      <c r="BB2598" s="1"/>
      <c r="BC2598" s="1"/>
      <c r="BD2598" s="1"/>
      <c r="BE2598" s="1"/>
      <c r="BF2598" s="1"/>
      <c r="BG2598" s="1"/>
      <c r="BH2598" s="1"/>
      <c r="BI2598" s="1"/>
      <c r="BJ2598" s="1"/>
      <c r="BK2598" s="1"/>
      <c r="BL2598" s="1"/>
      <c r="BM2598" s="1"/>
      <c r="BN2598" s="1"/>
      <c r="BO2598" s="1"/>
      <c r="BP2598" s="1"/>
      <c r="BQ2598" s="1"/>
      <c r="BR2598" s="1"/>
      <c r="BS2598" s="1"/>
      <c r="BT2598" s="1"/>
      <c r="BU2598" s="1"/>
      <c r="BV2598" s="1"/>
      <c r="BW2598" s="1"/>
      <c r="BX2598" s="1"/>
      <c r="BY2598" s="1"/>
      <c r="BZ2598" s="1"/>
      <c r="CA2598" s="1"/>
      <c r="CB2598" s="1"/>
      <c r="CC2598" s="1"/>
      <c r="CD2598" s="1"/>
      <c r="CE2598" s="1"/>
      <c r="CF2598" s="1"/>
      <c r="CG2598" s="1"/>
      <c r="CH2598" s="1"/>
      <c r="CI2598" s="1"/>
      <c r="CJ2598" s="1"/>
      <c r="CK2598" s="1"/>
      <c r="CL2598" s="1"/>
      <c r="CM2598" s="1"/>
      <c r="CN2598" s="1"/>
      <c r="CO2598" s="1"/>
      <c r="CP2598" s="1"/>
      <c r="CQ2598" s="1"/>
      <c r="CR2598" s="1"/>
      <c r="CS2598" s="1"/>
      <c r="CT2598" s="1"/>
      <c r="CU2598" s="1"/>
      <c r="CV2598" s="1"/>
      <c r="CW2598" s="1"/>
      <c r="CX2598" s="1"/>
      <c r="CY2598" s="1"/>
      <c r="CZ2598" s="1"/>
      <c r="DA2598" s="1"/>
      <c r="DB2598" s="1"/>
      <c r="DC2598" s="1"/>
      <c r="DD2598" s="1"/>
      <c r="DE2598" s="1"/>
      <c r="DF2598" s="1"/>
      <c r="DG2598" s="1"/>
      <c r="DH2598" s="1"/>
      <c r="DI2598" s="1"/>
      <c r="DJ2598" s="1"/>
      <c r="DK2598" s="1"/>
      <c r="DL2598" s="1"/>
      <c r="DM2598" s="1"/>
      <c r="DN2598" s="1"/>
      <c r="DO2598" s="1"/>
      <c r="DP2598" s="1"/>
      <c r="DQ2598" s="1"/>
      <c r="DR2598" s="1"/>
      <c r="DS2598" s="1"/>
      <c r="DT2598" s="1"/>
      <c r="DU2598" s="1"/>
      <c r="DV2598" s="1"/>
      <c r="DW2598" s="1"/>
      <c r="DX2598" s="1"/>
      <c r="DY2598" s="1"/>
      <c r="DZ2598" s="1"/>
      <c r="EA2598" s="1"/>
      <c r="EB2598" s="1"/>
      <c r="EC2598" s="1"/>
      <c r="ED2598" s="1"/>
      <c r="EE2598" s="1"/>
      <c r="EF2598" s="1"/>
      <c r="EG2598" s="1"/>
      <c r="EH2598" s="1"/>
      <c r="EI2598" s="1"/>
      <c r="EJ2598" s="1"/>
      <c r="EK2598" s="1"/>
      <c r="EL2598" s="1"/>
      <c r="EM2598" s="1"/>
      <c r="EN2598" s="1"/>
      <c r="EO2598" s="1"/>
      <c r="EP2598" s="1"/>
      <c r="EQ2598" s="1"/>
      <c r="ER2598" s="1"/>
      <c r="ES2598" s="1"/>
      <c r="ET2598" s="1"/>
      <c r="EU2598" s="1"/>
      <c r="EV2598" s="1"/>
      <c r="EW2598" s="1"/>
      <c r="EX2598" s="1"/>
      <c r="EY2598" s="1"/>
      <c r="EZ2598" s="1"/>
      <c r="FA2598" s="1"/>
      <c r="FB2598" s="1"/>
      <c r="FC2598" s="1"/>
      <c r="FD2598" s="1"/>
      <c r="FE2598" s="1"/>
      <c r="FF2598" s="1"/>
      <c r="FG2598" s="1"/>
      <c r="FH2598" s="1"/>
      <c r="FI2598" s="1"/>
      <c r="FJ2598" s="1"/>
      <c r="FK2598" s="1"/>
      <c r="FL2598" s="1"/>
      <c r="FM2598" s="1"/>
      <c r="FN2598" s="1"/>
      <c r="FO2598" s="1"/>
      <c r="FP2598" s="1"/>
      <c r="FQ2598" s="1"/>
      <c r="FR2598" s="1"/>
      <c r="FS2598" s="1"/>
      <c r="FT2598" s="1"/>
      <c r="FU2598" s="1"/>
      <c r="FV2598" s="1"/>
      <c r="FW2598" s="1"/>
      <c r="FX2598" s="1"/>
      <c r="FY2598" s="1"/>
      <c r="FZ2598" s="1"/>
      <c r="GA2598" s="1"/>
      <c r="GB2598" s="1"/>
      <c r="GC2598" s="1"/>
      <c r="GD2598" s="1"/>
      <c r="GE2598" s="1"/>
      <c r="GF2598" s="1"/>
      <c r="GG2598" s="1"/>
      <c r="GH2598" s="1"/>
      <c r="GI2598" s="1"/>
      <c r="GJ2598" s="1"/>
      <c r="GK2598" s="1"/>
      <c r="GL2598" s="1"/>
      <c r="GM2598" s="1"/>
      <c r="GN2598" s="1"/>
      <c r="GO2598" s="1"/>
      <c r="GP2598" s="1"/>
      <c r="GQ2598" s="1"/>
      <c r="GR2598" s="1"/>
      <c r="GS2598" s="1"/>
      <c r="GT2598" s="1"/>
      <c r="GU2598" s="1"/>
      <c r="GV2598" s="1"/>
      <c r="GW2598" s="1"/>
      <c r="GX2598" s="1"/>
      <c r="GY2598" s="1"/>
      <c r="GZ2598" s="1"/>
      <c r="HA2598" s="1"/>
      <c r="HB2598" s="1"/>
      <c r="HC2598" s="1"/>
      <c r="HD2598" s="1"/>
      <c r="HE2598" s="1"/>
      <c r="HF2598" s="1"/>
      <c r="HG2598" s="1"/>
      <c r="HH2598" s="1"/>
      <c r="HI2598" s="1"/>
      <c r="HJ2598" s="1"/>
      <c r="HK2598" s="1"/>
      <c r="HL2598" s="1"/>
      <c r="HM2598" s="1"/>
      <c r="HN2598" s="1"/>
      <c r="HO2598" s="1"/>
      <c r="HP2598" s="1"/>
      <c r="HQ2598" s="1"/>
    </row>
    <row r="2599" spans="1:225" x14ac:dyDescent="0.35">
      <c r="A2599" s="258">
        <v>30</v>
      </c>
      <c r="B2599" s="304"/>
      <c r="C2599" s="261"/>
      <c r="D2599" s="264"/>
      <c r="E2599" s="264"/>
      <c r="F2599" s="267"/>
      <c r="G2599" s="258"/>
      <c r="H2599" s="159" t="s">
        <v>76</v>
      </c>
      <c r="I2599" s="158">
        <f>K2599*D2597</f>
        <v>104295.6</v>
      </c>
      <c r="J2599" s="158">
        <f>I2599/D2597</f>
        <v>148</v>
      </c>
      <c r="K2599" s="158">
        <v>148</v>
      </c>
      <c r="L2599" s="1"/>
      <c r="M2599" s="1"/>
      <c r="N2599" s="1"/>
      <c r="O2599" s="1"/>
      <c r="P2599" s="1"/>
      <c r="Q2599" s="1"/>
      <c r="R2599" s="1"/>
      <c r="S2599" s="1"/>
      <c r="T2599" s="1"/>
      <c r="U2599" s="1"/>
      <c r="V2599" s="1"/>
      <c r="W2599" s="1"/>
      <c r="X2599" s="1"/>
      <c r="Y2599" s="1"/>
      <c r="Z2599" s="1"/>
      <c r="AA2599" s="1"/>
      <c r="AB2599" s="1"/>
      <c r="AC2599" s="1"/>
      <c r="AD2599" s="1"/>
      <c r="AE2599" s="1"/>
      <c r="AF2599" s="1"/>
      <c r="AG2599" s="1"/>
      <c r="AH2599" s="1"/>
      <c r="AI2599" s="1"/>
      <c r="AJ2599" s="1"/>
      <c r="AK2599" s="1"/>
      <c r="AL2599" s="1"/>
      <c r="AM2599" s="1"/>
      <c r="AN2599" s="1"/>
      <c r="AO2599" s="1"/>
      <c r="AP2599" s="1"/>
      <c r="AQ2599" s="1"/>
      <c r="AR2599" s="1"/>
      <c r="AS2599" s="1"/>
      <c r="AT2599" s="1"/>
      <c r="AU2599" s="1"/>
      <c r="AV2599" s="1"/>
      <c r="AW2599" s="1"/>
      <c r="AX2599" s="1"/>
      <c r="AY2599" s="1"/>
      <c r="AZ2599" s="1"/>
      <c r="BA2599" s="1"/>
      <c r="BB2599" s="1"/>
      <c r="BC2599" s="1"/>
      <c r="BD2599" s="1"/>
      <c r="BE2599" s="1"/>
      <c r="BF2599" s="1"/>
      <c r="BG2599" s="1"/>
      <c r="BH2599" s="1"/>
      <c r="BI2599" s="1"/>
      <c r="BJ2599" s="1"/>
      <c r="BK2599" s="1"/>
      <c r="BL2599" s="1"/>
      <c r="BM2599" s="1"/>
      <c r="BN2599" s="1"/>
      <c r="BO2599" s="1"/>
      <c r="BP2599" s="1"/>
      <c r="BQ2599" s="1"/>
      <c r="BR2599" s="1"/>
      <c r="BS2599" s="1"/>
      <c r="BT2599" s="1"/>
      <c r="BU2599" s="1"/>
      <c r="BV2599" s="1"/>
      <c r="BW2599" s="1"/>
      <c r="BX2599" s="1"/>
      <c r="BY2599" s="1"/>
      <c r="BZ2599" s="1"/>
      <c r="CA2599" s="1"/>
      <c r="CB2599" s="1"/>
      <c r="CC2599" s="1"/>
      <c r="CD2599" s="1"/>
      <c r="CE2599" s="1"/>
      <c r="CF2599" s="1"/>
      <c r="CG2599" s="1"/>
      <c r="CH2599" s="1"/>
      <c r="CI2599" s="1"/>
      <c r="CJ2599" s="1"/>
      <c r="CK2599" s="1"/>
      <c r="CL2599" s="1"/>
      <c r="CM2599" s="1"/>
      <c r="CN2599" s="1"/>
      <c r="CO2599" s="1"/>
      <c r="CP2599" s="1"/>
      <c r="CQ2599" s="1"/>
      <c r="CR2599" s="1"/>
      <c r="CS2599" s="1"/>
      <c r="CT2599" s="1"/>
      <c r="CU2599" s="1"/>
      <c r="CV2599" s="1"/>
      <c r="CW2599" s="1"/>
      <c r="CX2599" s="1"/>
      <c r="CY2599" s="1"/>
      <c r="CZ2599" s="1"/>
      <c r="DA2599" s="1"/>
      <c r="DB2599" s="1"/>
      <c r="DC2599" s="1"/>
      <c r="DD2599" s="1"/>
      <c r="DE2599" s="1"/>
      <c r="DF2599" s="1"/>
      <c r="DG2599" s="1"/>
      <c r="DH2599" s="1"/>
      <c r="DI2599" s="1"/>
      <c r="DJ2599" s="1"/>
      <c r="DK2599" s="1"/>
      <c r="DL2599" s="1"/>
      <c r="DM2599" s="1"/>
      <c r="DN2599" s="1"/>
      <c r="DO2599" s="1"/>
      <c r="DP2599" s="1"/>
      <c r="DQ2599" s="1"/>
      <c r="DR2599" s="1"/>
      <c r="DS2599" s="1"/>
      <c r="DT2599" s="1"/>
      <c r="DU2599" s="1"/>
      <c r="DV2599" s="1"/>
      <c r="DW2599" s="1"/>
      <c r="DX2599" s="1"/>
      <c r="DY2599" s="1"/>
      <c r="DZ2599" s="1"/>
      <c r="EA2599" s="1"/>
      <c r="EB2599" s="1"/>
      <c r="EC2599" s="1"/>
      <c r="ED2599" s="1"/>
      <c r="EE2599" s="1"/>
      <c r="EF2599" s="1"/>
      <c r="EG2599" s="1"/>
      <c r="EH2599" s="1"/>
      <c r="EI2599" s="1"/>
      <c r="EJ2599" s="1"/>
      <c r="EK2599" s="1"/>
      <c r="EL2599" s="1"/>
      <c r="EM2599" s="1"/>
      <c r="EN2599" s="1"/>
      <c r="EO2599" s="1"/>
      <c r="EP2599" s="1"/>
      <c r="EQ2599" s="1"/>
      <c r="ER2599" s="1"/>
      <c r="ES2599" s="1"/>
      <c r="ET2599" s="1"/>
      <c r="EU2599" s="1"/>
      <c r="EV2599" s="1"/>
      <c r="EW2599" s="1"/>
      <c r="EX2599" s="1"/>
      <c r="EY2599" s="1"/>
      <c r="EZ2599" s="1"/>
      <c r="FA2599" s="1"/>
      <c r="FB2599" s="1"/>
      <c r="FC2599" s="1"/>
      <c r="FD2599" s="1"/>
      <c r="FE2599" s="1"/>
      <c r="FF2599" s="1"/>
      <c r="FG2599" s="1"/>
      <c r="FH2599" s="1"/>
      <c r="FI2599" s="1"/>
      <c r="FJ2599" s="1"/>
      <c r="FK2599" s="1"/>
      <c r="FL2599" s="1"/>
      <c r="FM2599" s="1"/>
      <c r="FN2599" s="1"/>
      <c r="FO2599" s="1"/>
      <c r="FP2599" s="1"/>
      <c r="FQ2599" s="1"/>
      <c r="FR2599" s="1"/>
      <c r="FS2599" s="1"/>
      <c r="FT2599" s="1"/>
      <c r="FU2599" s="1"/>
      <c r="FV2599" s="1"/>
      <c r="FW2599" s="1"/>
      <c r="FX2599" s="1"/>
      <c r="FY2599" s="1"/>
      <c r="FZ2599" s="1"/>
      <c r="GA2599" s="1"/>
      <c r="GB2599" s="1"/>
      <c r="GC2599" s="1"/>
      <c r="GD2599" s="1"/>
      <c r="GE2599" s="1"/>
      <c r="GF2599" s="1"/>
      <c r="GG2599" s="1"/>
      <c r="GH2599" s="1"/>
      <c r="GI2599" s="1"/>
      <c r="GJ2599" s="1"/>
      <c r="GK2599" s="1"/>
      <c r="GL2599" s="1"/>
      <c r="GM2599" s="1"/>
      <c r="GN2599" s="1"/>
      <c r="GO2599" s="1"/>
      <c r="GP2599" s="1"/>
      <c r="GQ2599" s="1"/>
      <c r="GR2599" s="1"/>
      <c r="GS2599" s="1"/>
      <c r="GT2599" s="1"/>
      <c r="GU2599" s="1"/>
      <c r="GV2599" s="1"/>
      <c r="GW2599" s="1"/>
      <c r="GX2599" s="1"/>
      <c r="GY2599" s="1"/>
      <c r="GZ2599" s="1"/>
      <c r="HA2599" s="1"/>
      <c r="HB2599" s="1"/>
      <c r="HC2599" s="1"/>
      <c r="HD2599" s="1"/>
      <c r="HE2599" s="1"/>
      <c r="HF2599" s="1"/>
      <c r="HG2599" s="1"/>
      <c r="HH2599" s="1"/>
      <c r="HI2599" s="1"/>
      <c r="HJ2599" s="1"/>
      <c r="HK2599" s="1"/>
      <c r="HL2599" s="1"/>
      <c r="HM2599" s="1"/>
      <c r="HN2599" s="1"/>
      <c r="HO2599" s="1"/>
      <c r="HP2599" s="1"/>
      <c r="HQ2599" s="1"/>
    </row>
    <row r="2600" spans="1:225" ht="15.75" customHeight="1" x14ac:dyDescent="0.35">
      <c r="A2600" s="251">
        <f>A2597+1</f>
        <v>4</v>
      </c>
      <c r="B2600" s="325">
        <v>4536</v>
      </c>
      <c r="C2600" s="252" t="s">
        <v>491</v>
      </c>
      <c r="D2600" s="253">
        <v>851.15</v>
      </c>
      <c r="E2600" s="253" t="s">
        <v>75</v>
      </c>
      <c r="F2600" s="255">
        <v>2</v>
      </c>
      <c r="G2600" s="251" t="s">
        <v>72</v>
      </c>
      <c r="H2600" s="159" t="s">
        <v>73</v>
      </c>
      <c r="I2600" s="158">
        <f>I2601+I2602</f>
        <v>6014225.9000000004</v>
      </c>
      <c r="J2600" s="158">
        <f>J2601+J2602</f>
        <v>7066</v>
      </c>
      <c r="K2600" s="158">
        <f>K2601+K2602</f>
        <v>7066</v>
      </c>
      <c r="L2600" s="1"/>
      <c r="M2600" s="1"/>
      <c r="N2600" s="1"/>
      <c r="O2600" s="1"/>
      <c r="P2600" s="1"/>
      <c r="Q2600" s="1"/>
      <c r="R2600" s="1"/>
      <c r="S2600" s="1"/>
      <c r="T2600" s="1"/>
      <c r="U2600" s="1"/>
      <c r="V2600" s="1"/>
      <c r="W2600" s="1"/>
      <c r="X2600" s="1"/>
      <c r="Y2600" s="1"/>
      <c r="Z2600" s="1"/>
      <c r="AA2600" s="1"/>
      <c r="AB2600" s="1"/>
      <c r="AC2600" s="1"/>
      <c r="AD2600" s="1"/>
      <c r="AE2600" s="1"/>
      <c r="AF2600" s="1"/>
      <c r="AG2600" s="1"/>
      <c r="AH2600" s="1"/>
      <c r="AI2600" s="1"/>
      <c r="AJ2600" s="1"/>
      <c r="AK2600" s="1"/>
      <c r="AL2600" s="1"/>
      <c r="AM2600" s="1"/>
      <c r="AN2600" s="1"/>
      <c r="AO2600" s="1"/>
      <c r="AP2600" s="1"/>
      <c r="AQ2600" s="1"/>
      <c r="AR2600" s="1"/>
      <c r="AS2600" s="1"/>
      <c r="AT2600" s="1"/>
      <c r="AU2600" s="1"/>
      <c r="AV2600" s="1"/>
      <c r="AW2600" s="1"/>
      <c r="AX2600" s="1"/>
      <c r="AY2600" s="1"/>
      <c r="AZ2600" s="1"/>
      <c r="BA2600" s="1"/>
      <c r="BB2600" s="1"/>
      <c r="BC2600" s="1"/>
      <c r="BD2600" s="1"/>
      <c r="BE2600" s="1"/>
      <c r="BF2600" s="1"/>
      <c r="BG2600" s="1"/>
      <c r="BH2600" s="1"/>
      <c r="BI2600" s="1"/>
      <c r="BJ2600" s="1"/>
      <c r="BK2600" s="1"/>
      <c r="BL2600" s="1"/>
      <c r="BM2600" s="1"/>
      <c r="BN2600" s="1"/>
      <c r="BO2600" s="1"/>
      <c r="BP2600" s="1"/>
      <c r="BQ2600" s="1"/>
      <c r="BR2600" s="1"/>
      <c r="BS2600" s="1"/>
      <c r="BT2600" s="1"/>
      <c r="BU2600" s="1"/>
      <c r="BV2600" s="1"/>
      <c r="BW2600" s="1"/>
      <c r="BX2600" s="1"/>
      <c r="BY2600" s="1"/>
      <c r="BZ2600" s="1"/>
      <c r="CA2600" s="1"/>
      <c r="CB2600" s="1"/>
      <c r="CC2600" s="1"/>
      <c r="CD2600" s="1"/>
      <c r="CE2600" s="1"/>
      <c r="CF2600" s="1"/>
      <c r="CG2600" s="1"/>
      <c r="CH2600" s="1"/>
      <c r="CI2600" s="1"/>
      <c r="CJ2600" s="1"/>
      <c r="CK2600" s="1"/>
      <c r="CL2600" s="1"/>
      <c r="CM2600" s="1"/>
      <c r="CN2600" s="1"/>
      <c r="CO2600" s="1"/>
      <c r="CP2600" s="1"/>
      <c r="CQ2600" s="1"/>
      <c r="CR2600" s="1"/>
      <c r="CS2600" s="1"/>
      <c r="CT2600" s="1"/>
      <c r="CU2600" s="1"/>
      <c r="CV2600" s="1"/>
      <c r="CW2600" s="1"/>
      <c r="CX2600" s="1"/>
      <c r="CY2600" s="1"/>
      <c r="CZ2600" s="1"/>
      <c r="DA2600" s="1"/>
      <c r="DB2600" s="1"/>
      <c r="DC2600" s="1"/>
      <c r="DD2600" s="1"/>
      <c r="DE2600" s="1"/>
      <c r="DF2600" s="1"/>
      <c r="DG2600" s="1"/>
      <c r="DH2600" s="1"/>
      <c r="DI2600" s="1"/>
      <c r="DJ2600" s="1"/>
      <c r="DK2600" s="1"/>
      <c r="DL2600" s="1"/>
      <c r="DM2600" s="1"/>
      <c r="DN2600" s="1"/>
      <c r="DO2600" s="1"/>
      <c r="DP2600" s="1"/>
      <c r="DQ2600" s="1"/>
      <c r="DR2600" s="1"/>
      <c r="DS2600" s="1"/>
      <c r="DT2600" s="1"/>
      <c r="DU2600" s="1"/>
      <c r="DV2600" s="1"/>
      <c r="DW2600" s="1"/>
      <c r="DX2600" s="1"/>
      <c r="DY2600" s="1"/>
      <c r="DZ2600" s="1"/>
      <c r="EA2600" s="1"/>
      <c r="EB2600" s="1"/>
      <c r="EC2600" s="1"/>
      <c r="ED2600" s="1"/>
      <c r="EE2600" s="1"/>
      <c r="EF2600" s="1"/>
      <c r="EG2600" s="1"/>
      <c r="EH2600" s="1"/>
      <c r="EI2600" s="1"/>
      <c r="EJ2600" s="1"/>
      <c r="EK2600" s="1"/>
      <c r="EL2600" s="1"/>
      <c r="EM2600" s="1"/>
      <c r="EN2600" s="1"/>
      <c r="EO2600" s="1"/>
      <c r="EP2600" s="1"/>
      <c r="EQ2600" s="1"/>
      <c r="ER2600" s="1"/>
      <c r="ES2600" s="1"/>
      <c r="ET2600" s="1"/>
      <c r="EU2600" s="1"/>
      <c r="EV2600" s="1"/>
      <c r="EW2600" s="1"/>
      <c r="EX2600" s="1"/>
      <c r="EY2600" s="1"/>
      <c r="EZ2600" s="1"/>
      <c r="FA2600" s="1"/>
      <c r="FB2600" s="1"/>
      <c r="FC2600" s="1"/>
      <c r="FD2600" s="1"/>
      <c r="FE2600" s="1"/>
      <c r="FF2600" s="1"/>
      <c r="FG2600" s="1"/>
      <c r="FH2600" s="1"/>
      <c r="FI2600" s="1"/>
      <c r="FJ2600" s="1"/>
      <c r="FK2600" s="1"/>
      <c r="FL2600" s="1"/>
      <c r="FM2600" s="1"/>
      <c r="FN2600" s="1"/>
      <c r="FO2600" s="1"/>
      <c r="FP2600" s="1"/>
      <c r="FQ2600" s="1"/>
      <c r="FR2600" s="1"/>
      <c r="FS2600" s="1"/>
      <c r="FT2600" s="1"/>
      <c r="FU2600" s="1"/>
      <c r="FV2600" s="1"/>
      <c r="FW2600" s="1"/>
      <c r="FX2600" s="1"/>
      <c r="FY2600" s="1"/>
      <c r="FZ2600" s="1"/>
      <c r="GA2600" s="1"/>
      <c r="GB2600" s="1"/>
      <c r="GC2600" s="1"/>
      <c r="GD2600" s="1"/>
      <c r="GE2600" s="1"/>
      <c r="GF2600" s="1"/>
      <c r="GG2600" s="1"/>
      <c r="GH2600" s="1"/>
      <c r="GI2600" s="1"/>
      <c r="GJ2600" s="1"/>
      <c r="GK2600" s="1"/>
      <c r="GL2600" s="1"/>
      <c r="GM2600" s="1"/>
      <c r="GN2600" s="1"/>
      <c r="GO2600" s="1"/>
      <c r="GP2600" s="1"/>
      <c r="GQ2600" s="1"/>
      <c r="GR2600" s="1"/>
      <c r="GS2600" s="1"/>
      <c r="GT2600" s="1"/>
      <c r="GU2600" s="1"/>
      <c r="GV2600" s="1"/>
      <c r="GW2600" s="1"/>
      <c r="GX2600" s="1"/>
      <c r="GY2600" s="1"/>
      <c r="GZ2600" s="1"/>
      <c r="HA2600" s="1"/>
      <c r="HB2600" s="1"/>
      <c r="HC2600" s="1"/>
      <c r="HD2600" s="1"/>
      <c r="HE2600" s="1"/>
      <c r="HF2600" s="1"/>
      <c r="HG2600" s="1"/>
      <c r="HH2600" s="1"/>
      <c r="HI2600" s="1"/>
      <c r="HJ2600" s="1"/>
      <c r="HK2600" s="1"/>
      <c r="HL2600" s="1"/>
      <c r="HM2600" s="1"/>
      <c r="HN2600" s="1"/>
      <c r="HO2600" s="1"/>
      <c r="HP2600" s="1"/>
      <c r="HQ2600" s="1"/>
    </row>
    <row r="2601" spans="1:225" x14ac:dyDescent="0.35">
      <c r="A2601" s="251">
        <v>25</v>
      </c>
      <c r="B2601" s="325"/>
      <c r="C2601" s="252"/>
      <c r="D2601" s="253"/>
      <c r="E2601" s="253"/>
      <c r="F2601" s="255"/>
      <c r="G2601" s="251"/>
      <c r="H2601" s="159" t="s">
        <v>74</v>
      </c>
      <c r="I2601" s="158">
        <f>K2601*D2600</f>
        <v>5888255.7000000002</v>
      </c>
      <c r="J2601" s="158">
        <f>I2601/D2600</f>
        <v>6918</v>
      </c>
      <c r="K2601" s="158">
        <v>6918</v>
      </c>
      <c r="L2601" s="1"/>
      <c r="M2601" s="1"/>
      <c r="N2601" s="1"/>
      <c r="O2601" s="1"/>
      <c r="P2601" s="1"/>
      <c r="Q2601" s="1"/>
      <c r="R2601" s="1"/>
      <c r="S2601" s="1"/>
      <c r="T2601" s="1"/>
      <c r="U2601" s="1"/>
      <c r="V2601" s="1"/>
      <c r="W2601" s="1"/>
      <c r="X2601" s="1"/>
      <c r="Y2601" s="1"/>
      <c r="Z2601" s="1"/>
      <c r="AA2601" s="1"/>
      <c r="AB2601" s="1"/>
      <c r="AC2601" s="1"/>
      <c r="AD2601" s="1"/>
      <c r="AE2601" s="1"/>
      <c r="AF2601" s="1"/>
      <c r="AG2601" s="1"/>
      <c r="AH2601" s="1"/>
      <c r="AI2601" s="1"/>
      <c r="AJ2601" s="1"/>
      <c r="AK2601" s="1"/>
      <c r="AL2601" s="1"/>
      <c r="AM2601" s="1"/>
      <c r="AN2601" s="1"/>
      <c r="AO2601" s="1"/>
      <c r="AP2601" s="1"/>
      <c r="AQ2601" s="1"/>
      <c r="AR2601" s="1"/>
      <c r="AS2601" s="1"/>
      <c r="AT2601" s="1"/>
      <c r="AU2601" s="1"/>
      <c r="AV2601" s="1"/>
      <c r="AW2601" s="1"/>
      <c r="AX2601" s="1"/>
      <c r="AY2601" s="1"/>
      <c r="AZ2601" s="1"/>
      <c r="BA2601" s="1"/>
      <c r="BB2601" s="1"/>
      <c r="BC2601" s="1"/>
      <c r="BD2601" s="1"/>
      <c r="BE2601" s="1"/>
      <c r="BF2601" s="1"/>
      <c r="BG2601" s="1"/>
      <c r="BH2601" s="1"/>
      <c r="BI2601" s="1"/>
      <c r="BJ2601" s="1"/>
      <c r="BK2601" s="1"/>
      <c r="BL2601" s="1"/>
      <c r="BM2601" s="1"/>
      <c r="BN2601" s="1"/>
      <c r="BO2601" s="1"/>
      <c r="BP2601" s="1"/>
      <c r="BQ2601" s="1"/>
      <c r="BR2601" s="1"/>
      <c r="BS2601" s="1"/>
      <c r="BT2601" s="1"/>
      <c r="BU2601" s="1"/>
      <c r="BV2601" s="1"/>
      <c r="BW2601" s="1"/>
      <c r="BX2601" s="1"/>
      <c r="BY2601" s="1"/>
      <c r="BZ2601" s="1"/>
      <c r="CA2601" s="1"/>
      <c r="CB2601" s="1"/>
      <c r="CC2601" s="1"/>
      <c r="CD2601" s="1"/>
      <c r="CE2601" s="1"/>
      <c r="CF2601" s="1"/>
      <c r="CG2601" s="1"/>
      <c r="CH2601" s="1"/>
      <c r="CI2601" s="1"/>
      <c r="CJ2601" s="1"/>
      <c r="CK2601" s="1"/>
      <c r="CL2601" s="1"/>
      <c r="CM2601" s="1"/>
      <c r="CN2601" s="1"/>
      <c r="CO2601" s="1"/>
      <c r="CP2601" s="1"/>
      <c r="CQ2601" s="1"/>
      <c r="CR2601" s="1"/>
      <c r="CS2601" s="1"/>
      <c r="CT2601" s="1"/>
      <c r="CU2601" s="1"/>
      <c r="CV2601" s="1"/>
      <c r="CW2601" s="1"/>
      <c r="CX2601" s="1"/>
      <c r="CY2601" s="1"/>
      <c r="CZ2601" s="1"/>
      <c r="DA2601" s="1"/>
      <c r="DB2601" s="1"/>
      <c r="DC2601" s="1"/>
      <c r="DD2601" s="1"/>
      <c r="DE2601" s="1"/>
      <c r="DF2601" s="1"/>
      <c r="DG2601" s="1"/>
      <c r="DH2601" s="1"/>
      <c r="DI2601" s="1"/>
      <c r="DJ2601" s="1"/>
      <c r="DK2601" s="1"/>
      <c r="DL2601" s="1"/>
      <c r="DM2601" s="1"/>
      <c r="DN2601" s="1"/>
      <c r="DO2601" s="1"/>
      <c r="DP2601" s="1"/>
      <c r="DQ2601" s="1"/>
      <c r="DR2601" s="1"/>
      <c r="DS2601" s="1"/>
      <c r="DT2601" s="1"/>
      <c r="DU2601" s="1"/>
      <c r="DV2601" s="1"/>
      <c r="DW2601" s="1"/>
      <c r="DX2601" s="1"/>
      <c r="DY2601" s="1"/>
      <c r="DZ2601" s="1"/>
      <c r="EA2601" s="1"/>
      <c r="EB2601" s="1"/>
      <c r="EC2601" s="1"/>
      <c r="ED2601" s="1"/>
      <c r="EE2601" s="1"/>
      <c r="EF2601" s="1"/>
      <c r="EG2601" s="1"/>
      <c r="EH2601" s="1"/>
      <c r="EI2601" s="1"/>
      <c r="EJ2601" s="1"/>
      <c r="EK2601" s="1"/>
      <c r="EL2601" s="1"/>
      <c r="EM2601" s="1"/>
      <c r="EN2601" s="1"/>
      <c r="EO2601" s="1"/>
      <c r="EP2601" s="1"/>
      <c r="EQ2601" s="1"/>
      <c r="ER2601" s="1"/>
      <c r="ES2601" s="1"/>
      <c r="ET2601" s="1"/>
      <c r="EU2601" s="1"/>
      <c r="EV2601" s="1"/>
      <c r="EW2601" s="1"/>
      <c r="EX2601" s="1"/>
      <c r="EY2601" s="1"/>
      <c r="EZ2601" s="1"/>
      <c r="FA2601" s="1"/>
      <c r="FB2601" s="1"/>
      <c r="FC2601" s="1"/>
      <c r="FD2601" s="1"/>
      <c r="FE2601" s="1"/>
      <c r="FF2601" s="1"/>
      <c r="FG2601" s="1"/>
      <c r="FH2601" s="1"/>
      <c r="FI2601" s="1"/>
      <c r="FJ2601" s="1"/>
      <c r="FK2601" s="1"/>
      <c r="FL2601" s="1"/>
      <c r="FM2601" s="1"/>
      <c r="FN2601" s="1"/>
      <c r="FO2601" s="1"/>
      <c r="FP2601" s="1"/>
      <c r="FQ2601" s="1"/>
      <c r="FR2601" s="1"/>
      <c r="FS2601" s="1"/>
      <c r="FT2601" s="1"/>
      <c r="FU2601" s="1"/>
      <c r="FV2601" s="1"/>
      <c r="FW2601" s="1"/>
      <c r="FX2601" s="1"/>
      <c r="FY2601" s="1"/>
      <c r="FZ2601" s="1"/>
      <c r="GA2601" s="1"/>
      <c r="GB2601" s="1"/>
      <c r="GC2601" s="1"/>
      <c r="GD2601" s="1"/>
      <c r="GE2601" s="1"/>
      <c r="GF2601" s="1"/>
      <c r="GG2601" s="1"/>
      <c r="GH2601" s="1"/>
      <c r="GI2601" s="1"/>
      <c r="GJ2601" s="1"/>
      <c r="GK2601" s="1"/>
      <c r="GL2601" s="1"/>
      <c r="GM2601" s="1"/>
      <c r="GN2601" s="1"/>
      <c r="GO2601" s="1"/>
      <c r="GP2601" s="1"/>
      <c r="GQ2601" s="1"/>
      <c r="GR2601" s="1"/>
      <c r="GS2601" s="1"/>
      <c r="GT2601" s="1"/>
      <c r="GU2601" s="1"/>
      <c r="GV2601" s="1"/>
      <c r="GW2601" s="1"/>
      <c r="GX2601" s="1"/>
      <c r="GY2601" s="1"/>
      <c r="GZ2601" s="1"/>
      <c r="HA2601" s="1"/>
      <c r="HB2601" s="1"/>
      <c r="HC2601" s="1"/>
      <c r="HD2601" s="1"/>
      <c r="HE2601" s="1"/>
      <c r="HF2601" s="1"/>
      <c r="HG2601" s="1"/>
      <c r="HH2601" s="1"/>
      <c r="HI2601" s="1"/>
      <c r="HJ2601" s="1"/>
      <c r="HK2601" s="1"/>
      <c r="HL2601" s="1"/>
      <c r="HM2601" s="1"/>
      <c r="HN2601" s="1"/>
      <c r="HO2601" s="1"/>
      <c r="HP2601" s="1"/>
      <c r="HQ2601" s="1"/>
    </row>
    <row r="2602" spans="1:225" x14ac:dyDescent="0.35">
      <c r="A2602" s="251">
        <v>26</v>
      </c>
      <c r="B2602" s="325"/>
      <c r="C2602" s="252"/>
      <c r="D2602" s="253"/>
      <c r="E2602" s="253"/>
      <c r="F2602" s="255"/>
      <c r="G2602" s="251"/>
      <c r="H2602" s="159" t="s">
        <v>76</v>
      </c>
      <c r="I2602" s="158">
        <f>K2602*D2600</f>
        <v>125970.2</v>
      </c>
      <c r="J2602" s="158">
        <f>I2602/D2600</f>
        <v>148</v>
      </c>
      <c r="K2602" s="158">
        <v>148</v>
      </c>
      <c r="L2602" s="1"/>
      <c r="M2602" s="1"/>
      <c r="N2602" s="1"/>
      <c r="O2602" s="1"/>
      <c r="P2602" s="1"/>
      <c r="Q2602" s="1"/>
      <c r="R2602" s="1"/>
      <c r="S2602" s="1"/>
      <c r="T2602" s="1"/>
      <c r="U2602" s="1"/>
      <c r="V2602" s="1"/>
      <c r="W2602" s="1"/>
      <c r="X2602" s="1"/>
      <c r="Y2602" s="1"/>
      <c r="Z2602" s="1"/>
      <c r="AA2602" s="1"/>
      <c r="AB2602" s="1"/>
      <c r="AC2602" s="1"/>
      <c r="AD2602" s="1"/>
      <c r="AE2602" s="1"/>
      <c r="AF2602" s="1"/>
      <c r="AG2602" s="1"/>
      <c r="AH2602" s="1"/>
      <c r="AI2602" s="1"/>
      <c r="AJ2602" s="1"/>
      <c r="AK2602" s="1"/>
      <c r="AL2602" s="1"/>
      <c r="AM2602" s="1"/>
      <c r="AN2602" s="1"/>
      <c r="AO2602" s="1"/>
      <c r="AP2602" s="1"/>
      <c r="AQ2602" s="1"/>
      <c r="AR2602" s="1"/>
      <c r="AS2602" s="1"/>
      <c r="AT2602" s="1"/>
      <c r="AU2602" s="1"/>
      <c r="AV2602" s="1"/>
      <c r="AW2602" s="1"/>
      <c r="AX2602" s="1"/>
      <c r="AY2602" s="1"/>
      <c r="AZ2602" s="1"/>
      <c r="BA2602" s="1"/>
      <c r="BB2602" s="1"/>
      <c r="BC2602" s="1"/>
      <c r="BD2602" s="1"/>
      <c r="BE2602" s="1"/>
      <c r="BF2602" s="1"/>
      <c r="BG2602" s="1"/>
      <c r="BH2602" s="1"/>
      <c r="BI2602" s="1"/>
      <c r="BJ2602" s="1"/>
      <c r="BK2602" s="1"/>
      <c r="BL2602" s="1"/>
      <c r="BM2602" s="1"/>
      <c r="BN2602" s="1"/>
      <c r="BO2602" s="1"/>
      <c r="BP2602" s="1"/>
      <c r="BQ2602" s="1"/>
      <c r="BR2602" s="1"/>
      <c r="BS2602" s="1"/>
      <c r="BT2602" s="1"/>
      <c r="BU2602" s="1"/>
      <c r="BV2602" s="1"/>
      <c r="BW2602" s="1"/>
      <c r="BX2602" s="1"/>
      <c r="BY2602" s="1"/>
      <c r="BZ2602" s="1"/>
      <c r="CA2602" s="1"/>
      <c r="CB2602" s="1"/>
      <c r="CC2602" s="1"/>
      <c r="CD2602" s="1"/>
      <c r="CE2602" s="1"/>
      <c r="CF2602" s="1"/>
      <c r="CG2602" s="1"/>
      <c r="CH2602" s="1"/>
      <c r="CI2602" s="1"/>
      <c r="CJ2602" s="1"/>
      <c r="CK2602" s="1"/>
      <c r="CL2602" s="1"/>
      <c r="CM2602" s="1"/>
      <c r="CN2602" s="1"/>
      <c r="CO2602" s="1"/>
      <c r="CP2602" s="1"/>
      <c r="CQ2602" s="1"/>
      <c r="CR2602" s="1"/>
      <c r="CS2602" s="1"/>
      <c r="CT2602" s="1"/>
      <c r="CU2602" s="1"/>
      <c r="CV2602" s="1"/>
      <c r="CW2602" s="1"/>
      <c r="CX2602" s="1"/>
      <c r="CY2602" s="1"/>
      <c r="CZ2602" s="1"/>
      <c r="DA2602" s="1"/>
      <c r="DB2602" s="1"/>
      <c r="DC2602" s="1"/>
      <c r="DD2602" s="1"/>
      <c r="DE2602" s="1"/>
      <c r="DF2602" s="1"/>
      <c r="DG2602" s="1"/>
      <c r="DH2602" s="1"/>
      <c r="DI2602" s="1"/>
      <c r="DJ2602" s="1"/>
      <c r="DK2602" s="1"/>
      <c r="DL2602" s="1"/>
      <c r="DM2602" s="1"/>
      <c r="DN2602" s="1"/>
      <c r="DO2602" s="1"/>
      <c r="DP2602" s="1"/>
      <c r="DQ2602" s="1"/>
      <c r="DR2602" s="1"/>
      <c r="DS2602" s="1"/>
      <c r="DT2602" s="1"/>
      <c r="DU2602" s="1"/>
      <c r="DV2602" s="1"/>
      <c r="DW2602" s="1"/>
      <c r="DX2602" s="1"/>
      <c r="DY2602" s="1"/>
      <c r="DZ2602" s="1"/>
      <c r="EA2602" s="1"/>
      <c r="EB2602" s="1"/>
      <c r="EC2602" s="1"/>
      <c r="ED2602" s="1"/>
      <c r="EE2602" s="1"/>
      <c r="EF2602" s="1"/>
      <c r="EG2602" s="1"/>
      <c r="EH2602" s="1"/>
      <c r="EI2602" s="1"/>
      <c r="EJ2602" s="1"/>
      <c r="EK2602" s="1"/>
      <c r="EL2602" s="1"/>
      <c r="EM2602" s="1"/>
      <c r="EN2602" s="1"/>
      <c r="EO2602" s="1"/>
      <c r="EP2602" s="1"/>
      <c r="EQ2602" s="1"/>
      <c r="ER2602" s="1"/>
      <c r="ES2602" s="1"/>
      <c r="ET2602" s="1"/>
      <c r="EU2602" s="1"/>
      <c r="EV2602" s="1"/>
      <c r="EW2602" s="1"/>
      <c r="EX2602" s="1"/>
      <c r="EY2602" s="1"/>
      <c r="EZ2602" s="1"/>
      <c r="FA2602" s="1"/>
      <c r="FB2602" s="1"/>
      <c r="FC2602" s="1"/>
      <c r="FD2602" s="1"/>
      <c r="FE2602" s="1"/>
      <c r="FF2602" s="1"/>
      <c r="FG2602" s="1"/>
      <c r="FH2602" s="1"/>
      <c r="FI2602" s="1"/>
      <c r="FJ2602" s="1"/>
      <c r="FK2602" s="1"/>
      <c r="FL2602" s="1"/>
      <c r="FM2602" s="1"/>
      <c r="FN2602" s="1"/>
      <c r="FO2602" s="1"/>
      <c r="FP2602" s="1"/>
      <c r="FQ2602" s="1"/>
      <c r="FR2602" s="1"/>
      <c r="FS2602" s="1"/>
      <c r="FT2602" s="1"/>
      <c r="FU2602" s="1"/>
      <c r="FV2602" s="1"/>
      <c r="FW2602" s="1"/>
      <c r="FX2602" s="1"/>
      <c r="FY2602" s="1"/>
      <c r="FZ2602" s="1"/>
      <c r="GA2602" s="1"/>
      <c r="GB2602" s="1"/>
      <c r="GC2602" s="1"/>
      <c r="GD2602" s="1"/>
      <c r="GE2602" s="1"/>
      <c r="GF2602" s="1"/>
      <c r="GG2602" s="1"/>
      <c r="GH2602" s="1"/>
      <c r="GI2602" s="1"/>
      <c r="GJ2602" s="1"/>
      <c r="GK2602" s="1"/>
      <c r="GL2602" s="1"/>
      <c r="GM2602" s="1"/>
      <c r="GN2602" s="1"/>
      <c r="GO2602" s="1"/>
      <c r="GP2602" s="1"/>
      <c r="GQ2602" s="1"/>
      <c r="GR2602" s="1"/>
      <c r="GS2602" s="1"/>
      <c r="GT2602" s="1"/>
      <c r="GU2602" s="1"/>
      <c r="GV2602" s="1"/>
      <c r="GW2602" s="1"/>
      <c r="GX2602" s="1"/>
      <c r="GY2602" s="1"/>
      <c r="GZ2602" s="1"/>
      <c r="HA2602" s="1"/>
      <c r="HB2602" s="1"/>
      <c r="HC2602" s="1"/>
      <c r="HD2602" s="1"/>
      <c r="HE2602" s="1"/>
      <c r="HF2602" s="1"/>
      <c r="HG2602" s="1"/>
      <c r="HH2602" s="1"/>
      <c r="HI2602" s="1"/>
      <c r="HJ2602" s="1"/>
      <c r="HK2602" s="1"/>
      <c r="HL2602" s="1"/>
      <c r="HM2602" s="1"/>
      <c r="HN2602" s="1"/>
      <c r="HO2602" s="1"/>
      <c r="HP2602" s="1"/>
      <c r="HQ2602" s="1"/>
    </row>
    <row r="2603" spans="1:225" ht="15.75" customHeight="1" x14ac:dyDescent="0.35">
      <c r="A2603" s="209" t="s">
        <v>34</v>
      </c>
      <c r="B2603" s="207"/>
      <c r="C2603" s="152"/>
      <c r="D2603" s="125">
        <f>D2604</f>
        <v>724.3</v>
      </c>
      <c r="E2603" s="125"/>
      <c r="F2603" s="125"/>
      <c r="G2603" s="125"/>
      <c r="H2603" s="162"/>
      <c r="I2603" s="158">
        <f>I2604</f>
        <v>4481987.4000000004</v>
      </c>
      <c r="J2603" s="158"/>
      <c r="K2603" s="158"/>
      <c r="L2603" s="8"/>
      <c r="M2603" s="8"/>
      <c r="N2603" s="8"/>
      <c r="O2603" s="8"/>
      <c r="P2603" s="8"/>
      <c r="Q2603" s="8"/>
      <c r="R2603" s="8"/>
      <c r="S2603" s="8"/>
      <c r="T2603" s="8"/>
      <c r="U2603" s="8"/>
      <c r="V2603" s="8"/>
      <c r="W2603" s="8"/>
      <c r="X2603" s="1"/>
      <c r="Y2603" s="1"/>
      <c r="Z2603" s="1"/>
      <c r="AA2603" s="1"/>
      <c r="AB2603" s="1"/>
      <c r="AC2603" s="1"/>
      <c r="AD2603" s="1"/>
      <c r="AE2603" s="1"/>
      <c r="AF2603" s="1"/>
      <c r="AG2603" s="1"/>
      <c r="AH2603" s="1"/>
      <c r="AI2603" s="1"/>
      <c r="AJ2603" s="1"/>
      <c r="AK2603" s="1"/>
      <c r="AL2603" s="1"/>
      <c r="AM2603" s="1"/>
      <c r="AN2603" s="1"/>
      <c r="AO2603" s="1"/>
      <c r="AP2603" s="1"/>
      <c r="AQ2603" s="1"/>
      <c r="AR2603" s="1"/>
      <c r="AS2603" s="1"/>
      <c r="AT2603" s="1"/>
      <c r="AU2603" s="1"/>
      <c r="AV2603" s="1"/>
      <c r="AW2603" s="1"/>
      <c r="AX2603" s="1"/>
      <c r="AY2603" s="1"/>
      <c r="AZ2603" s="1"/>
      <c r="BA2603" s="1"/>
      <c r="BB2603" s="1"/>
      <c r="BC2603" s="1"/>
      <c r="BD2603" s="1"/>
      <c r="BE2603" s="1"/>
      <c r="BF2603" s="1"/>
      <c r="BG2603" s="1"/>
      <c r="BH2603" s="1"/>
      <c r="BI2603" s="1"/>
      <c r="BJ2603" s="1"/>
      <c r="BK2603" s="1"/>
      <c r="BL2603" s="1"/>
      <c r="BM2603" s="1"/>
      <c r="BN2603" s="1"/>
      <c r="BO2603" s="1"/>
      <c r="BP2603" s="1"/>
      <c r="BQ2603" s="1"/>
      <c r="BR2603" s="1"/>
      <c r="BS2603" s="1"/>
      <c r="BT2603" s="1"/>
      <c r="BU2603" s="1"/>
      <c r="BV2603" s="1"/>
      <c r="BW2603" s="1"/>
      <c r="BX2603" s="1"/>
      <c r="BY2603" s="1"/>
      <c r="BZ2603" s="1"/>
      <c r="CA2603" s="1"/>
      <c r="CB2603" s="1"/>
      <c r="CC2603" s="1"/>
      <c r="CD2603" s="1"/>
      <c r="CE2603" s="1"/>
      <c r="CF2603" s="1"/>
      <c r="CG2603" s="1"/>
      <c r="CH2603" s="1"/>
      <c r="CI2603" s="1"/>
      <c r="CJ2603" s="1"/>
      <c r="CK2603" s="1"/>
      <c r="CL2603" s="1"/>
      <c r="CM2603" s="1"/>
      <c r="CN2603" s="1"/>
      <c r="CO2603" s="1"/>
      <c r="CP2603" s="1"/>
      <c r="CQ2603" s="1"/>
      <c r="CR2603" s="1"/>
      <c r="CS2603" s="1"/>
      <c r="CT2603" s="1"/>
      <c r="CU2603" s="1"/>
      <c r="CV2603" s="1"/>
      <c r="CW2603" s="1"/>
      <c r="CX2603" s="1"/>
      <c r="CY2603" s="1"/>
      <c r="CZ2603" s="1"/>
      <c r="DA2603" s="1"/>
      <c r="DB2603" s="1"/>
      <c r="DC2603" s="1"/>
      <c r="DD2603" s="1"/>
      <c r="DE2603" s="1"/>
      <c r="DF2603" s="1"/>
      <c r="DG2603" s="1"/>
      <c r="DH2603" s="1"/>
      <c r="DI2603" s="1"/>
      <c r="DJ2603" s="1"/>
      <c r="DK2603" s="1"/>
      <c r="DL2603" s="1"/>
      <c r="DM2603" s="1"/>
      <c r="DN2603" s="1"/>
      <c r="DO2603" s="1"/>
      <c r="DP2603" s="1"/>
      <c r="DQ2603" s="1"/>
      <c r="DR2603" s="1"/>
      <c r="DS2603" s="1"/>
      <c r="DT2603" s="1"/>
      <c r="DU2603" s="1"/>
      <c r="DV2603" s="1"/>
      <c r="DW2603" s="1"/>
      <c r="DX2603" s="1"/>
      <c r="DY2603" s="1"/>
      <c r="DZ2603" s="1"/>
      <c r="EA2603" s="1"/>
      <c r="EB2603" s="1"/>
      <c r="EC2603" s="1"/>
      <c r="ED2603" s="1"/>
      <c r="EE2603" s="1"/>
      <c r="EF2603" s="1"/>
      <c r="EG2603" s="1"/>
      <c r="EH2603" s="1"/>
      <c r="EI2603" s="1"/>
      <c r="EJ2603" s="1"/>
      <c r="EK2603" s="1"/>
      <c r="EL2603" s="1"/>
      <c r="EM2603" s="1"/>
      <c r="EN2603" s="1"/>
      <c r="EO2603" s="1"/>
      <c r="EP2603" s="1"/>
      <c r="EQ2603" s="1"/>
      <c r="ER2603" s="1"/>
      <c r="ES2603" s="1"/>
      <c r="ET2603" s="1"/>
      <c r="EU2603" s="1"/>
      <c r="EV2603" s="1"/>
      <c r="EW2603" s="1"/>
      <c r="EX2603" s="1"/>
      <c r="EY2603" s="1"/>
      <c r="EZ2603" s="1"/>
      <c r="FA2603" s="1"/>
      <c r="FB2603" s="1"/>
      <c r="FC2603" s="1"/>
      <c r="FD2603" s="1"/>
      <c r="FE2603" s="1"/>
      <c r="FF2603" s="1"/>
      <c r="FG2603" s="1"/>
      <c r="FH2603" s="1"/>
      <c r="FI2603" s="1"/>
      <c r="FJ2603" s="1"/>
      <c r="FK2603" s="1"/>
      <c r="FL2603" s="1"/>
      <c r="FM2603" s="1"/>
      <c r="FN2603" s="1"/>
      <c r="FO2603" s="1"/>
      <c r="FP2603" s="1"/>
      <c r="FQ2603" s="1"/>
      <c r="FR2603" s="1"/>
      <c r="FS2603" s="1"/>
      <c r="FT2603" s="1"/>
      <c r="FU2603" s="1"/>
      <c r="FV2603" s="1"/>
      <c r="FW2603" s="1"/>
      <c r="FX2603" s="1"/>
      <c r="FY2603" s="1"/>
      <c r="FZ2603" s="1"/>
      <c r="GA2603" s="1"/>
      <c r="GB2603" s="1"/>
      <c r="GC2603" s="1"/>
      <c r="GD2603" s="1"/>
      <c r="GE2603" s="1"/>
      <c r="GF2603" s="1"/>
      <c r="GG2603" s="1"/>
      <c r="GH2603" s="1"/>
      <c r="GI2603" s="1"/>
      <c r="GJ2603" s="1"/>
      <c r="GK2603" s="1"/>
      <c r="GL2603" s="1"/>
      <c r="GM2603" s="1"/>
      <c r="GN2603" s="1"/>
      <c r="GO2603" s="1"/>
      <c r="GP2603" s="1"/>
      <c r="GQ2603" s="1"/>
      <c r="GR2603" s="1"/>
      <c r="GS2603" s="1"/>
      <c r="GT2603" s="1"/>
      <c r="GU2603" s="1"/>
      <c r="GV2603" s="1"/>
      <c r="GW2603" s="1"/>
      <c r="GX2603" s="1"/>
      <c r="GY2603" s="1"/>
      <c r="GZ2603" s="1"/>
      <c r="HA2603" s="1"/>
      <c r="HB2603" s="1"/>
      <c r="HC2603" s="1"/>
      <c r="HD2603" s="1"/>
      <c r="HE2603" s="1"/>
      <c r="HF2603" s="1"/>
      <c r="HG2603" s="1"/>
      <c r="HH2603" s="1"/>
      <c r="HI2603" s="1"/>
      <c r="HJ2603" s="1"/>
      <c r="HK2603" s="1"/>
      <c r="HL2603" s="1"/>
      <c r="HM2603" s="1"/>
      <c r="HN2603" s="1"/>
      <c r="HO2603" s="1"/>
    </row>
    <row r="2604" spans="1:225" ht="15.75" customHeight="1" x14ac:dyDescent="0.35">
      <c r="A2604" s="256">
        <v>1</v>
      </c>
      <c r="B2604" s="256">
        <v>4804</v>
      </c>
      <c r="C2604" s="259" t="s">
        <v>651</v>
      </c>
      <c r="D2604" s="262">
        <v>724.3</v>
      </c>
      <c r="E2604" s="268" t="s">
        <v>75</v>
      </c>
      <c r="F2604" s="268">
        <v>2</v>
      </c>
      <c r="G2604" s="256" t="s">
        <v>72</v>
      </c>
      <c r="H2604" s="159" t="s">
        <v>73</v>
      </c>
      <c r="I2604" s="158">
        <f>I2605+I2606</f>
        <v>4481987.4000000004</v>
      </c>
      <c r="J2604" s="158">
        <f>J2605+J2606</f>
        <v>6188.03</v>
      </c>
      <c r="K2604" s="158">
        <f>K2605+K2606</f>
        <v>7539</v>
      </c>
      <c r="L2604" s="1"/>
      <c r="M2604" s="1"/>
      <c r="N2604" s="1"/>
      <c r="O2604" s="1"/>
      <c r="P2604" s="1"/>
      <c r="Q2604" s="1"/>
      <c r="R2604" s="1"/>
      <c r="S2604" s="1"/>
      <c r="T2604" s="1"/>
      <c r="U2604" s="1"/>
      <c r="V2604" s="1"/>
      <c r="W2604" s="1"/>
      <c r="X2604" s="1"/>
      <c r="Y2604" s="1"/>
      <c r="Z2604" s="1"/>
      <c r="AA2604" s="1"/>
      <c r="AB2604" s="1"/>
      <c r="AC2604" s="1"/>
      <c r="AD2604" s="1"/>
      <c r="AE2604" s="1"/>
      <c r="AF2604" s="1"/>
      <c r="AG2604" s="1"/>
      <c r="AH2604" s="1"/>
      <c r="AI2604" s="1"/>
      <c r="AJ2604" s="1"/>
      <c r="AK2604" s="1"/>
      <c r="AL2604" s="1"/>
      <c r="AM2604" s="1"/>
      <c r="AN2604" s="1"/>
      <c r="AO2604" s="1"/>
      <c r="AP2604" s="1"/>
      <c r="AQ2604" s="1"/>
      <c r="AR2604" s="1"/>
      <c r="AS2604" s="1"/>
      <c r="AT2604" s="1"/>
      <c r="AU2604" s="1"/>
      <c r="AV2604" s="1"/>
      <c r="AW2604" s="1"/>
      <c r="AX2604" s="1"/>
      <c r="AY2604" s="1"/>
      <c r="AZ2604" s="1"/>
      <c r="BA2604" s="1"/>
      <c r="BB2604" s="1"/>
      <c r="BC2604" s="1"/>
      <c r="BD2604" s="1"/>
      <c r="BE2604" s="1"/>
      <c r="BF2604" s="1"/>
      <c r="BG2604" s="1"/>
      <c r="BH2604" s="1"/>
      <c r="BI2604" s="1"/>
      <c r="BJ2604" s="1"/>
      <c r="BK2604" s="1"/>
      <c r="BL2604" s="1"/>
      <c r="BM2604" s="1"/>
      <c r="BN2604" s="1"/>
      <c r="BO2604" s="1"/>
      <c r="BP2604" s="1"/>
      <c r="BQ2604" s="1"/>
      <c r="BR2604" s="1"/>
      <c r="BS2604" s="1"/>
      <c r="BT2604" s="1"/>
      <c r="BU2604" s="1"/>
      <c r="BV2604" s="1"/>
      <c r="BW2604" s="1"/>
      <c r="BX2604" s="1"/>
      <c r="BY2604" s="1"/>
      <c r="BZ2604" s="1"/>
      <c r="CA2604" s="1"/>
      <c r="CB2604" s="1"/>
      <c r="CC2604" s="1"/>
      <c r="CD2604" s="1"/>
      <c r="CE2604" s="1"/>
      <c r="CF2604" s="1"/>
      <c r="CG2604" s="1"/>
      <c r="CH2604" s="1"/>
      <c r="CI2604" s="1"/>
      <c r="CJ2604" s="1"/>
      <c r="CK2604" s="1"/>
      <c r="CL2604" s="1"/>
      <c r="CM2604" s="1"/>
      <c r="CN2604" s="1"/>
      <c r="CO2604" s="1"/>
      <c r="CP2604" s="1"/>
      <c r="CQ2604" s="1"/>
      <c r="CR2604" s="1"/>
      <c r="CS2604" s="1"/>
      <c r="CT2604" s="1"/>
      <c r="CU2604" s="1"/>
      <c r="CV2604" s="1"/>
      <c r="CW2604" s="1"/>
      <c r="CX2604" s="1"/>
      <c r="CY2604" s="1"/>
      <c r="CZ2604" s="1"/>
      <c r="DA2604" s="1"/>
      <c r="DB2604" s="1"/>
      <c r="DC2604" s="1"/>
      <c r="DD2604" s="1"/>
      <c r="DE2604" s="1"/>
      <c r="DF2604" s="1"/>
      <c r="DG2604" s="1"/>
      <c r="DH2604" s="1"/>
      <c r="DI2604" s="1"/>
      <c r="DJ2604" s="1"/>
      <c r="DK2604" s="1"/>
      <c r="DL2604" s="1"/>
      <c r="DM2604" s="1"/>
      <c r="DN2604" s="1"/>
      <c r="DO2604" s="1"/>
      <c r="DP2604" s="1"/>
      <c r="DQ2604" s="1"/>
      <c r="DR2604" s="1"/>
      <c r="DS2604" s="1"/>
      <c r="DT2604" s="1"/>
      <c r="DU2604" s="1"/>
      <c r="DV2604" s="1"/>
      <c r="DW2604" s="1"/>
      <c r="DX2604" s="1"/>
      <c r="DY2604" s="1"/>
      <c r="DZ2604" s="1"/>
      <c r="EA2604" s="1"/>
      <c r="EB2604" s="1"/>
      <c r="EC2604" s="1"/>
      <c r="ED2604" s="1"/>
      <c r="EE2604" s="1"/>
      <c r="EF2604" s="1"/>
      <c r="EG2604" s="1"/>
      <c r="EH2604" s="1"/>
      <c r="EI2604" s="1"/>
      <c r="EJ2604" s="1"/>
      <c r="EK2604" s="1"/>
      <c r="EL2604" s="1"/>
      <c r="EM2604" s="1"/>
      <c r="EN2604" s="1"/>
      <c r="EO2604" s="1"/>
      <c r="EP2604" s="1"/>
      <c r="EQ2604" s="1"/>
      <c r="ER2604" s="1"/>
      <c r="ES2604" s="1"/>
      <c r="ET2604" s="1"/>
      <c r="EU2604" s="1"/>
      <c r="EV2604" s="1"/>
      <c r="EW2604" s="1"/>
      <c r="EX2604" s="1"/>
      <c r="EY2604" s="1"/>
      <c r="EZ2604" s="1"/>
      <c r="FA2604" s="1"/>
      <c r="FB2604" s="1"/>
      <c r="FC2604" s="1"/>
      <c r="FD2604" s="1"/>
      <c r="FE2604" s="1"/>
      <c r="FF2604" s="1"/>
      <c r="FG2604" s="1"/>
      <c r="FH2604" s="1"/>
      <c r="FI2604" s="1"/>
      <c r="FJ2604" s="1"/>
      <c r="FK2604" s="1"/>
      <c r="FL2604" s="1"/>
      <c r="FM2604" s="1"/>
      <c r="FN2604" s="1"/>
      <c r="FO2604" s="1"/>
      <c r="FP2604" s="1"/>
      <c r="FQ2604" s="1"/>
      <c r="FR2604" s="1"/>
      <c r="FS2604" s="1"/>
      <c r="FT2604" s="1"/>
      <c r="FU2604" s="1"/>
      <c r="FV2604" s="1"/>
      <c r="FW2604" s="1"/>
      <c r="FX2604" s="1"/>
      <c r="FY2604" s="1"/>
      <c r="FZ2604" s="1"/>
      <c r="GA2604" s="1"/>
      <c r="GB2604" s="1"/>
      <c r="GC2604" s="1"/>
      <c r="GD2604" s="1"/>
      <c r="GE2604" s="1"/>
      <c r="GF2604" s="1"/>
      <c r="GG2604" s="1"/>
      <c r="GH2604" s="1"/>
      <c r="GI2604" s="1"/>
      <c r="GJ2604" s="1"/>
      <c r="GK2604" s="1"/>
      <c r="GL2604" s="1"/>
      <c r="GM2604" s="1"/>
      <c r="GN2604" s="1"/>
      <c r="GO2604" s="1"/>
      <c r="GP2604" s="1"/>
      <c r="GQ2604" s="1"/>
      <c r="GR2604" s="1"/>
      <c r="GS2604" s="1"/>
      <c r="GT2604" s="1"/>
      <c r="GU2604" s="1"/>
      <c r="GV2604" s="1"/>
      <c r="GW2604" s="1"/>
      <c r="GX2604" s="1"/>
      <c r="GY2604" s="1"/>
      <c r="GZ2604" s="1"/>
      <c r="HA2604" s="1"/>
      <c r="HB2604" s="1"/>
      <c r="HC2604" s="1"/>
      <c r="HD2604" s="1"/>
      <c r="HE2604" s="1"/>
      <c r="HF2604" s="1"/>
      <c r="HG2604" s="1"/>
      <c r="HH2604" s="1"/>
      <c r="HI2604" s="1"/>
      <c r="HJ2604" s="1"/>
      <c r="HK2604" s="1"/>
      <c r="HL2604" s="1"/>
      <c r="HM2604" s="1"/>
      <c r="HN2604" s="1"/>
      <c r="HO2604" s="1"/>
      <c r="HP2604" s="1"/>
      <c r="HQ2604" s="1"/>
    </row>
    <row r="2605" spans="1:225" x14ac:dyDescent="0.35">
      <c r="A2605" s="257"/>
      <c r="B2605" s="257"/>
      <c r="C2605" s="260"/>
      <c r="D2605" s="263"/>
      <c r="E2605" s="269"/>
      <c r="F2605" s="269"/>
      <c r="G2605" s="257"/>
      <c r="H2605" s="159" t="s">
        <v>74</v>
      </c>
      <c r="I2605" s="158">
        <v>4367548</v>
      </c>
      <c r="J2605" s="158">
        <f>I2605/D2604</f>
        <v>6030.03</v>
      </c>
      <c r="K2605" s="158">
        <f>7381</f>
        <v>7381</v>
      </c>
      <c r="L2605" s="1"/>
      <c r="M2605" s="1"/>
      <c r="N2605" s="1"/>
      <c r="O2605" s="1"/>
      <c r="P2605" s="1"/>
      <c r="Q2605" s="1"/>
      <c r="R2605" s="1"/>
      <c r="S2605" s="1"/>
      <c r="T2605" s="1"/>
      <c r="U2605" s="1"/>
      <c r="V2605" s="1"/>
      <c r="W2605" s="1"/>
      <c r="X2605" s="1"/>
      <c r="Y2605" s="1"/>
      <c r="Z2605" s="1"/>
      <c r="AA2605" s="1"/>
      <c r="AB2605" s="1"/>
      <c r="AC2605" s="1"/>
      <c r="AD2605" s="1"/>
      <c r="AE2605" s="1"/>
      <c r="AF2605" s="1"/>
      <c r="AG2605" s="1"/>
      <c r="AH2605" s="1"/>
      <c r="AI2605" s="1"/>
      <c r="AJ2605" s="1"/>
      <c r="AK2605" s="1"/>
      <c r="AL2605" s="1"/>
      <c r="AM2605" s="1"/>
      <c r="AN2605" s="1"/>
      <c r="AO2605" s="1"/>
      <c r="AP2605" s="1"/>
      <c r="AQ2605" s="1"/>
      <c r="AR2605" s="1"/>
      <c r="AS2605" s="1"/>
      <c r="AT2605" s="1"/>
      <c r="AU2605" s="1"/>
      <c r="AV2605" s="1"/>
      <c r="AW2605" s="1"/>
      <c r="AX2605" s="1"/>
      <c r="AY2605" s="1"/>
      <c r="AZ2605" s="1"/>
      <c r="BA2605" s="1"/>
      <c r="BB2605" s="1"/>
      <c r="BC2605" s="1"/>
      <c r="BD2605" s="1"/>
      <c r="BE2605" s="1"/>
      <c r="BF2605" s="1"/>
      <c r="BG2605" s="1"/>
      <c r="BH2605" s="1"/>
      <c r="BI2605" s="1"/>
      <c r="BJ2605" s="1"/>
      <c r="BK2605" s="1"/>
      <c r="BL2605" s="1"/>
      <c r="BM2605" s="1"/>
      <c r="BN2605" s="1"/>
      <c r="BO2605" s="1"/>
      <c r="BP2605" s="1"/>
      <c r="BQ2605" s="1"/>
      <c r="BR2605" s="1"/>
      <c r="BS2605" s="1"/>
      <c r="BT2605" s="1"/>
      <c r="BU2605" s="1"/>
      <c r="BV2605" s="1"/>
      <c r="BW2605" s="1"/>
      <c r="BX2605" s="1"/>
      <c r="BY2605" s="1"/>
      <c r="BZ2605" s="1"/>
      <c r="CA2605" s="1"/>
      <c r="CB2605" s="1"/>
      <c r="CC2605" s="1"/>
      <c r="CD2605" s="1"/>
      <c r="CE2605" s="1"/>
      <c r="CF2605" s="1"/>
      <c r="CG2605" s="1"/>
      <c r="CH2605" s="1"/>
      <c r="CI2605" s="1"/>
      <c r="CJ2605" s="1"/>
      <c r="CK2605" s="1"/>
      <c r="CL2605" s="1"/>
      <c r="CM2605" s="1"/>
      <c r="CN2605" s="1"/>
      <c r="CO2605" s="1"/>
      <c r="CP2605" s="1"/>
      <c r="CQ2605" s="1"/>
      <c r="CR2605" s="1"/>
      <c r="CS2605" s="1"/>
      <c r="CT2605" s="1"/>
      <c r="CU2605" s="1"/>
      <c r="CV2605" s="1"/>
      <c r="CW2605" s="1"/>
      <c r="CX2605" s="1"/>
      <c r="CY2605" s="1"/>
      <c r="CZ2605" s="1"/>
      <c r="DA2605" s="1"/>
      <c r="DB2605" s="1"/>
      <c r="DC2605" s="1"/>
      <c r="DD2605" s="1"/>
      <c r="DE2605" s="1"/>
      <c r="DF2605" s="1"/>
      <c r="DG2605" s="1"/>
      <c r="DH2605" s="1"/>
      <c r="DI2605" s="1"/>
      <c r="DJ2605" s="1"/>
      <c r="DK2605" s="1"/>
      <c r="DL2605" s="1"/>
      <c r="DM2605" s="1"/>
      <c r="DN2605" s="1"/>
      <c r="DO2605" s="1"/>
      <c r="DP2605" s="1"/>
      <c r="DQ2605" s="1"/>
      <c r="DR2605" s="1"/>
      <c r="DS2605" s="1"/>
      <c r="DT2605" s="1"/>
      <c r="DU2605" s="1"/>
      <c r="DV2605" s="1"/>
      <c r="DW2605" s="1"/>
      <c r="DX2605" s="1"/>
      <c r="DY2605" s="1"/>
      <c r="DZ2605" s="1"/>
      <c r="EA2605" s="1"/>
      <c r="EB2605" s="1"/>
      <c r="EC2605" s="1"/>
      <c r="ED2605" s="1"/>
      <c r="EE2605" s="1"/>
      <c r="EF2605" s="1"/>
      <c r="EG2605" s="1"/>
      <c r="EH2605" s="1"/>
      <c r="EI2605" s="1"/>
      <c r="EJ2605" s="1"/>
      <c r="EK2605" s="1"/>
      <c r="EL2605" s="1"/>
      <c r="EM2605" s="1"/>
      <c r="EN2605" s="1"/>
      <c r="EO2605" s="1"/>
      <c r="EP2605" s="1"/>
      <c r="EQ2605" s="1"/>
      <c r="ER2605" s="1"/>
      <c r="ES2605" s="1"/>
      <c r="ET2605" s="1"/>
      <c r="EU2605" s="1"/>
      <c r="EV2605" s="1"/>
      <c r="EW2605" s="1"/>
      <c r="EX2605" s="1"/>
      <c r="EY2605" s="1"/>
      <c r="EZ2605" s="1"/>
      <c r="FA2605" s="1"/>
      <c r="FB2605" s="1"/>
      <c r="FC2605" s="1"/>
      <c r="FD2605" s="1"/>
      <c r="FE2605" s="1"/>
      <c r="FF2605" s="1"/>
      <c r="FG2605" s="1"/>
      <c r="FH2605" s="1"/>
      <c r="FI2605" s="1"/>
      <c r="FJ2605" s="1"/>
      <c r="FK2605" s="1"/>
      <c r="FL2605" s="1"/>
      <c r="FM2605" s="1"/>
      <c r="FN2605" s="1"/>
      <c r="FO2605" s="1"/>
      <c r="FP2605" s="1"/>
      <c r="FQ2605" s="1"/>
      <c r="FR2605" s="1"/>
      <c r="FS2605" s="1"/>
      <c r="FT2605" s="1"/>
      <c r="FU2605" s="1"/>
      <c r="FV2605" s="1"/>
      <c r="FW2605" s="1"/>
      <c r="FX2605" s="1"/>
      <c r="FY2605" s="1"/>
      <c r="FZ2605" s="1"/>
      <c r="GA2605" s="1"/>
      <c r="GB2605" s="1"/>
      <c r="GC2605" s="1"/>
      <c r="GD2605" s="1"/>
      <c r="GE2605" s="1"/>
      <c r="GF2605" s="1"/>
      <c r="GG2605" s="1"/>
      <c r="GH2605" s="1"/>
      <c r="GI2605" s="1"/>
      <c r="GJ2605" s="1"/>
      <c r="GK2605" s="1"/>
      <c r="GL2605" s="1"/>
      <c r="GM2605" s="1"/>
      <c r="GN2605" s="1"/>
      <c r="GO2605" s="1"/>
      <c r="GP2605" s="1"/>
      <c r="GQ2605" s="1"/>
      <c r="GR2605" s="1"/>
      <c r="GS2605" s="1"/>
      <c r="GT2605" s="1"/>
      <c r="GU2605" s="1"/>
      <c r="GV2605" s="1"/>
      <c r="GW2605" s="1"/>
      <c r="GX2605" s="1"/>
      <c r="GY2605" s="1"/>
      <c r="GZ2605" s="1"/>
      <c r="HA2605" s="1"/>
      <c r="HB2605" s="1"/>
      <c r="HC2605" s="1"/>
      <c r="HD2605" s="1"/>
      <c r="HE2605" s="1"/>
      <c r="HF2605" s="1"/>
      <c r="HG2605" s="1"/>
      <c r="HH2605" s="1"/>
      <c r="HI2605" s="1"/>
      <c r="HJ2605" s="1"/>
      <c r="HK2605" s="1"/>
      <c r="HL2605" s="1"/>
      <c r="HM2605" s="1"/>
      <c r="HN2605" s="1"/>
      <c r="HO2605" s="1"/>
      <c r="HP2605" s="1"/>
      <c r="HQ2605" s="1"/>
    </row>
    <row r="2606" spans="1:225" x14ac:dyDescent="0.35">
      <c r="A2606" s="258">
        <v>53</v>
      </c>
      <c r="B2606" s="258"/>
      <c r="C2606" s="261"/>
      <c r="D2606" s="264">
        <v>228.3</v>
      </c>
      <c r="E2606" s="273"/>
      <c r="F2606" s="273"/>
      <c r="G2606" s="258"/>
      <c r="H2606" s="159" t="s">
        <v>76</v>
      </c>
      <c r="I2606" s="158">
        <f>D2604*K2606</f>
        <v>114439.4</v>
      </c>
      <c r="J2606" s="158">
        <f>I2606/D2604</f>
        <v>158</v>
      </c>
      <c r="K2606" s="158">
        <f>158</f>
        <v>158</v>
      </c>
      <c r="L2606" s="1"/>
      <c r="M2606" s="1"/>
      <c r="N2606" s="1"/>
      <c r="O2606" s="1"/>
      <c r="P2606" s="1"/>
      <c r="Q2606" s="1"/>
      <c r="R2606" s="1"/>
      <c r="S2606" s="1"/>
      <c r="T2606" s="1"/>
      <c r="U2606" s="1"/>
      <c r="V2606" s="1"/>
      <c r="W2606" s="1"/>
      <c r="X2606" s="1"/>
      <c r="Y2606" s="1"/>
      <c r="Z2606" s="1"/>
      <c r="AA2606" s="1"/>
      <c r="AB2606" s="1"/>
      <c r="AC2606" s="1"/>
      <c r="AD2606" s="1"/>
      <c r="AE2606" s="1"/>
      <c r="AF2606" s="1"/>
      <c r="AG2606" s="1"/>
      <c r="AH2606" s="1"/>
      <c r="AI2606" s="1"/>
      <c r="AJ2606" s="1"/>
      <c r="AK2606" s="1"/>
      <c r="AL2606" s="1"/>
      <c r="AM2606" s="1"/>
      <c r="AN2606" s="1"/>
      <c r="AO2606" s="1"/>
      <c r="AP2606" s="1"/>
      <c r="AQ2606" s="1"/>
      <c r="AR2606" s="1"/>
      <c r="AS2606" s="1"/>
      <c r="AT2606" s="1"/>
      <c r="AU2606" s="1"/>
      <c r="AV2606" s="1"/>
      <c r="AW2606" s="1"/>
      <c r="AX2606" s="1"/>
      <c r="AY2606" s="1"/>
      <c r="AZ2606" s="1"/>
      <c r="BA2606" s="1"/>
      <c r="BB2606" s="1"/>
      <c r="BC2606" s="1"/>
      <c r="BD2606" s="1"/>
      <c r="BE2606" s="1"/>
      <c r="BF2606" s="1"/>
      <c r="BG2606" s="1"/>
      <c r="BH2606" s="1"/>
      <c r="BI2606" s="1"/>
      <c r="BJ2606" s="1"/>
      <c r="BK2606" s="1"/>
      <c r="BL2606" s="1"/>
      <c r="BM2606" s="1"/>
      <c r="BN2606" s="1"/>
      <c r="BO2606" s="1"/>
      <c r="BP2606" s="1"/>
      <c r="BQ2606" s="1"/>
      <c r="BR2606" s="1"/>
      <c r="BS2606" s="1"/>
      <c r="BT2606" s="1"/>
      <c r="BU2606" s="1"/>
      <c r="BV2606" s="1"/>
      <c r="BW2606" s="1"/>
      <c r="BX2606" s="1"/>
      <c r="BY2606" s="1"/>
      <c r="BZ2606" s="1"/>
      <c r="CA2606" s="1"/>
      <c r="CB2606" s="1"/>
      <c r="CC2606" s="1"/>
      <c r="CD2606" s="1"/>
      <c r="CE2606" s="1"/>
      <c r="CF2606" s="1"/>
      <c r="CG2606" s="1"/>
      <c r="CH2606" s="1"/>
      <c r="CI2606" s="1"/>
      <c r="CJ2606" s="1"/>
      <c r="CK2606" s="1"/>
      <c r="CL2606" s="1"/>
      <c r="CM2606" s="1"/>
      <c r="CN2606" s="1"/>
      <c r="CO2606" s="1"/>
      <c r="CP2606" s="1"/>
      <c r="CQ2606" s="1"/>
      <c r="CR2606" s="1"/>
      <c r="CS2606" s="1"/>
      <c r="CT2606" s="1"/>
      <c r="CU2606" s="1"/>
      <c r="CV2606" s="1"/>
      <c r="CW2606" s="1"/>
      <c r="CX2606" s="1"/>
      <c r="CY2606" s="1"/>
      <c r="CZ2606" s="1"/>
      <c r="DA2606" s="1"/>
      <c r="DB2606" s="1"/>
      <c r="DC2606" s="1"/>
      <c r="DD2606" s="1"/>
      <c r="DE2606" s="1"/>
      <c r="DF2606" s="1"/>
      <c r="DG2606" s="1"/>
      <c r="DH2606" s="1"/>
      <c r="DI2606" s="1"/>
      <c r="DJ2606" s="1"/>
      <c r="DK2606" s="1"/>
      <c r="DL2606" s="1"/>
      <c r="DM2606" s="1"/>
      <c r="DN2606" s="1"/>
      <c r="DO2606" s="1"/>
      <c r="DP2606" s="1"/>
      <c r="DQ2606" s="1"/>
      <c r="DR2606" s="1"/>
      <c r="DS2606" s="1"/>
      <c r="DT2606" s="1"/>
      <c r="DU2606" s="1"/>
      <c r="DV2606" s="1"/>
      <c r="DW2606" s="1"/>
      <c r="DX2606" s="1"/>
      <c r="DY2606" s="1"/>
      <c r="DZ2606" s="1"/>
      <c r="EA2606" s="1"/>
      <c r="EB2606" s="1"/>
      <c r="EC2606" s="1"/>
      <c r="ED2606" s="1"/>
      <c r="EE2606" s="1"/>
      <c r="EF2606" s="1"/>
      <c r="EG2606" s="1"/>
      <c r="EH2606" s="1"/>
      <c r="EI2606" s="1"/>
      <c r="EJ2606" s="1"/>
      <c r="EK2606" s="1"/>
      <c r="EL2606" s="1"/>
      <c r="EM2606" s="1"/>
      <c r="EN2606" s="1"/>
      <c r="EO2606" s="1"/>
      <c r="EP2606" s="1"/>
      <c r="EQ2606" s="1"/>
      <c r="ER2606" s="1"/>
      <c r="ES2606" s="1"/>
      <c r="ET2606" s="1"/>
      <c r="EU2606" s="1"/>
      <c r="EV2606" s="1"/>
      <c r="EW2606" s="1"/>
      <c r="EX2606" s="1"/>
      <c r="EY2606" s="1"/>
      <c r="EZ2606" s="1"/>
      <c r="FA2606" s="1"/>
      <c r="FB2606" s="1"/>
      <c r="FC2606" s="1"/>
      <c r="FD2606" s="1"/>
      <c r="FE2606" s="1"/>
      <c r="FF2606" s="1"/>
      <c r="FG2606" s="1"/>
      <c r="FH2606" s="1"/>
      <c r="FI2606" s="1"/>
      <c r="FJ2606" s="1"/>
      <c r="FK2606" s="1"/>
      <c r="FL2606" s="1"/>
      <c r="FM2606" s="1"/>
      <c r="FN2606" s="1"/>
      <c r="FO2606" s="1"/>
      <c r="FP2606" s="1"/>
      <c r="FQ2606" s="1"/>
      <c r="FR2606" s="1"/>
      <c r="FS2606" s="1"/>
      <c r="FT2606" s="1"/>
      <c r="FU2606" s="1"/>
      <c r="FV2606" s="1"/>
      <c r="FW2606" s="1"/>
      <c r="FX2606" s="1"/>
      <c r="FY2606" s="1"/>
      <c r="FZ2606" s="1"/>
      <c r="GA2606" s="1"/>
      <c r="GB2606" s="1"/>
      <c r="GC2606" s="1"/>
      <c r="GD2606" s="1"/>
      <c r="GE2606" s="1"/>
      <c r="GF2606" s="1"/>
      <c r="GG2606" s="1"/>
      <c r="GH2606" s="1"/>
      <c r="GI2606" s="1"/>
      <c r="GJ2606" s="1"/>
      <c r="GK2606" s="1"/>
      <c r="GL2606" s="1"/>
      <c r="GM2606" s="1"/>
      <c r="GN2606" s="1"/>
      <c r="GO2606" s="1"/>
      <c r="GP2606" s="1"/>
      <c r="GQ2606" s="1"/>
      <c r="GR2606" s="1"/>
      <c r="GS2606" s="1"/>
      <c r="GT2606" s="1"/>
      <c r="GU2606" s="1"/>
      <c r="GV2606" s="1"/>
      <c r="GW2606" s="1"/>
      <c r="GX2606" s="1"/>
      <c r="GY2606" s="1"/>
      <c r="GZ2606" s="1"/>
      <c r="HA2606" s="1"/>
      <c r="HB2606" s="1"/>
      <c r="HC2606" s="1"/>
      <c r="HD2606" s="1"/>
      <c r="HE2606" s="1"/>
      <c r="HF2606" s="1"/>
      <c r="HG2606" s="1"/>
      <c r="HH2606" s="1"/>
      <c r="HI2606" s="1"/>
      <c r="HJ2606" s="1"/>
      <c r="HK2606" s="1"/>
      <c r="HL2606" s="1"/>
      <c r="HM2606" s="1"/>
      <c r="HN2606" s="1"/>
      <c r="HO2606" s="1"/>
      <c r="HP2606" s="1"/>
      <c r="HQ2606" s="1"/>
    </row>
    <row r="2607" spans="1:225" ht="15.75" customHeight="1" x14ac:dyDescent="0.35">
      <c r="A2607" s="209" t="s">
        <v>35</v>
      </c>
      <c r="B2607" s="207"/>
      <c r="C2607" s="152"/>
      <c r="D2607" s="125">
        <f>D2608</f>
        <v>329.6</v>
      </c>
      <c r="E2607" s="122"/>
      <c r="F2607" s="122"/>
      <c r="G2607" s="125"/>
      <c r="H2607" s="158"/>
      <c r="I2607" s="158">
        <f>I2608</f>
        <v>2484854.4</v>
      </c>
      <c r="J2607" s="158"/>
      <c r="K2607" s="158"/>
      <c r="L2607" s="8"/>
      <c r="M2607" s="8"/>
      <c r="N2607" s="8"/>
      <c r="O2607" s="8"/>
      <c r="P2607" s="8"/>
      <c r="Q2607" s="8"/>
      <c r="R2607" s="8"/>
      <c r="S2607" s="8"/>
      <c r="T2607" s="8"/>
      <c r="U2607" s="8"/>
      <c r="V2607" s="8"/>
      <c r="W2607" s="8"/>
      <c r="X2607" s="1"/>
      <c r="Y2607" s="1"/>
      <c r="Z2607" s="1"/>
      <c r="AA2607" s="1"/>
      <c r="AB2607" s="1"/>
      <c r="AC2607" s="1"/>
      <c r="AD2607" s="1"/>
      <c r="AE2607" s="1"/>
      <c r="AF2607" s="1"/>
      <c r="AG2607" s="1"/>
      <c r="AH2607" s="1"/>
      <c r="AI2607" s="1"/>
      <c r="AJ2607" s="1"/>
      <c r="AK2607" s="1"/>
      <c r="AL2607" s="1"/>
      <c r="AM2607" s="1"/>
      <c r="AN2607" s="1"/>
      <c r="AO2607" s="1"/>
      <c r="AP2607" s="1"/>
      <c r="AQ2607" s="1"/>
      <c r="AR2607" s="1"/>
      <c r="AS2607" s="1"/>
      <c r="AT2607" s="1"/>
      <c r="AU2607" s="1"/>
      <c r="AV2607" s="1"/>
      <c r="AW2607" s="1"/>
      <c r="AX2607" s="1"/>
      <c r="AY2607" s="1"/>
      <c r="AZ2607" s="1"/>
      <c r="BA2607" s="1"/>
      <c r="BB2607" s="1"/>
      <c r="BC2607" s="1"/>
      <c r="BD2607" s="1"/>
      <c r="BE2607" s="1"/>
      <c r="BF2607" s="1"/>
      <c r="BG2607" s="1"/>
      <c r="BH2607" s="1"/>
      <c r="BI2607" s="1"/>
      <c r="BJ2607" s="1"/>
      <c r="BK2607" s="1"/>
      <c r="BL2607" s="1"/>
      <c r="BM2607" s="1"/>
      <c r="BN2607" s="1"/>
      <c r="BO2607" s="1"/>
      <c r="BP2607" s="1"/>
      <c r="BQ2607" s="1"/>
      <c r="BR2607" s="1"/>
      <c r="BS2607" s="1"/>
      <c r="BT2607" s="1"/>
      <c r="BU2607" s="1"/>
      <c r="BV2607" s="1"/>
      <c r="BW2607" s="1"/>
      <c r="BX2607" s="1"/>
      <c r="BY2607" s="1"/>
      <c r="BZ2607" s="1"/>
      <c r="CA2607" s="1"/>
      <c r="CB2607" s="1"/>
      <c r="CC2607" s="1"/>
      <c r="CD2607" s="1"/>
      <c r="CE2607" s="1"/>
      <c r="CF2607" s="1"/>
      <c r="CG2607" s="1"/>
      <c r="CH2607" s="1"/>
      <c r="CI2607" s="1"/>
      <c r="CJ2607" s="1"/>
      <c r="CK2607" s="1"/>
      <c r="CL2607" s="1"/>
      <c r="CM2607" s="1"/>
      <c r="CN2607" s="1"/>
      <c r="CO2607" s="1"/>
      <c r="CP2607" s="1"/>
      <c r="CQ2607" s="1"/>
      <c r="CR2607" s="1"/>
      <c r="CS2607" s="1"/>
      <c r="CT2607" s="1"/>
      <c r="CU2607" s="1"/>
      <c r="CV2607" s="1"/>
      <c r="CW2607" s="1"/>
      <c r="CX2607" s="1"/>
      <c r="CY2607" s="1"/>
      <c r="CZ2607" s="1"/>
      <c r="DA2607" s="1"/>
      <c r="DB2607" s="1"/>
      <c r="DC2607" s="1"/>
      <c r="DD2607" s="1"/>
      <c r="DE2607" s="1"/>
      <c r="DF2607" s="1"/>
      <c r="DG2607" s="1"/>
      <c r="DH2607" s="1"/>
      <c r="DI2607" s="1"/>
      <c r="DJ2607" s="1"/>
      <c r="DK2607" s="1"/>
      <c r="DL2607" s="1"/>
      <c r="DM2607" s="1"/>
      <c r="DN2607" s="1"/>
      <c r="DO2607" s="1"/>
      <c r="DP2607" s="1"/>
      <c r="DQ2607" s="1"/>
      <c r="DR2607" s="1"/>
      <c r="DS2607" s="1"/>
      <c r="DT2607" s="1"/>
      <c r="DU2607" s="1"/>
      <c r="DV2607" s="1"/>
      <c r="DW2607" s="1"/>
      <c r="DX2607" s="1"/>
      <c r="DY2607" s="1"/>
      <c r="DZ2607" s="1"/>
      <c r="EA2607" s="1"/>
      <c r="EB2607" s="1"/>
      <c r="EC2607" s="1"/>
      <c r="ED2607" s="1"/>
      <c r="EE2607" s="1"/>
      <c r="EF2607" s="1"/>
      <c r="EG2607" s="1"/>
      <c r="EH2607" s="1"/>
      <c r="EI2607" s="1"/>
      <c r="EJ2607" s="1"/>
      <c r="EK2607" s="1"/>
      <c r="EL2607" s="1"/>
      <c r="EM2607" s="1"/>
      <c r="EN2607" s="1"/>
      <c r="EO2607" s="1"/>
      <c r="EP2607" s="1"/>
      <c r="EQ2607" s="1"/>
      <c r="ER2607" s="1"/>
      <c r="ES2607" s="1"/>
      <c r="ET2607" s="1"/>
      <c r="EU2607" s="1"/>
      <c r="EV2607" s="1"/>
      <c r="EW2607" s="1"/>
      <c r="EX2607" s="1"/>
      <c r="EY2607" s="1"/>
      <c r="EZ2607" s="1"/>
      <c r="FA2607" s="1"/>
      <c r="FB2607" s="1"/>
      <c r="FC2607" s="1"/>
      <c r="FD2607" s="1"/>
      <c r="FE2607" s="1"/>
      <c r="FF2607" s="1"/>
      <c r="FG2607" s="1"/>
      <c r="FH2607" s="1"/>
      <c r="FI2607" s="1"/>
      <c r="FJ2607" s="1"/>
      <c r="FK2607" s="1"/>
      <c r="FL2607" s="1"/>
      <c r="FM2607" s="1"/>
      <c r="FN2607" s="1"/>
      <c r="FO2607" s="1"/>
      <c r="FP2607" s="1"/>
      <c r="FQ2607" s="1"/>
      <c r="FR2607" s="1"/>
      <c r="FS2607" s="1"/>
      <c r="FT2607" s="1"/>
      <c r="FU2607" s="1"/>
      <c r="FV2607" s="1"/>
      <c r="FW2607" s="1"/>
      <c r="FX2607" s="1"/>
      <c r="FY2607" s="1"/>
      <c r="FZ2607" s="1"/>
      <c r="GA2607" s="1"/>
      <c r="GB2607" s="1"/>
      <c r="GC2607" s="1"/>
      <c r="GD2607" s="1"/>
      <c r="GE2607" s="1"/>
      <c r="GF2607" s="1"/>
      <c r="GG2607" s="1"/>
      <c r="GH2607" s="1"/>
      <c r="GI2607" s="1"/>
      <c r="GJ2607" s="1"/>
      <c r="GK2607" s="1"/>
      <c r="GL2607" s="1"/>
      <c r="GM2607" s="1"/>
      <c r="GN2607" s="1"/>
      <c r="GO2607" s="1"/>
      <c r="GP2607" s="1"/>
      <c r="GQ2607" s="1"/>
      <c r="GR2607" s="1"/>
      <c r="GS2607" s="1"/>
      <c r="GT2607" s="1"/>
      <c r="GU2607" s="1"/>
      <c r="GV2607" s="1"/>
      <c r="GW2607" s="1"/>
      <c r="GX2607" s="1"/>
      <c r="GY2607" s="1"/>
      <c r="GZ2607" s="1"/>
      <c r="HA2607" s="1"/>
      <c r="HB2607" s="1"/>
      <c r="HC2607" s="1"/>
      <c r="HD2607" s="1"/>
      <c r="HE2607" s="1"/>
      <c r="HF2607" s="1"/>
      <c r="HG2607" s="1"/>
      <c r="HH2607" s="1"/>
      <c r="HI2607" s="1"/>
      <c r="HJ2607" s="1"/>
      <c r="HK2607" s="1"/>
      <c r="HL2607" s="1"/>
      <c r="HM2607" s="1"/>
      <c r="HN2607" s="1"/>
      <c r="HO2607" s="1"/>
    </row>
    <row r="2608" spans="1:225" ht="15.75" customHeight="1" x14ac:dyDescent="0.35">
      <c r="A2608" s="256">
        <v>1</v>
      </c>
      <c r="B2608" s="302">
        <v>6692</v>
      </c>
      <c r="C2608" s="259" t="s">
        <v>175</v>
      </c>
      <c r="D2608" s="262">
        <v>329.6</v>
      </c>
      <c r="E2608" s="265" t="s">
        <v>665</v>
      </c>
      <c r="F2608" s="265">
        <v>2</v>
      </c>
      <c r="G2608" s="256" t="s">
        <v>72</v>
      </c>
      <c r="H2608" s="159" t="s">
        <v>73</v>
      </c>
      <c r="I2608" s="158">
        <f>I2609+I2610</f>
        <v>2484854.4</v>
      </c>
      <c r="J2608" s="158">
        <f>J2609+J2610</f>
        <v>7539</v>
      </c>
      <c r="K2608" s="158">
        <f>K2609+K2610</f>
        <v>7539</v>
      </c>
      <c r="L2608" s="8"/>
      <c r="M2608" s="8"/>
      <c r="N2608" s="8"/>
      <c r="O2608" s="8"/>
      <c r="P2608" s="8"/>
      <c r="Q2608" s="8"/>
      <c r="R2608" s="8"/>
      <c r="S2608" s="8"/>
      <c r="T2608" s="8"/>
      <c r="U2608" s="8"/>
      <c r="V2608" s="8"/>
      <c r="W2608" s="8"/>
      <c r="X2608" s="1"/>
      <c r="Y2608" s="1"/>
      <c r="Z2608" s="1"/>
      <c r="AA2608" s="1"/>
      <c r="AB2608" s="1"/>
      <c r="AC2608" s="1"/>
      <c r="AD2608" s="1"/>
      <c r="AE2608" s="1"/>
      <c r="AF2608" s="1"/>
      <c r="AG2608" s="1"/>
      <c r="AH2608" s="1"/>
      <c r="AI2608" s="1"/>
      <c r="AJ2608" s="1"/>
      <c r="AK2608" s="1"/>
      <c r="AL2608" s="1"/>
      <c r="AM2608" s="1"/>
      <c r="AN2608" s="1"/>
      <c r="AO2608" s="1"/>
      <c r="AP2608" s="1"/>
      <c r="AQ2608" s="1"/>
      <c r="AR2608" s="1"/>
      <c r="AS2608" s="1"/>
      <c r="AT2608" s="1"/>
      <c r="AU2608" s="1"/>
      <c r="AV2608" s="1"/>
      <c r="AW2608" s="1"/>
      <c r="AX2608" s="1"/>
      <c r="AY2608" s="1"/>
      <c r="AZ2608" s="1"/>
      <c r="BA2608" s="1"/>
      <c r="BB2608" s="1"/>
      <c r="BC2608" s="1"/>
      <c r="BD2608" s="1"/>
      <c r="BE2608" s="1"/>
      <c r="BF2608" s="1"/>
      <c r="BG2608" s="1"/>
      <c r="BH2608" s="1"/>
      <c r="BI2608" s="1"/>
      <c r="BJ2608" s="1"/>
      <c r="BK2608" s="1"/>
      <c r="BL2608" s="1"/>
      <c r="BM2608" s="1"/>
      <c r="BN2608" s="1"/>
      <c r="BO2608" s="1"/>
      <c r="BP2608" s="1"/>
      <c r="BQ2608" s="1"/>
      <c r="BR2608" s="1"/>
      <c r="BS2608" s="1"/>
      <c r="BT2608" s="1"/>
      <c r="BU2608" s="1"/>
      <c r="BV2608" s="1"/>
      <c r="BW2608" s="1"/>
      <c r="BX2608" s="1"/>
      <c r="BY2608" s="1"/>
      <c r="BZ2608" s="1"/>
      <c r="CA2608" s="1"/>
      <c r="CB2608" s="1"/>
      <c r="CC2608" s="1"/>
      <c r="CD2608" s="1"/>
      <c r="CE2608" s="1"/>
      <c r="CF2608" s="1"/>
      <c r="CG2608" s="1"/>
      <c r="CH2608" s="1"/>
      <c r="CI2608" s="1"/>
      <c r="CJ2608" s="1"/>
      <c r="CK2608" s="1"/>
      <c r="CL2608" s="1"/>
      <c r="CM2608" s="1"/>
      <c r="CN2608" s="1"/>
      <c r="CO2608" s="1"/>
      <c r="CP2608" s="1"/>
      <c r="CQ2608" s="1"/>
      <c r="CR2608" s="1"/>
      <c r="CS2608" s="1"/>
      <c r="CT2608" s="1"/>
      <c r="CU2608" s="1"/>
      <c r="CV2608" s="1"/>
      <c r="CW2608" s="1"/>
      <c r="CX2608" s="1"/>
      <c r="CY2608" s="1"/>
      <c r="CZ2608" s="1"/>
      <c r="DA2608" s="1"/>
      <c r="DB2608" s="1"/>
      <c r="DC2608" s="1"/>
      <c r="DD2608" s="1"/>
      <c r="DE2608" s="1"/>
      <c r="DF2608" s="1"/>
      <c r="DG2608" s="1"/>
      <c r="DH2608" s="1"/>
      <c r="DI2608" s="1"/>
      <c r="DJ2608" s="1"/>
      <c r="DK2608" s="1"/>
      <c r="DL2608" s="1"/>
      <c r="DM2608" s="1"/>
      <c r="DN2608" s="1"/>
      <c r="DO2608" s="1"/>
      <c r="DP2608" s="1"/>
      <c r="DQ2608" s="1"/>
      <c r="DR2608" s="1"/>
      <c r="DS2608" s="1"/>
      <c r="DT2608" s="1"/>
      <c r="DU2608" s="1"/>
      <c r="DV2608" s="1"/>
      <c r="DW2608" s="1"/>
      <c r="DX2608" s="1"/>
      <c r="DY2608" s="1"/>
      <c r="DZ2608" s="1"/>
      <c r="EA2608" s="1"/>
      <c r="EB2608" s="1"/>
      <c r="EC2608" s="1"/>
      <c r="ED2608" s="1"/>
      <c r="EE2608" s="1"/>
      <c r="EF2608" s="1"/>
      <c r="EG2608" s="1"/>
      <c r="EH2608" s="1"/>
      <c r="EI2608" s="1"/>
      <c r="EJ2608" s="1"/>
      <c r="EK2608" s="1"/>
      <c r="EL2608" s="1"/>
      <c r="EM2608" s="1"/>
      <c r="EN2608" s="1"/>
      <c r="EO2608" s="1"/>
      <c r="EP2608" s="1"/>
      <c r="EQ2608" s="1"/>
      <c r="ER2608" s="1"/>
      <c r="ES2608" s="1"/>
      <c r="ET2608" s="1"/>
      <c r="EU2608" s="1"/>
      <c r="EV2608" s="1"/>
      <c r="EW2608" s="1"/>
      <c r="EX2608" s="1"/>
      <c r="EY2608" s="1"/>
      <c r="EZ2608" s="1"/>
      <c r="FA2608" s="1"/>
      <c r="FB2608" s="1"/>
      <c r="FC2608" s="1"/>
      <c r="FD2608" s="1"/>
      <c r="FE2608" s="1"/>
      <c r="FF2608" s="1"/>
      <c r="FG2608" s="1"/>
      <c r="FH2608" s="1"/>
      <c r="FI2608" s="1"/>
      <c r="FJ2608" s="1"/>
      <c r="FK2608" s="1"/>
      <c r="FL2608" s="1"/>
      <c r="FM2608" s="1"/>
      <c r="FN2608" s="1"/>
      <c r="FO2608" s="1"/>
      <c r="FP2608" s="1"/>
      <c r="FQ2608" s="1"/>
      <c r="FR2608" s="1"/>
      <c r="FS2608" s="1"/>
      <c r="FT2608" s="1"/>
      <c r="FU2608" s="1"/>
      <c r="FV2608" s="1"/>
      <c r="FW2608" s="1"/>
      <c r="FX2608" s="1"/>
      <c r="FY2608" s="1"/>
      <c r="FZ2608" s="1"/>
      <c r="GA2608" s="1"/>
      <c r="GB2608" s="1"/>
      <c r="GC2608" s="1"/>
      <c r="GD2608" s="1"/>
      <c r="GE2608" s="1"/>
      <c r="GF2608" s="1"/>
      <c r="GG2608" s="1"/>
      <c r="GH2608" s="1"/>
      <c r="GI2608" s="1"/>
      <c r="GJ2608" s="1"/>
      <c r="GK2608" s="1"/>
      <c r="GL2608" s="1"/>
      <c r="GM2608" s="1"/>
      <c r="GN2608" s="1"/>
      <c r="GO2608" s="1"/>
      <c r="GP2608" s="1"/>
      <c r="GQ2608" s="1"/>
      <c r="GR2608" s="1"/>
      <c r="GS2608" s="1"/>
      <c r="GT2608" s="1"/>
      <c r="GU2608" s="1"/>
      <c r="GV2608" s="1"/>
      <c r="GW2608" s="1"/>
      <c r="GX2608" s="1"/>
      <c r="GY2608" s="1"/>
      <c r="GZ2608" s="1"/>
      <c r="HA2608" s="1"/>
      <c r="HB2608" s="1"/>
      <c r="HC2608" s="1"/>
      <c r="HD2608" s="1"/>
      <c r="HE2608" s="1"/>
      <c r="HF2608" s="1"/>
      <c r="HG2608" s="1"/>
      <c r="HH2608" s="1"/>
      <c r="HI2608" s="1"/>
      <c r="HJ2608" s="1"/>
      <c r="HK2608" s="1"/>
      <c r="HL2608" s="1"/>
      <c r="HM2608" s="1"/>
      <c r="HN2608" s="1"/>
      <c r="HO2608" s="1"/>
    </row>
    <row r="2609" spans="1:225" x14ac:dyDescent="0.35">
      <c r="A2609" s="257">
        <v>55</v>
      </c>
      <c r="B2609" s="303"/>
      <c r="C2609" s="260"/>
      <c r="D2609" s="263"/>
      <c r="E2609" s="266"/>
      <c r="F2609" s="266"/>
      <c r="G2609" s="257"/>
      <c r="H2609" s="159" t="s">
        <v>74</v>
      </c>
      <c r="I2609" s="158">
        <f>K2609*D2608</f>
        <v>2432777.6</v>
      </c>
      <c r="J2609" s="158">
        <f>I2609/D2608</f>
        <v>7381</v>
      </c>
      <c r="K2609" s="158">
        <v>7381</v>
      </c>
      <c r="L2609" s="8"/>
      <c r="M2609" s="8"/>
      <c r="N2609" s="8"/>
      <c r="O2609" s="8"/>
      <c r="P2609" s="8"/>
      <c r="Q2609" s="8"/>
      <c r="R2609" s="8"/>
      <c r="S2609" s="8"/>
      <c r="T2609" s="8"/>
      <c r="U2609" s="8"/>
      <c r="V2609" s="8"/>
      <c r="W2609" s="8"/>
      <c r="X2609" s="1"/>
      <c r="Y2609" s="1"/>
      <c r="Z2609" s="1"/>
      <c r="AA2609" s="1"/>
      <c r="AB2609" s="1"/>
      <c r="AC2609" s="1"/>
      <c r="AD2609" s="1"/>
      <c r="AE2609" s="1"/>
      <c r="AF2609" s="1"/>
      <c r="AG2609" s="1"/>
      <c r="AH2609" s="1"/>
      <c r="AI2609" s="1"/>
      <c r="AJ2609" s="1"/>
      <c r="AK2609" s="1"/>
      <c r="AL2609" s="1"/>
      <c r="AM2609" s="1"/>
      <c r="AN2609" s="1"/>
      <c r="AO2609" s="1"/>
      <c r="AP2609" s="1"/>
      <c r="AQ2609" s="1"/>
      <c r="AR2609" s="1"/>
      <c r="AS2609" s="1"/>
      <c r="AT2609" s="1"/>
      <c r="AU2609" s="1"/>
      <c r="AV2609" s="1"/>
      <c r="AW2609" s="1"/>
      <c r="AX2609" s="1"/>
      <c r="AY2609" s="1"/>
      <c r="AZ2609" s="1"/>
      <c r="BA2609" s="1"/>
      <c r="BB2609" s="1"/>
      <c r="BC2609" s="1"/>
      <c r="BD2609" s="1"/>
      <c r="BE2609" s="1"/>
      <c r="BF2609" s="1"/>
      <c r="BG2609" s="1"/>
      <c r="BH2609" s="1"/>
      <c r="BI2609" s="1"/>
      <c r="BJ2609" s="1"/>
      <c r="BK2609" s="1"/>
      <c r="BL2609" s="1"/>
      <c r="BM2609" s="1"/>
      <c r="BN2609" s="1"/>
      <c r="BO2609" s="1"/>
      <c r="BP2609" s="1"/>
      <c r="BQ2609" s="1"/>
      <c r="BR2609" s="1"/>
      <c r="BS2609" s="1"/>
      <c r="BT2609" s="1"/>
      <c r="BU2609" s="1"/>
      <c r="BV2609" s="1"/>
      <c r="BW2609" s="1"/>
      <c r="BX2609" s="1"/>
      <c r="BY2609" s="1"/>
      <c r="BZ2609" s="1"/>
      <c r="CA2609" s="1"/>
      <c r="CB2609" s="1"/>
      <c r="CC2609" s="1"/>
      <c r="CD2609" s="1"/>
      <c r="CE2609" s="1"/>
      <c r="CF2609" s="1"/>
      <c r="CG2609" s="1"/>
      <c r="CH2609" s="1"/>
      <c r="CI2609" s="1"/>
      <c r="CJ2609" s="1"/>
      <c r="CK2609" s="1"/>
      <c r="CL2609" s="1"/>
      <c r="CM2609" s="1"/>
      <c r="CN2609" s="1"/>
      <c r="CO2609" s="1"/>
      <c r="CP2609" s="1"/>
      <c r="CQ2609" s="1"/>
      <c r="CR2609" s="1"/>
      <c r="CS2609" s="1"/>
      <c r="CT2609" s="1"/>
      <c r="CU2609" s="1"/>
      <c r="CV2609" s="1"/>
      <c r="CW2609" s="1"/>
      <c r="CX2609" s="1"/>
      <c r="CY2609" s="1"/>
      <c r="CZ2609" s="1"/>
      <c r="DA2609" s="1"/>
      <c r="DB2609" s="1"/>
      <c r="DC2609" s="1"/>
      <c r="DD2609" s="1"/>
      <c r="DE2609" s="1"/>
      <c r="DF2609" s="1"/>
      <c r="DG2609" s="1"/>
      <c r="DH2609" s="1"/>
      <c r="DI2609" s="1"/>
      <c r="DJ2609" s="1"/>
      <c r="DK2609" s="1"/>
      <c r="DL2609" s="1"/>
      <c r="DM2609" s="1"/>
      <c r="DN2609" s="1"/>
      <c r="DO2609" s="1"/>
      <c r="DP2609" s="1"/>
      <c r="DQ2609" s="1"/>
      <c r="DR2609" s="1"/>
      <c r="DS2609" s="1"/>
      <c r="DT2609" s="1"/>
      <c r="DU2609" s="1"/>
      <c r="DV2609" s="1"/>
      <c r="DW2609" s="1"/>
      <c r="DX2609" s="1"/>
      <c r="DY2609" s="1"/>
      <c r="DZ2609" s="1"/>
      <c r="EA2609" s="1"/>
      <c r="EB2609" s="1"/>
      <c r="EC2609" s="1"/>
      <c r="ED2609" s="1"/>
      <c r="EE2609" s="1"/>
      <c r="EF2609" s="1"/>
      <c r="EG2609" s="1"/>
      <c r="EH2609" s="1"/>
      <c r="EI2609" s="1"/>
      <c r="EJ2609" s="1"/>
      <c r="EK2609" s="1"/>
      <c r="EL2609" s="1"/>
      <c r="EM2609" s="1"/>
      <c r="EN2609" s="1"/>
      <c r="EO2609" s="1"/>
      <c r="EP2609" s="1"/>
      <c r="EQ2609" s="1"/>
      <c r="ER2609" s="1"/>
      <c r="ES2609" s="1"/>
      <c r="ET2609" s="1"/>
      <c r="EU2609" s="1"/>
      <c r="EV2609" s="1"/>
      <c r="EW2609" s="1"/>
      <c r="EX2609" s="1"/>
      <c r="EY2609" s="1"/>
      <c r="EZ2609" s="1"/>
      <c r="FA2609" s="1"/>
      <c r="FB2609" s="1"/>
      <c r="FC2609" s="1"/>
      <c r="FD2609" s="1"/>
      <c r="FE2609" s="1"/>
      <c r="FF2609" s="1"/>
      <c r="FG2609" s="1"/>
      <c r="FH2609" s="1"/>
      <c r="FI2609" s="1"/>
      <c r="FJ2609" s="1"/>
      <c r="FK2609" s="1"/>
      <c r="FL2609" s="1"/>
      <c r="FM2609" s="1"/>
      <c r="FN2609" s="1"/>
      <c r="FO2609" s="1"/>
      <c r="FP2609" s="1"/>
      <c r="FQ2609" s="1"/>
      <c r="FR2609" s="1"/>
      <c r="FS2609" s="1"/>
      <c r="FT2609" s="1"/>
      <c r="FU2609" s="1"/>
      <c r="FV2609" s="1"/>
      <c r="FW2609" s="1"/>
      <c r="FX2609" s="1"/>
      <c r="FY2609" s="1"/>
      <c r="FZ2609" s="1"/>
      <c r="GA2609" s="1"/>
      <c r="GB2609" s="1"/>
      <c r="GC2609" s="1"/>
      <c r="GD2609" s="1"/>
      <c r="GE2609" s="1"/>
      <c r="GF2609" s="1"/>
      <c r="GG2609" s="1"/>
      <c r="GH2609" s="1"/>
      <c r="GI2609" s="1"/>
      <c r="GJ2609" s="1"/>
      <c r="GK2609" s="1"/>
      <c r="GL2609" s="1"/>
      <c r="GM2609" s="1"/>
      <c r="GN2609" s="1"/>
      <c r="GO2609" s="1"/>
      <c r="GP2609" s="1"/>
      <c r="GQ2609" s="1"/>
      <c r="GR2609" s="1"/>
      <c r="GS2609" s="1"/>
      <c r="GT2609" s="1"/>
      <c r="GU2609" s="1"/>
      <c r="GV2609" s="1"/>
      <c r="GW2609" s="1"/>
      <c r="GX2609" s="1"/>
      <c r="GY2609" s="1"/>
      <c r="GZ2609" s="1"/>
      <c r="HA2609" s="1"/>
      <c r="HB2609" s="1"/>
      <c r="HC2609" s="1"/>
      <c r="HD2609" s="1"/>
      <c r="HE2609" s="1"/>
      <c r="HF2609" s="1"/>
      <c r="HG2609" s="1"/>
      <c r="HH2609" s="1"/>
      <c r="HI2609" s="1"/>
      <c r="HJ2609" s="1"/>
      <c r="HK2609" s="1"/>
      <c r="HL2609" s="1"/>
      <c r="HM2609" s="1"/>
      <c r="HN2609" s="1"/>
      <c r="HO2609" s="1"/>
      <c r="HP2609" s="9"/>
      <c r="HQ2609" s="9"/>
    </row>
    <row r="2610" spans="1:225" x14ac:dyDescent="0.35">
      <c r="A2610" s="258">
        <v>56</v>
      </c>
      <c r="B2610" s="304"/>
      <c r="C2610" s="261"/>
      <c r="D2610" s="264"/>
      <c r="E2610" s="267"/>
      <c r="F2610" s="267"/>
      <c r="G2610" s="258"/>
      <c r="H2610" s="159" t="s">
        <v>76</v>
      </c>
      <c r="I2610" s="158">
        <f>K2610*D2608</f>
        <v>52076.800000000003</v>
      </c>
      <c r="J2610" s="158">
        <f>I2610/D2608</f>
        <v>158</v>
      </c>
      <c r="K2610" s="158">
        <v>158</v>
      </c>
      <c r="L2610" s="8"/>
      <c r="M2610" s="8"/>
      <c r="N2610" s="8"/>
      <c r="O2610" s="8"/>
      <c r="P2610" s="8"/>
      <c r="Q2610" s="8"/>
      <c r="R2610" s="8"/>
      <c r="S2610" s="8"/>
      <c r="T2610" s="8"/>
      <c r="U2610" s="8"/>
      <c r="V2610" s="8"/>
      <c r="W2610" s="8"/>
      <c r="X2610" s="1"/>
      <c r="Y2610" s="1"/>
      <c r="Z2610" s="1"/>
      <c r="AA2610" s="1"/>
      <c r="AB2610" s="1"/>
      <c r="AC2610" s="1"/>
      <c r="AD2610" s="1"/>
      <c r="AE2610" s="1"/>
      <c r="AF2610" s="1"/>
      <c r="AG2610" s="1"/>
      <c r="AH2610" s="1"/>
      <c r="AI2610" s="1"/>
      <c r="AJ2610" s="1"/>
      <c r="AK2610" s="1"/>
      <c r="AL2610" s="1"/>
      <c r="AM2610" s="1"/>
      <c r="AN2610" s="1"/>
      <c r="AO2610" s="1"/>
      <c r="AP2610" s="1"/>
      <c r="AQ2610" s="1"/>
      <c r="AR2610" s="1"/>
      <c r="AS2610" s="1"/>
      <c r="AT2610" s="1"/>
      <c r="AU2610" s="1"/>
      <c r="AV2610" s="1"/>
      <c r="AW2610" s="1"/>
      <c r="AX2610" s="1"/>
      <c r="AY2610" s="1"/>
      <c r="AZ2610" s="1"/>
      <c r="BA2610" s="1"/>
      <c r="BB2610" s="1"/>
      <c r="BC2610" s="1"/>
      <c r="BD2610" s="1"/>
      <c r="BE2610" s="1"/>
      <c r="BF2610" s="1"/>
      <c r="BG2610" s="1"/>
      <c r="BH2610" s="1"/>
      <c r="BI2610" s="1"/>
      <c r="BJ2610" s="1"/>
      <c r="BK2610" s="1"/>
      <c r="BL2610" s="1"/>
      <c r="BM2610" s="1"/>
      <c r="BN2610" s="1"/>
      <c r="BO2610" s="1"/>
      <c r="BP2610" s="1"/>
      <c r="BQ2610" s="1"/>
      <c r="BR2610" s="1"/>
      <c r="BS2610" s="1"/>
      <c r="BT2610" s="1"/>
      <c r="BU2610" s="1"/>
      <c r="BV2610" s="1"/>
      <c r="BW2610" s="1"/>
      <c r="BX2610" s="1"/>
      <c r="BY2610" s="1"/>
      <c r="BZ2610" s="1"/>
      <c r="CA2610" s="1"/>
      <c r="CB2610" s="1"/>
      <c r="CC2610" s="1"/>
      <c r="CD2610" s="1"/>
      <c r="CE2610" s="1"/>
      <c r="CF2610" s="1"/>
      <c r="CG2610" s="1"/>
      <c r="CH2610" s="1"/>
      <c r="CI2610" s="1"/>
      <c r="CJ2610" s="1"/>
      <c r="CK2610" s="1"/>
      <c r="CL2610" s="1"/>
      <c r="CM2610" s="1"/>
      <c r="CN2610" s="1"/>
      <c r="CO2610" s="1"/>
      <c r="CP2610" s="1"/>
      <c r="CQ2610" s="1"/>
      <c r="CR2610" s="1"/>
      <c r="CS2610" s="1"/>
      <c r="CT2610" s="1"/>
      <c r="CU2610" s="1"/>
      <c r="CV2610" s="1"/>
      <c r="CW2610" s="1"/>
      <c r="CX2610" s="1"/>
      <c r="CY2610" s="1"/>
      <c r="CZ2610" s="1"/>
      <c r="DA2610" s="1"/>
      <c r="DB2610" s="1"/>
      <c r="DC2610" s="1"/>
      <c r="DD2610" s="1"/>
      <c r="DE2610" s="1"/>
      <c r="DF2610" s="1"/>
      <c r="DG2610" s="1"/>
      <c r="DH2610" s="1"/>
      <c r="DI2610" s="1"/>
      <c r="DJ2610" s="1"/>
      <c r="DK2610" s="1"/>
      <c r="DL2610" s="1"/>
      <c r="DM2610" s="1"/>
      <c r="DN2610" s="1"/>
      <c r="DO2610" s="1"/>
      <c r="DP2610" s="1"/>
      <c r="DQ2610" s="1"/>
      <c r="DR2610" s="1"/>
      <c r="DS2610" s="1"/>
      <c r="DT2610" s="1"/>
      <c r="DU2610" s="1"/>
      <c r="DV2610" s="1"/>
      <c r="DW2610" s="1"/>
      <c r="DX2610" s="1"/>
      <c r="DY2610" s="1"/>
      <c r="DZ2610" s="1"/>
      <c r="EA2610" s="1"/>
      <c r="EB2610" s="1"/>
      <c r="EC2610" s="1"/>
      <c r="ED2610" s="1"/>
      <c r="EE2610" s="1"/>
      <c r="EF2610" s="1"/>
      <c r="EG2610" s="1"/>
      <c r="EH2610" s="1"/>
      <c r="EI2610" s="1"/>
      <c r="EJ2610" s="1"/>
      <c r="EK2610" s="1"/>
      <c r="EL2610" s="1"/>
      <c r="EM2610" s="1"/>
      <c r="EN2610" s="1"/>
      <c r="EO2610" s="1"/>
      <c r="EP2610" s="1"/>
      <c r="EQ2610" s="1"/>
      <c r="ER2610" s="1"/>
      <c r="ES2610" s="1"/>
      <c r="ET2610" s="1"/>
      <c r="EU2610" s="1"/>
      <c r="EV2610" s="1"/>
      <c r="EW2610" s="1"/>
      <c r="EX2610" s="1"/>
      <c r="EY2610" s="1"/>
      <c r="EZ2610" s="1"/>
      <c r="FA2610" s="1"/>
      <c r="FB2610" s="1"/>
      <c r="FC2610" s="1"/>
      <c r="FD2610" s="1"/>
      <c r="FE2610" s="1"/>
      <c r="FF2610" s="1"/>
      <c r="FG2610" s="1"/>
      <c r="FH2610" s="1"/>
      <c r="FI2610" s="1"/>
      <c r="FJ2610" s="1"/>
      <c r="FK2610" s="1"/>
      <c r="FL2610" s="1"/>
      <c r="FM2610" s="1"/>
      <c r="FN2610" s="1"/>
      <c r="FO2610" s="1"/>
      <c r="FP2610" s="1"/>
      <c r="FQ2610" s="1"/>
      <c r="FR2610" s="1"/>
      <c r="FS2610" s="1"/>
      <c r="FT2610" s="1"/>
      <c r="FU2610" s="1"/>
      <c r="FV2610" s="1"/>
      <c r="FW2610" s="1"/>
      <c r="FX2610" s="1"/>
      <c r="FY2610" s="1"/>
      <c r="FZ2610" s="1"/>
      <c r="GA2610" s="1"/>
      <c r="GB2610" s="1"/>
      <c r="GC2610" s="1"/>
      <c r="GD2610" s="1"/>
      <c r="GE2610" s="1"/>
      <c r="GF2610" s="1"/>
      <c r="GG2610" s="1"/>
      <c r="GH2610" s="1"/>
      <c r="GI2610" s="1"/>
      <c r="GJ2610" s="1"/>
      <c r="GK2610" s="1"/>
      <c r="GL2610" s="1"/>
      <c r="GM2610" s="1"/>
      <c r="GN2610" s="1"/>
      <c r="GO2610" s="1"/>
      <c r="GP2610" s="1"/>
      <c r="GQ2610" s="1"/>
      <c r="GR2610" s="1"/>
      <c r="GS2610" s="1"/>
      <c r="GT2610" s="1"/>
      <c r="GU2610" s="1"/>
      <c r="GV2610" s="1"/>
      <c r="GW2610" s="1"/>
      <c r="GX2610" s="1"/>
      <c r="GY2610" s="1"/>
      <c r="GZ2610" s="1"/>
      <c r="HA2610" s="1"/>
      <c r="HB2610" s="1"/>
      <c r="HC2610" s="1"/>
      <c r="HD2610" s="1"/>
      <c r="HE2610" s="1"/>
      <c r="HF2610" s="1"/>
      <c r="HG2610" s="1"/>
      <c r="HH2610" s="1"/>
      <c r="HI2610" s="1"/>
      <c r="HJ2610" s="1"/>
      <c r="HK2610" s="1"/>
      <c r="HL2610" s="1"/>
      <c r="HM2610" s="1"/>
      <c r="HN2610" s="1"/>
      <c r="HO2610" s="1"/>
      <c r="HP2610" s="9"/>
      <c r="HQ2610" s="9"/>
    </row>
    <row r="2611" spans="1:225" ht="15.75" customHeight="1" x14ac:dyDescent="0.35">
      <c r="A2611" s="209" t="s">
        <v>45</v>
      </c>
      <c r="B2611" s="207"/>
      <c r="C2611" s="152"/>
      <c r="D2611" s="118">
        <f>D2612+D2615+D2618+D2621+D2624+D2634+D2637+D2640+D2643+D2646+D2649+D2651+D2654+D2657+D2660+D2663+D2666+D2669+D2671+D2673+D2676+D2679+D2682+D2685+D2687+D2690</f>
        <v>59418.559999999998</v>
      </c>
      <c r="E2611" s="118"/>
      <c r="F2611" s="118"/>
      <c r="G2611" s="118"/>
      <c r="H2611" s="86"/>
      <c r="I2611" s="86">
        <f>I2612+I2615+I2618+I2621+I2624+I2634+I2637+I2640+I2643+I2646+I2649+I2651+I2654+I2657+I2660+I2663+I2666+I2669+I2671+I2673+I2676+I2679+I2682+I2685+I2687+I2690</f>
        <v>138825082.31</v>
      </c>
      <c r="J2611" s="86"/>
      <c r="K2611" s="86"/>
      <c r="L2611" s="92"/>
      <c r="M2611" s="92"/>
      <c r="N2611" s="92"/>
      <c r="O2611" s="92"/>
      <c r="P2611" s="92"/>
      <c r="Q2611" s="92"/>
      <c r="R2611" s="92"/>
      <c r="S2611" s="92"/>
      <c r="T2611" s="92"/>
      <c r="U2611" s="92"/>
      <c r="V2611" s="92"/>
      <c r="W2611" s="92"/>
      <c r="X2611" s="92"/>
      <c r="Y2611" s="92"/>
      <c r="Z2611" s="92"/>
      <c r="AA2611" s="92"/>
      <c r="AB2611" s="92"/>
      <c r="AC2611" s="92"/>
      <c r="AD2611" s="92"/>
      <c r="AE2611" s="92"/>
      <c r="AF2611" s="92"/>
      <c r="AG2611" s="92"/>
      <c r="AH2611" s="92"/>
      <c r="AI2611" s="92"/>
      <c r="AJ2611" s="92"/>
      <c r="AK2611" s="92"/>
      <c r="AL2611" s="92"/>
      <c r="AM2611" s="92"/>
      <c r="AN2611" s="92"/>
      <c r="AO2611" s="92"/>
      <c r="AP2611" s="92"/>
      <c r="AQ2611" s="92"/>
      <c r="AR2611" s="92"/>
      <c r="AS2611" s="92"/>
      <c r="AT2611" s="92"/>
      <c r="AU2611" s="92"/>
      <c r="AV2611" s="92"/>
      <c r="AW2611" s="92"/>
      <c r="AX2611" s="92"/>
      <c r="AY2611" s="92"/>
      <c r="AZ2611" s="92"/>
      <c r="BA2611" s="92"/>
      <c r="BB2611" s="92"/>
      <c r="BC2611" s="92"/>
      <c r="BD2611" s="92"/>
      <c r="BE2611" s="92"/>
      <c r="BF2611" s="92"/>
      <c r="BG2611" s="92"/>
      <c r="BH2611" s="92"/>
      <c r="BI2611" s="92"/>
      <c r="BJ2611" s="92"/>
      <c r="BK2611" s="92"/>
      <c r="BL2611" s="92"/>
      <c r="BM2611" s="92"/>
      <c r="BN2611" s="92"/>
      <c r="BO2611" s="92"/>
      <c r="BP2611" s="92"/>
      <c r="BQ2611" s="92"/>
      <c r="BR2611" s="92"/>
      <c r="BS2611" s="92"/>
      <c r="BT2611" s="92"/>
      <c r="BU2611" s="92"/>
      <c r="BV2611" s="92"/>
      <c r="BW2611" s="92"/>
      <c r="BX2611" s="92"/>
      <c r="BY2611" s="92"/>
      <c r="BZ2611" s="92"/>
      <c r="CA2611" s="92"/>
      <c r="CB2611" s="92"/>
      <c r="CC2611" s="92"/>
      <c r="CD2611" s="92"/>
      <c r="CE2611" s="92"/>
      <c r="CF2611" s="92"/>
      <c r="CG2611" s="92"/>
      <c r="CH2611" s="92"/>
      <c r="CI2611" s="92"/>
      <c r="CJ2611" s="92"/>
      <c r="CK2611" s="92"/>
      <c r="CL2611" s="92"/>
      <c r="CM2611" s="92"/>
      <c r="CN2611" s="92"/>
      <c r="CO2611" s="92"/>
      <c r="CP2611" s="92"/>
      <c r="CQ2611" s="92"/>
      <c r="CR2611" s="92"/>
      <c r="CS2611" s="92"/>
      <c r="CT2611" s="92"/>
      <c r="CU2611" s="92"/>
      <c r="CV2611" s="92"/>
      <c r="CW2611" s="92"/>
      <c r="CX2611" s="92"/>
      <c r="CY2611" s="92"/>
      <c r="CZ2611" s="92"/>
      <c r="DA2611" s="92"/>
      <c r="DB2611" s="92"/>
      <c r="DC2611" s="92"/>
      <c r="DD2611" s="92"/>
      <c r="DE2611" s="92"/>
      <c r="DF2611" s="92"/>
      <c r="DG2611" s="92"/>
      <c r="DH2611" s="92"/>
      <c r="DI2611" s="92"/>
      <c r="DJ2611" s="92"/>
      <c r="DK2611" s="92"/>
      <c r="DL2611" s="92"/>
      <c r="DM2611" s="92"/>
      <c r="DN2611" s="92"/>
      <c r="DO2611" s="92"/>
      <c r="DP2611" s="92"/>
      <c r="DQ2611" s="92"/>
      <c r="DR2611" s="92"/>
      <c r="DS2611" s="92"/>
      <c r="DT2611" s="92"/>
      <c r="DU2611" s="92"/>
      <c r="DV2611" s="92"/>
      <c r="DW2611" s="92"/>
      <c r="DX2611" s="92"/>
      <c r="DY2611" s="92"/>
      <c r="DZ2611" s="92"/>
      <c r="EA2611" s="92"/>
      <c r="EB2611" s="92"/>
      <c r="EC2611" s="92"/>
      <c r="ED2611" s="92"/>
      <c r="EE2611" s="92"/>
      <c r="EF2611" s="92"/>
      <c r="EG2611" s="92"/>
      <c r="EH2611" s="92"/>
      <c r="EI2611" s="92"/>
      <c r="EJ2611" s="92"/>
      <c r="EK2611" s="92"/>
      <c r="EL2611" s="92"/>
      <c r="EM2611" s="92"/>
      <c r="EN2611" s="92"/>
      <c r="EO2611" s="92"/>
      <c r="EP2611" s="92"/>
      <c r="EQ2611" s="92"/>
      <c r="ER2611" s="92"/>
      <c r="ES2611" s="92"/>
      <c r="ET2611" s="92"/>
      <c r="EU2611" s="92"/>
      <c r="EV2611" s="92"/>
      <c r="EW2611" s="92"/>
      <c r="EX2611" s="92"/>
      <c r="EY2611" s="92"/>
      <c r="EZ2611" s="92"/>
      <c r="FA2611" s="92"/>
      <c r="FB2611" s="92"/>
      <c r="FC2611" s="92"/>
      <c r="FD2611" s="92"/>
      <c r="FE2611" s="92"/>
      <c r="FF2611" s="92"/>
      <c r="FG2611" s="92"/>
      <c r="FH2611" s="92"/>
      <c r="FI2611" s="92"/>
      <c r="FJ2611" s="92"/>
      <c r="FK2611" s="92"/>
      <c r="FL2611" s="92"/>
      <c r="FM2611" s="92"/>
      <c r="FN2611" s="92"/>
      <c r="FO2611" s="92"/>
      <c r="FP2611" s="92"/>
      <c r="FQ2611" s="92"/>
      <c r="FR2611" s="92"/>
      <c r="FS2611" s="92"/>
      <c r="FT2611" s="92"/>
      <c r="FU2611" s="92"/>
      <c r="FV2611" s="92"/>
      <c r="FW2611" s="92"/>
      <c r="FX2611" s="92"/>
      <c r="FY2611" s="92"/>
      <c r="FZ2611" s="92"/>
      <c r="GA2611" s="92"/>
      <c r="GB2611" s="92"/>
      <c r="GC2611" s="92"/>
      <c r="GD2611" s="92"/>
      <c r="GE2611" s="92"/>
      <c r="GF2611" s="92"/>
      <c r="GG2611" s="92"/>
      <c r="GH2611" s="92"/>
      <c r="GI2611" s="92"/>
      <c r="GJ2611" s="92"/>
      <c r="GK2611" s="92"/>
      <c r="GL2611" s="92"/>
      <c r="GM2611" s="92"/>
      <c r="GN2611" s="92"/>
      <c r="GO2611" s="92"/>
      <c r="GP2611" s="92"/>
      <c r="GQ2611" s="92"/>
      <c r="GR2611" s="92"/>
      <c r="GS2611" s="92"/>
      <c r="GT2611" s="92"/>
      <c r="GU2611" s="92"/>
      <c r="GV2611" s="92"/>
      <c r="GW2611" s="92"/>
      <c r="GX2611" s="92"/>
      <c r="GY2611" s="92"/>
      <c r="GZ2611" s="92"/>
      <c r="HA2611" s="92"/>
      <c r="HB2611" s="92"/>
      <c r="HC2611" s="92"/>
      <c r="HD2611" s="92"/>
      <c r="HE2611" s="92"/>
      <c r="HF2611" s="92"/>
      <c r="HG2611" s="92"/>
      <c r="HH2611" s="92"/>
      <c r="HI2611" s="92"/>
      <c r="HJ2611" s="92"/>
      <c r="HK2611" s="92"/>
      <c r="HL2611" s="92"/>
      <c r="HM2611" s="92"/>
      <c r="HN2611" s="92"/>
      <c r="HO2611" s="92"/>
      <c r="HP2611" s="9"/>
      <c r="HQ2611" s="9"/>
    </row>
    <row r="2612" spans="1:225" ht="15.75" customHeight="1" x14ac:dyDescent="0.35">
      <c r="A2612" s="285">
        <v>1</v>
      </c>
      <c r="B2612" s="285">
        <v>5861</v>
      </c>
      <c r="C2612" s="295" t="s">
        <v>497</v>
      </c>
      <c r="D2612" s="279">
        <v>2357.8000000000002</v>
      </c>
      <c r="E2612" s="285" t="s">
        <v>75</v>
      </c>
      <c r="F2612" s="285">
        <v>4</v>
      </c>
      <c r="G2612" s="285" t="s">
        <v>72</v>
      </c>
      <c r="H2612" s="116" t="s">
        <v>73</v>
      </c>
      <c r="I2612" s="86">
        <f>I2613+I2614</f>
        <v>7639979.3399999999</v>
      </c>
      <c r="J2612" s="86">
        <f>J2613+J2614</f>
        <v>3240.3</v>
      </c>
      <c r="K2612" s="86">
        <f>K2613+K2614</f>
        <v>4728</v>
      </c>
      <c r="L2612" s="92"/>
      <c r="M2612" s="92"/>
      <c r="N2612" s="92"/>
      <c r="O2612" s="92"/>
      <c r="P2612" s="92"/>
      <c r="Q2612" s="92"/>
      <c r="R2612" s="92"/>
      <c r="S2612" s="92"/>
      <c r="T2612" s="92"/>
      <c r="U2612" s="92"/>
      <c r="V2612" s="92"/>
      <c r="W2612" s="92"/>
      <c r="X2612" s="92"/>
      <c r="Y2612" s="92"/>
      <c r="Z2612" s="92"/>
      <c r="AA2612" s="92"/>
      <c r="AB2612" s="92"/>
      <c r="AC2612" s="92"/>
      <c r="AD2612" s="92"/>
      <c r="AE2612" s="92"/>
      <c r="AF2612" s="92"/>
      <c r="AG2612" s="92"/>
      <c r="AH2612" s="92"/>
      <c r="AI2612" s="92"/>
      <c r="AJ2612" s="92"/>
      <c r="AK2612" s="92"/>
      <c r="AL2612" s="92"/>
      <c r="AM2612" s="92"/>
      <c r="AN2612" s="92"/>
      <c r="AO2612" s="92"/>
      <c r="AP2612" s="92"/>
      <c r="AQ2612" s="92"/>
      <c r="AR2612" s="92"/>
      <c r="AS2612" s="92"/>
      <c r="AT2612" s="92"/>
      <c r="AU2612" s="92"/>
      <c r="AV2612" s="92"/>
      <c r="AW2612" s="92"/>
      <c r="AX2612" s="92"/>
      <c r="AY2612" s="92"/>
      <c r="AZ2612" s="92"/>
      <c r="BA2612" s="92"/>
      <c r="BB2612" s="92"/>
      <c r="BC2612" s="92"/>
      <c r="BD2612" s="92"/>
      <c r="BE2612" s="92"/>
      <c r="BF2612" s="92"/>
      <c r="BG2612" s="92"/>
      <c r="BH2612" s="92"/>
      <c r="BI2612" s="92"/>
      <c r="BJ2612" s="92"/>
      <c r="BK2612" s="92"/>
      <c r="BL2612" s="92"/>
      <c r="BM2612" s="92"/>
      <c r="BN2612" s="92"/>
      <c r="BO2612" s="92"/>
      <c r="BP2612" s="92"/>
      <c r="BQ2612" s="92"/>
      <c r="BR2612" s="92"/>
      <c r="BS2612" s="92"/>
      <c r="BT2612" s="92"/>
      <c r="BU2612" s="92"/>
      <c r="BV2612" s="92"/>
      <c r="BW2612" s="92"/>
      <c r="BX2612" s="92"/>
      <c r="BY2612" s="92"/>
      <c r="BZ2612" s="92"/>
      <c r="CA2612" s="92"/>
      <c r="CB2612" s="92"/>
      <c r="CC2612" s="92"/>
      <c r="CD2612" s="92"/>
      <c r="CE2612" s="92"/>
      <c r="CF2612" s="92"/>
      <c r="CG2612" s="92"/>
      <c r="CH2612" s="92"/>
      <c r="CI2612" s="92"/>
      <c r="CJ2612" s="92"/>
      <c r="CK2612" s="92"/>
      <c r="CL2612" s="92"/>
      <c r="CM2612" s="92"/>
      <c r="CN2612" s="92"/>
      <c r="CO2612" s="92"/>
      <c r="CP2612" s="92"/>
      <c r="CQ2612" s="92"/>
      <c r="CR2612" s="92"/>
      <c r="CS2612" s="92"/>
      <c r="CT2612" s="92"/>
      <c r="CU2612" s="92"/>
      <c r="CV2612" s="92"/>
      <c r="CW2612" s="92"/>
      <c r="CX2612" s="92"/>
      <c r="CY2612" s="92"/>
      <c r="CZ2612" s="92"/>
      <c r="DA2612" s="92"/>
      <c r="DB2612" s="92"/>
      <c r="DC2612" s="92"/>
      <c r="DD2612" s="92"/>
      <c r="DE2612" s="92"/>
      <c r="DF2612" s="92"/>
      <c r="DG2612" s="92"/>
      <c r="DH2612" s="92"/>
      <c r="DI2612" s="92"/>
      <c r="DJ2612" s="92"/>
      <c r="DK2612" s="92"/>
      <c r="DL2612" s="92"/>
      <c r="DM2612" s="92"/>
      <c r="DN2612" s="92"/>
      <c r="DO2612" s="92"/>
      <c r="DP2612" s="92"/>
      <c r="DQ2612" s="92"/>
      <c r="DR2612" s="92"/>
      <c r="DS2612" s="92"/>
      <c r="DT2612" s="92"/>
      <c r="DU2612" s="92"/>
      <c r="DV2612" s="92"/>
      <c r="DW2612" s="92"/>
      <c r="DX2612" s="92"/>
      <c r="DY2612" s="92"/>
      <c r="DZ2612" s="92"/>
      <c r="EA2612" s="92"/>
      <c r="EB2612" s="92"/>
      <c r="EC2612" s="92"/>
      <c r="ED2612" s="92"/>
      <c r="EE2612" s="92"/>
      <c r="EF2612" s="92"/>
      <c r="EG2612" s="92"/>
      <c r="EH2612" s="92"/>
      <c r="EI2612" s="92"/>
      <c r="EJ2612" s="92"/>
      <c r="EK2612" s="92"/>
      <c r="EL2612" s="92"/>
      <c r="EM2612" s="92"/>
      <c r="EN2612" s="92"/>
      <c r="EO2612" s="92"/>
      <c r="EP2612" s="92"/>
      <c r="EQ2612" s="92"/>
      <c r="ER2612" s="92"/>
      <c r="ES2612" s="92"/>
      <c r="ET2612" s="92"/>
      <c r="EU2612" s="92"/>
      <c r="EV2612" s="92"/>
      <c r="EW2612" s="92"/>
      <c r="EX2612" s="92"/>
      <c r="EY2612" s="92"/>
      <c r="EZ2612" s="92"/>
      <c r="FA2612" s="92"/>
      <c r="FB2612" s="92"/>
      <c r="FC2612" s="92"/>
      <c r="FD2612" s="92"/>
      <c r="FE2612" s="92"/>
      <c r="FF2612" s="92"/>
      <c r="FG2612" s="92"/>
      <c r="FH2612" s="92"/>
      <c r="FI2612" s="92"/>
      <c r="FJ2612" s="92"/>
      <c r="FK2612" s="92"/>
      <c r="FL2612" s="92"/>
      <c r="FM2612" s="92"/>
      <c r="FN2612" s="92"/>
      <c r="FO2612" s="92"/>
      <c r="FP2612" s="92"/>
      <c r="FQ2612" s="92"/>
      <c r="FR2612" s="92"/>
      <c r="FS2612" s="92"/>
      <c r="FT2612" s="92"/>
      <c r="FU2612" s="92"/>
      <c r="FV2612" s="92"/>
      <c r="FW2612" s="92"/>
      <c r="FX2612" s="92"/>
      <c r="FY2612" s="92"/>
      <c r="FZ2612" s="92"/>
      <c r="GA2612" s="92"/>
      <c r="GB2612" s="92"/>
      <c r="GC2612" s="92"/>
      <c r="GD2612" s="92"/>
      <c r="GE2612" s="92"/>
      <c r="GF2612" s="92"/>
      <c r="GG2612" s="92"/>
      <c r="GH2612" s="92"/>
      <c r="GI2612" s="92"/>
      <c r="GJ2612" s="92"/>
      <c r="GK2612" s="92"/>
      <c r="GL2612" s="92"/>
      <c r="GM2612" s="92"/>
      <c r="GN2612" s="92"/>
      <c r="GO2612" s="92"/>
      <c r="GP2612" s="92"/>
      <c r="GQ2612" s="92"/>
      <c r="GR2612" s="92"/>
      <c r="GS2612" s="92"/>
      <c r="GT2612" s="92"/>
      <c r="GU2612" s="92"/>
      <c r="GV2612" s="92"/>
      <c r="GW2612" s="92"/>
      <c r="GX2612" s="92"/>
      <c r="GY2612" s="92"/>
      <c r="GZ2612" s="92"/>
      <c r="HA2612" s="92"/>
      <c r="HB2612" s="92"/>
      <c r="HC2612" s="92"/>
      <c r="HD2612" s="92"/>
      <c r="HE2612" s="92"/>
      <c r="HF2612" s="92"/>
      <c r="HG2612" s="92"/>
      <c r="HH2612" s="92"/>
      <c r="HI2612" s="92"/>
      <c r="HJ2612" s="92"/>
      <c r="HK2612" s="92"/>
      <c r="HL2612" s="92"/>
      <c r="HM2612" s="92"/>
      <c r="HN2612" s="92"/>
      <c r="HO2612" s="92"/>
      <c r="HP2612" s="92"/>
      <c r="HQ2612" s="92"/>
    </row>
    <row r="2613" spans="1:225" x14ac:dyDescent="0.35">
      <c r="A2613" s="286"/>
      <c r="B2613" s="286"/>
      <c r="C2613" s="296"/>
      <c r="D2613" s="280"/>
      <c r="E2613" s="286"/>
      <c r="F2613" s="286"/>
      <c r="G2613" s="286"/>
      <c r="H2613" s="116" t="s">
        <v>667</v>
      </c>
      <c r="I2613" s="86">
        <f>D2612*K2613*0.7</f>
        <v>7639979.3399999999</v>
      </c>
      <c r="J2613" s="86">
        <f>I2613/D2612</f>
        <v>3240.3</v>
      </c>
      <c r="K2613" s="86">
        <v>4629</v>
      </c>
      <c r="L2613" s="92"/>
      <c r="M2613" s="92"/>
      <c r="N2613" s="92"/>
      <c r="O2613" s="92"/>
      <c r="P2613" s="92"/>
      <c r="Q2613" s="92"/>
      <c r="R2613" s="92"/>
      <c r="S2613" s="92"/>
      <c r="T2613" s="92"/>
      <c r="U2613" s="92"/>
      <c r="V2613" s="92"/>
      <c r="W2613" s="92"/>
      <c r="X2613" s="92"/>
      <c r="Y2613" s="92"/>
      <c r="Z2613" s="92"/>
      <c r="AA2613" s="92"/>
      <c r="AB2613" s="92"/>
      <c r="AC2613" s="92"/>
      <c r="AD2613" s="92"/>
      <c r="AE2613" s="92"/>
      <c r="AF2613" s="92"/>
      <c r="AG2613" s="92"/>
      <c r="AH2613" s="92"/>
      <c r="AI2613" s="92"/>
      <c r="AJ2613" s="92"/>
      <c r="AK2613" s="92"/>
      <c r="AL2613" s="92"/>
      <c r="AM2613" s="92"/>
      <c r="AN2613" s="92"/>
      <c r="AO2613" s="92"/>
      <c r="AP2613" s="92"/>
      <c r="AQ2613" s="92"/>
      <c r="AR2613" s="92"/>
      <c r="AS2613" s="92"/>
      <c r="AT2613" s="92"/>
      <c r="AU2613" s="92"/>
      <c r="AV2613" s="92"/>
      <c r="AW2613" s="92"/>
      <c r="AX2613" s="92"/>
      <c r="AY2613" s="92"/>
      <c r="AZ2613" s="92"/>
      <c r="BA2613" s="92"/>
      <c r="BB2613" s="92"/>
      <c r="BC2613" s="92"/>
      <c r="BD2613" s="92"/>
      <c r="BE2613" s="92"/>
      <c r="BF2613" s="92"/>
      <c r="BG2613" s="92"/>
      <c r="BH2613" s="92"/>
      <c r="BI2613" s="92"/>
      <c r="BJ2613" s="92"/>
      <c r="BK2613" s="92"/>
      <c r="BL2613" s="92"/>
      <c r="BM2613" s="92"/>
      <c r="BN2613" s="92"/>
      <c r="BO2613" s="92"/>
      <c r="BP2613" s="92"/>
      <c r="BQ2613" s="92"/>
      <c r="BR2613" s="92"/>
      <c r="BS2613" s="92"/>
      <c r="BT2613" s="92"/>
      <c r="BU2613" s="92"/>
      <c r="BV2613" s="92"/>
      <c r="BW2613" s="92"/>
      <c r="BX2613" s="92"/>
      <c r="BY2613" s="92"/>
      <c r="BZ2613" s="92"/>
      <c r="CA2613" s="92"/>
      <c r="CB2613" s="92"/>
      <c r="CC2613" s="92"/>
      <c r="CD2613" s="92"/>
      <c r="CE2613" s="92"/>
      <c r="CF2613" s="92"/>
      <c r="CG2613" s="92"/>
      <c r="CH2613" s="92"/>
      <c r="CI2613" s="92"/>
      <c r="CJ2613" s="92"/>
      <c r="CK2613" s="92"/>
      <c r="CL2613" s="92"/>
      <c r="CM2613" s="92"/>
      <c r="CN2613" s="92"/>
      <c r="CO2613" s="92"/>
      <c r="CP2613" s="92"/>
      <c r="CQ2613" s="92"/>
      <c r="CR2613" s="92"/>
      <c r="CS2613" s="92"/>
      <c r="CT2613" s="92"/>
      <c r="CU2613" s="92"/>
      <c r="CV2613" s="92"/>
      <c r="CW2613" s="92"/>
      <c r="CX2613" s="92"/>
      <c r="CY2613" s="92"/>
      <c r="CZ2613" s="92"/>
      <c r="DA2613" s="92"/>
      <c r="DB2613" s="92"/>
      <c r="DC2613" s="92"/>
      <c r="DD2613" s="92"/>
      <c r="DE2613" s="92"/>
      <c r="DF2613" s="92"/>
      <c r="DG2613" s="92"/>
      <c r="DH2613" s="92"/>
      <c r="DI2613" s="92"/>
      <c r="DJ2613" s="92"/>
      <c r="DK2613" s="92"/>
      <c r="DL2613" s="92"/>
      <c r="DM2613" s="92"/>
      <c r="DN2613" s="92"/>
      <c r="DO2613" s="92"/>
      <c r="DP2613" s="92"/>
      <c r="DQ2613" s="92"/>
      <c r="DR2613" s="92"/>
      <c r="DS2613" s="92"/>
      <c r="DT2613" s="92"/>
      <c r="DU2613" s="92"/>
      <c r="DV2613" s="92"/>
      <c r="DW2613" s="92"/>
      <c r="DX2613" s="92"/>
      <c r="DY2613" s="92"/>
      <c r="DZ2613" s="92"/>
      <c r="EA2613" s="92"/>
      <c r="EB2613" s="92"/>
      <c r="EC2613" s="92"/>
      <c r="ED2613" s="92"/>
      <c r="EE2613" s="92"/>
      <c r="EF2613" s="92"/>
      <c r="EG2613" s="92"/>
      <c r="EH2613" s="92"/>
      <c r="EI2613" s="92"/>
      <c r="EJ2613" s="92"/>
      <c r="EK2613" s="92"/>
      <c r="EL2613" s="92"/>
      <c r="EM2613" s="92"/>
      <c r="EN2613" s="92"/>
      <c r="EO2613" s="92"/>
      <c r="EP2613" s="92"/>
      <c r="EQ2613" s="92"/>
      <c r="ER2613" s="92"/>
      <c r="ES2613" s="92"/>
      <c r="ET2613" s="92"/>
      <c r="EU2613" s="92"/>
      <c r="EV2613" s="92"/>
      <c r="EW2613" s="92"/>
      <c r="EX2613" s="92"/>
      <c r="EY2613" s="92"/>
      <c r="EZ2613" s="92"/>
      <c r="FA2613" s="92"/>
      <c r="FB2613" s="92"/>
      <c r="FC2613" s="92"/>
      <c r="FD2613" s="92"/>
      <c r="FE2613" s="92"/>
      <c r="FF2613" s="92"/>
      <c r="FG2613" s="92"/>
      <c r="FH2613" s="92"/>
      <c r="FI2613" s="92"/>
      <c r="FJ2613" s="92"/>
      <c r="FK2613" s="92"/>
      <c r="FL2613" s="92"/>
      <c r="FM2613" s="92"/>
      <c r="FN2613" s="92"/>
      <c r="FO2613" s="92"/>
      <c r="FP2613" s="92"/>
      <c r="FQ2613" s="92"/>
      <c r="FR2613" s="92"/>
      <c r="FS2613" s="92"/>
      <c r="FT2613" s="92"/>
      <c r="FU2613" s="92"/>
      <c r="FV2613" s="92"/>
      <c r="FW2613" s="92"/>
      <c r="FX2613" s="92"/>
      <c r="FY2613" s="92"/>
      <c r="FZ2613" s="92"/>
      <c r="GA2613" s="92"/>
      <c r="GB2613" s="92"/>
      <c r="GC2613" s="92"/>
      <c r="GD2613" s="92"/>
      <c r="GE2613" s="92"/>
      <c r="GF2613" s="92"/>
      <c r="GG2613" s="92"/>
      <c r="GH2613" s="92"/>
      <c r="GI2613" s="92"/>
      <c r="GJ2613" s="92"/>
      <c r="GK2613" s="92"/>
      <c r="GL2613" s="92"/>
      <c r="GM2613" s="92"/>
      <c r="GN2613" s="92"/>
      <c r="GO2613" s="92"/>
      <c r="GP2613" s="92"/>
      <c r="GQ2613" s="92"/>
      <c r="GR2613" s="92"/>
      <c r="GS2613" s="92"/>
      <c r="GT2613" s="92"/>
      <c r="GU2613" s="92"/>
      <c r="GV2613" s="92"/>
      <c r="GW2613" s="92"/>
      <c r="GX2613" s="92"/>
      <c r="GY2613" s="92"/>
      <c r="GZ2613" s="92"/>
      <c r="HA2613" s="92"/>
      <c r="HB2613" s="92"/>
      <c r="HC2613" s="92"/>
      <c r="HD2613" s="92"/>
      <c r="HE2613" s="92"/>
      <c r="HF2613" s="92"/>
      <c r="HG2613" s="92"/>
      <c r="HH2613" s="92"/>
      <c r="HI2613" s="92"/>
      <c r="HJ2613" s="92"/>
      <c r="HK2613" s="92"/>
      <c r="HL2613" s="92"/>
      <c r="HM2613" s="92"/>
      <c r="HN2613" s="92"/>
      <c r="HO2613" s="92"/>
      <c r="HP2613" s="92"/>
      <c r="HQ2613" s="92"/>
    </row>
    <row r="2614" spans="1:225" x14ac:dyDescent="0.35">
      <c r="A2614" s="287"/>
      <c r="B2614" s="287"/>
      <c r="C2614" s="297"/>
      <c r="D2614" s="281"/>
      <c r="E2614" s="287"/>
      <c r="F2614" s="287"/>
      <c r="G2614" s="287"/>
      <c r="H2614" s="116" t="s">
        <v>76</v>
      </c>
      <c r="I2614" s="86">
        <v>0</v>
      </c>
      <c r="J2614" s="86">
        <v>0</v>
      </c>
      <c r="K2614" s="86">
        <v>99</v>
      </c>
      <c r="L2614" s="92"/>
      <c r="M2614" s="92"/>
      <c r="N2614" s="92"/>
      <c r="O2614" s="92"/>
      <c r="P2614" s="92"/>
      <c r="Q2614" s="92"/>
      <c r="R2614" s="92"/>
      <c r="S2614" s="92"/>
      <c r="T2614" s="92"/>
      <c r="U2614" s="92"/>
      <c r="V2614" s="92"/>
      <c r="W2614" s="92"/>
      <c r="X2614" s="92"/>
      <c r="Y2614" s="92"/>
      <c r="Z2614" s="92"/>
      <c r="AA2614" s="92"/>
      <c r="AB2614" s="92"/>
      <c r="AC2614" s="92"/>
      <c r="AD2614" s="92"/>
      <c r="AE2614" s="92"/>
      <c r="AF2614" s="92"/>
      <c r="AG2614" s="92"/>
      <c r="AH2614" s="92"/>
      <c r="AI2614" s="92"/>
      <c r="AJ2614" s="92"/>
      <c r="AK2614" s="92"/>
      <c r="AL2614" s="92"/>
      <c r="AM2614" s="92"/>
      <c r="AN2614" s="92"/>
      <c r="AO2614" s="92"/>
      <c r="AP2614" s="92"/>
      <c r="AQ2614" s="92"/>
      <c r="AR2614" s="92"/>
      <c r="AS2614" s="92"/>
      <c r="AT2614" s="92"/>
      <c r="AU2614" s="92"/>
      <c r="AV2614" s="92"/>
      <c r="AW2614" s="92"/>
      <c r="AX2614" s="92"/>
      <c r="AY2614" s="92"/>
      <c r="AZ2614" s="92"/>
      <c r="BA2614" s="92"/>
      <c r="BB2614" s="92"/>
      <c r="BC2614" s="92"/>
      <c r="BD2614" s="92"/>
      <c r="BE2614" s="92"/>
      <c r="BF2614" s="92"/>
      <c r="BG2614" s="92"/>
      <c r="BH2614" s="92"/>
      <c r="BI2614" s="92"/>
      <c r="BJ2614" s="92"/>
      <c r="BK2614" s="92"/>
      <c r="BL2614" s="92"/>
      <c r="BM2614" s="92"/>
      <c r="BN2614" s="92"/>
      <c r="BO2614" s="92"/>
      <c r="BP2614" s="92"/>
      <c r="BQ2614" s="92"/>
      <c r="BR2614" s="92"/>
      <c r="BS2614" s="92"/>
      <c r="BT2614" s="92"/>
      <c r="BU2614" s="92"/>
      <c r="BV2614" s="92"/>
      <c r="BW2614" s="92"/>
      <c r="BX2614" s="92"/>
      <c r="BY2614" s="92"/>
      <c r="BZ2614" s="92"/>
      <c r="CA2614" s="92"/>
      <c r="CB2614" s="92"/>
      <c r="CC2614" s="92"/>
      <c r="CD2614" s="92"/>
      <c r="CE2614" s="92"/>
      <c r="CF2614" s="92"/>
      <c r="CG2614" s="92"/>
      <c r="CH2614" s="92"/>
      <c r="CI2614" s="92"/>
      <c r="CJ2614" s="92"/>
      <c r="CK2614" s="92"/>
      <c r="CL2614" s="92"/>
      <c r="CM2614" s="92"/>
      <c r="CN2614" s="92"/>
      <c r="CO2614" s="92"/>
      <c r="CP2614" s="92"/>
      <c r="CQ2614" s="92"/>
      <c r="CR2614" s="92"/>
      <c r="CS2614" s="92"/>
      <c r="CT2614" s="92"/>
      <c r="CU2614" s="92"/>
      <c r="CV2614" s="92"/>
      <c r="CW2614" s="92"/>
      <c r="CX2614" s="92"/>
      <c r="CY2614" s="92"/>
      <c r="CZ2614" s="92"/>
      <c r="DA2614" s="92"/>
      <c r="DB2614" s="92"/>
      <c r="DC2614" s="92"/>
      <c r="DD2614" s="92"/>
      <c r="DE2614" s="92"/>
      <c r="DF2614" s="92"/>
      <c r="DG2614" s="92"/>
      <c r="DH2614" s="92"/>
      <c r="DI2614" s="92"/>
      <c r="DJ2614" s="92"/>
      <c r="DK2614" s="92"/>
      <c r="DL2614" s="92"/>
      <c r="DM2614" s="92"/>
      <c r="DN2614" s="92"/>
      <c r="DO2614" s="92"/>
      <c r="DP2614" s="92"/>
      <c r="DQ2614" s="92"/>
      <c r="DR2614" s="92"/>
      <c r="DS2614" s="92"/>
      <c r="DT2614" s="92"/>
      <c r="DU2614" s="92"/>
      <c r="DV2614" s="92"/>
      <c r="DW2614" s="92"/>
      <c r="DX2614" s="92"/>
      <c r="DY2614" s="92"/>
      <c r="DZ2614" s="92"/>
      <c r="EA2614" s="92"/>
      <c r="EB2614" s="92"/>
      <c r="EC2614" s="92"/>
      <c r="ED2614" s="92"/>
      <c r="EE2614" s="92"/>
      <c r="EF2614" s="92"/>
      <c r="EG2614" s="92"/>
      <c r="EH2614" s="92"/>
      <c r="EI2614" s="92"/>
      <c r="EJ2614" s="92"/>
      <c r="EK2614" s="92"/>
      <c r="EL2614" s="92"/>
      <c r="EM2614" s="92"/>
      <c r="EN2614" s="92"/>
      <c r="EO2614" s="92"/>
      <c r="EP2614" s="92"/>
      <c r="EQ2614" s="92"/>
      <c r="ER2614" s="92"/>
      <c r="ES2614" s="92"/>
      <c r="ET2614" s="92"/>
      <c r="EU2614" s="92"/>
      <c r="EV2614" s="92"/>
      <c r="EW2614" s="92"/>
      <c r="EX2614" s="92"/>
      <c r="EY2614" s="92"/>
      <c r="EZ2614" s="92"/>
      <c r="FA2614" s="92"/>
      <c r="FB2614" s="92"/>
      <c r="FC2614" s="92"/>
      <c r="FD2614" s="92"/>
      <c r="FE2614" s="92"/>
      <c r="FF2614" s="92"/>
      <c r="FG2614" s="92"/>
      <c r="FH2614" s="92"/>
      <c r="FI2614" s="92"/>
      <c r="FJ2614" s="92"/>
      <c r="FK2614" s="92"/>
      <c r="FL2614" s="92"/>
      <c r="FM2614" s="92"/>
      <c r="FN2614" s="92"/>
      <c r="FO2614" s="92"/>
      <c r="FP2614" s="92"/>
      <c r="FQ2614" s="92"/>
      <c r="FR2614" s="92"/>
      <c r="FS2614" s="92"/>
      <c r="FT2614" s="92"/>
      <c r="FU2614" s="92"/>
      <c r="FV2614" s="92"/>
      <c r="FW2614" s="92"/>
      <c r="FX2614" s="92"/>
      <c r="FY2614" s="92"/>
      <c r="FZ2614" s="92"/>
      <c r="GA2614" s="92"/>
      <c r="GB2614" s="92"/>
      <c r="GC2614" s="92"/>
      <c r="GD2614" s="92"/>
      <c r="GE2614" s="92"/>
      <c r="GF2614" s="92"/>
      <c r="GG2614" s="92"/>
      <c r="GH2614" s="92"/>
      <c r="GI2614" s="92"/>
      <c r="GJ2614" s="92"/>
      <c r="GK2614" s="92"/>
      <c r="GL2614" s="92"/>
      <c r="GM2614" s="92"/>
      <c r="GN2614" s="92"/>
      <c r="GO2614" s="92"/>
      <c r="GP2614" s="92"/>
      <c r="GQ2614" s="92"/>
      <c r="GR2614" s="92"/>
      <c r="GS2614" s="92"/>
      <c r="GT2614" s="92"/>
      <c r="GU2614" s="92"/>
      <c r="GV2614" s="92"/>
      <c r="GW2614" s="92"/>
      <c r="GX2614" s="92"/>
      <c r="GY2614" s="92"/>
      <c r="GZ2614" s="92"/>
      <c r="HA2614" s="92"/>
      <c r="HB2614" s="92"/>
      <c r="HC2614" s="92"/>
      <c r="HD2614" s="92"/>
      <c r="HE2614" s="92"/>
      <c r="HF2614" s="92"/>
      <c r="HG2614" s="92"/>
      <c r="HH2614" s="92"/>
      <c r="HI2614" s="92"/>
      <c r="HJ2614" s="92"/>
      <c r="HK2614" s="92"/>
      <c r="HL2614" s="92"/>
      <c r="HM2614" s="92"/>
      <c r="HN2614" s="92"/>
      <c r="HO2614" s="92"/>
      <c r="HP2614" s="92"/>
      <c r="HQ2614" s="92"/>
    </row>
    <row r="2615" spans="1:225" ht="15.75" customHeight="1" x14ac:dyDescent="0.35">
      <c r="A2615" s="285">
        <f>A2612+1</f>
        <v>2</v>
      </c>
      <c r="B2615" s="285">
        <v>5865</v>
      </c>
      <c r="C2615" s="295" t="s">
        <v>499</v>
      </c>
      <c r="D2615" s="279">
        <v>2034.2</v>
      </c>
      <c r="E2615" s="285" t="s">
        <v>75</v>
      </c>
      <c r="F2615" s="285">
        <v>4</v>
      </c>
      <c r="G2615" s="285" t="s">
        <v>72</v>
      </c>
      <c r="H2615" s="116" t="s">
        <v>73</v>
      </c>
      <c r="I2615" s="86">
        <f>I2616+I2617</f>
        <v>6591418.2599999998</v>
      </c>
      <c r="J2615" s="86">
        <f>J2616+J2617</f>
        <v>3240.3</v>
      </c>
      <c r="K2615" s="86">
        <f>K2616+K2617</f>
        <v>4728</v>
      </c>
      <c r="L2615" s="92"/>
      <c r="M2615" s="92"/>
      <c r="N2615" s="92"/>
      <c r="O2615" s="92"/>
      <c r="P2615" s="92"/>
      <c r="Q2615" s="92"/>
      <c r="R2615" s="92"/>
      <c r="S2615" s="92"/>
      <c r="T2615" s="92"/>
      <c r="U2615" s="92"/>
      <c r="V2615" s="92"/>
      <c r="W2615" s="92"/>
      <c r="X2615" s="92"/>
      <c r="Y2615" s="92"/>
      <c r="Z2615" s="92"/>
      <c r="AA2615" s="92"/>
      <c r="AB2615" s="92"/>
      <c r="AC2615" s="92"/>
      <c r="AD2615" s="92"/>
      <c r="AE2615" s="92"/>
      <c r="AF2615" s="92"/>
      <c r="AG2615" s="92"/>
      <c r="AH2615" s="92"/>
      <c r="AI2615" s="92"/>
      <c r="AJ2615" s="92"/>
      <c r="AK2615" s="92"/>
      <c r="AL2615" s="92"/>
      <c r="AM2615" s="92"/>
      <c r="AN2615" s="92"/>
      <c r="AO2615" s="92"/>
      <c r="AP2615" s="92"/>
      <c r="AQ2615" s="92"/>
      <c r="AR2615" s="92"/>
      <c r="AS2615" s="92"/>
      <c r="AT2615" s="92"/>
      <c r="AU2615" s="92"/>
      <c r="AV2615" s="92"/>
      <c r="AW2615" s="92"/>
      <c r="AX2615" s="92"/>
      <c r="AY2615" s="92"/>
      <c r="AZ2615" s="92"/>
      <c r="BA2615" s="92"/>
      <c r="BB2615" s="92"/>
      <c r="BC2615" s="92"/>
      <c r="BD2615" s="92"/>
      <c r="BE2615" s="92"/>
      <c r="BF2615" s="92"/>
      <c r="BG2615" s="92"/>
      <c r="BH2615" s="92"/>
      <c r="BI2615" s="92"/>
      <c r="BJ2615" s="92"/>
      <c r="BK2615" s="92"/>
      <c r="BL2615" s="92"/>
      <c r="BM2615" s="92"/>
      <c r="BN2615" s="92"/>
      <c r="BO2615" s="92"/>
      <c r="BP2615" s="92"/>
      <c r="BQ2615" s="92"/>
      <c r="BR2615" s="92"/>
      <c r="BS2615" s="92"/>
      <c r="BT2615" s="92"/>
      <c r="BU2615" s="92"/>
      <c r="BV2615" s="92"/>
      <c r="BW2615" s="92"/>
      <c r="BX2615" s="92"/>
      <c r="BY2615" s="92"/>
      <c r="BZ2615" s="92"/>
      <c r="CA2615" s="92"/>
      <c r="CB2615" s="92"/>
      <c r="CC2615" s="92"/>
      <c r="CD2615" s="92"/>
      <c r="CE2615" s="92"/>
      <c r="CF2615" s="92"/>
      <c r="CG2615" s="92"/>
      <c r="CH2615" s="92"/>
      <c r="CI2615" s="92"/>
      <c r="CJ2615" s="92"/>
      <c r="CK2615" s="92"/>
      <c r="CL2615" s="92"/>
      <c r="CM2615" s="92"/>
      <c r="CN2615" s="92"/>
      <c r="CO2615" s="92"/>
      <c r="CP2615" s="92"/>
      <c r="CQ2615" s="92"/>
      <c r="CR2615" s="92"/>
      <c r="CS2615" s="92"/>
      <c r="CT2615" s="92"/>
      <c r="CU2615" s="92"/>
      <c r="CV2615" s="92"/>
      <c r="CW2615" s="92"/>
      <c r="CX2615" s="92"/>
      <c r="CY2615" s="92"/>
      <c r="CZ2615" s="92"/>
      <c r="DA2615" s="92"/>
      <c r="DB2615" s="92"/>
      <c r="DC2615" s="92"/>
      <c r="DD2615" s="92"/>
      <c r="DE2615" s="92"/>
      <c r="DF2615" s="92"/>
      <c r="DG2615" s="92"/>
      <c r="DH2615" s="92"/>
      <c r="DI2615" s="92"/>
      <c r="DJ2615" s="92"/>
      <c r="DK2615" s="92"/>
      <c r="DL2615" s="92"/>
      <c r="DM2615" s="92"/>
      <c r="DN2615" s="92"/>
      <c r="DO2615" s="92"/>
      <c r="DP2615" s="92"/>
      <c r="DQ2615" s="92"/>
      <c r="DR2615" s="92"/>
      <c r="DS2615" s="92"/>
      <c r="DT2615" s="92"/>
      <c r="DU2615" s="92"/>
      <c r="DV2615" s="92"/>
      <c r="DW2615" s="92"/>
      <c r="DX2615" s="92"/>
      <c r="DY2615" s="92"/>
      <c r="DZ2615" s="92"/>
      <c r="EA2615" s="92"/>
      <c r="EB2615" s="92"/>
      <c r="EC2615" s="92"/>
      <c r="ED2615" s="92"/>
      <c r="EE2615" s="92"/>
      <c r="EF2615" s="92"/>
      <c r="EG2615" s="92"/>
      <c r="EH2615" s="92"/>
      <c r="EI2615" s="92"/>
      <c r="EJ2615" s="92"/>
      <c r="EK2615" s="92"/>
      <c r="EL2615" s="92"/>
      <c r="EM2615" s="92"/>
      <c r="EN2615" s="92"/>
      <c r="EO2615" s="92"/>
      <c r="EP2615" s="92"/>
      <c r="EQ2615" s="92"/>
      <c r="ER2615" s="92"/>
      <c r="ES2615" s="92"/>
      <c r="ET2615" s="92"/>
      <c r="EU2615" s="92"/>
      <c r="EV2615" s="92"/>
      <c r="EW2615" s="92"/>
      <c r="EX2615" s="92"/>
      <c r="EY2615" s="92"/>
      <c r="EZ2615" s="92"/>
      <c r="FA2615" s="92"/>
      <c r="FB2615" s="92"/>
      <c r="FC2615" s="92"/>
      <c r="FD2615" s="92"/>
      <c r="FE2615" s="92"/>
      <c r="FF2615" s="92"/>
      <c r="FG2615" s="92"/>
      <c r="FH2615" s="92"/>
      <c r="FI2615" s="92"/>
      <c r="FJ2615" s="92"/>
      <c r="FK2615" s="92"/>
      <c r="FL2615" s="92"/>
      <c r="FM2615" s="92"/>
      <c r="FN2615" s="92"/>
      <c r="FO2615" s="92"/>
      <c r="FP2615" s="92"/>
      <c r="FQ2615" s="92"/>
      <c r="FR2615" s="92"/>
      <c r="FS2615" s="92"/>
      <c r="FT2615" s="92"/>
      <c r="FU2615" s="92"/>
      <c r="FV2615" s="92"/>
      <c r="FW2615" s="92"/>
      <c r="FX2615" s="92"/>
      <c r="FY2615" s="92"/>
      <c r="FZ2615" s="92"/>
      <c r="GA2615" s="92"/>
      <c r="GB2615" s="92"/>
      <c r="GC2615" s="92"/>
      <c r="GD2615" s="92"/>
      <c r="GE2615" s="92"/>
      <c r="GF2615" s="92"/>
      <c r="GG2615" s="92"/>
      <c r="GH2615" s="92"/>
      <c r="GI2615" s="92"/>
      <c r="GJ2615" s="92"/>
      <c r="GK2615" s="92"/>
      <c r="GL2615" s="92"/>
      <c r="GM2615" s="92"/>
      <c r="GN2615" s="92"/>
      <c r="GO2615" s="92"/>
      <c r="GP2615" s="92"/>
      <c r="GQ2615" s="92"/>
      <c r="GR2615" s="92"/>
      <c r="GS2615" s="92"/>
      <c r="GT2615" s="92"/>
      <c r="GU2615" s="92"/>
      <c r="GV2615" s="92"/>
      <c r="GW2615" s="92"/>
      <c r="GX2615" s="92"/>
      <c r="GY2615" s="92"/>
      <c r="GZ2615" s="92"/>
      <c r="HA2615" s="92"/>
      <c r="HB2615" s="92"/>
      <c r="HC2615" s="92"/>
      <c r="HD2615" s="92"/>
      <c r="HE2615" s="92"/>
      <c r="HF2615" s="92"/>
      <c r="HG2615" s="92"/>
      <c r="HH2615" s="92"/>
      <c r="HI2615" s="92"/>
      <c r="HJ2615" s="92"/>
      <c r="HK2615" s="92"/>
      <c r="HL2615" s="92"/>
      <c r="HM2615" s="92"/>
      <c r="HN2615" s="92"/>
      <c r="HO2615" s="92"/>
      <c r="HP2615" s="92"/>
      <c r="HQ2615" s="92"/>
    </row>
    <row r="2616" spans="1:225" x14ac:dyDescent="0.35">
      <c r="A2616" s="286"/>
      <c r="B2616" s="286"/>
      <c r="C2616" s="296"/>
      <c r="D2616" s="280"/>
      <c r="E2616" s="286"/>
      <c r="F2616" s="286"/>
      <c r="G2616" s="286"/>
      <c r="H2616" s="116" t="s">
        <v>667</v>
      </c>
      <c r="I2616" s="86">
        <f>D2615*K2616*0.7</f>
        <v>6591418.2599999998</v>
      </c>
      <c r="J2616" s="86">
        <f>I2616/D2615</f>
        <v>3240.3</v>
      </c>
      <c r="K2616" s="86">
        <v>4629</v>
      </c>
      <c r="L2616" s="92"/>
      <c r="M2616" s="92"/>
      <c r="N2616" s="92"/>
      <c r="O2616" s="92"/>
      <c r="P2616" s="92"/>
      <c r="Q2616" s="92"/>
      <c r="R2616" s="92"/>
      <c r="S2616" s="92"/>
      <c r="T2616" s="92"/>
      <c r="U2616" s="92"/>
      <c r="V2616" s="92"/>
      <c r="W2616" s="92"/>
      <c r="X2616" s="92"/>
      <c r="Y2616" s="92"/>
      <c r="Z2616" s="92"/>
      <c r="AA2616" s="92"/>
      <c r="AB2616" s="92"/>
      <c r="AC2616" s="92"/>
      <c r="AD2616" s="92"/>
      <c r="AE2616" s="92"/>
      <c r="AF2616" s="92"/>
      <c r="AG2616" s="92"/>
      <c r="AH2616" s="92"/>
      <c r="AI2616" s="92"/>
      <c r="AJ2616" s="92"/>
      <c r="AK2616" s="92"/>
      <c r="AL2616" s="92"/>
      <c r="AM2616" s="92"/>
      <c r="AN2616" s="92"/>
      <c r="AO2616" s="92"/>
      <c r="AP2616" s="92"/>
      <c r="AQ2616" s="92"/>
      <c r="AR2616" s="92"/>
      <c r="AS2616" s="92"/>
      <c r="AT2616" s="92"/>
      <c r="AU2616" s="92"/>
      <c r="AV2616" s="92"/>
      <c r="AW2616" s="92"/>
      <c r="AX2616" s="92"/>
      <c r="AY2616" s="92"/>
      <c r="AZ2616" s="92"/>
      <c r="BA2616" s="92"/>
      <c r="BB2616" s="92"/>
      <c r="BC2616" s="92"/>
      <c r="BD2616" s="92"/>
      <c r="BE2616" s="92"/>
      <c r="BF2616" s="92"/>
      <c r="BG2616" s="92"/>
      <c r="BH2616" s="92"/>
      <c r="BI2616" s="92"/>
      <c r="BJ2616" s="92"/>
      <c r="BK2616" s="92"/>
      <c r="BL2616" s="92"/>
      <c r="BM2616" s="92"/>
      <c r="BN2616" s="92"/>
      <c r="BO2616" s="92"/>
      <c r="BP2616" s="92"/>
      <c r="BQ2616" s="92"/>
      <c r="BR2616" s="92"/>
      <c r="BS2616" s="92"/>
      <c r="BT2616" s="92"/>
      <c r="BU2616" s="92"/>
      <c r="BV2616" s="92"/>
      <c r="BW2616" s="92"/>
      <c r="BX2616" s="92"/>
      <c r="BY2616" s="92"/>
      <c r="BZ2616" s="92"/>
      <c r="CA2616" s="92"/>
      <c r="CB2616" s="92"/>
      <c r="CC2616" s="92"/>
      <c r="CD2616" s="92"/>
      <c r="CE2616" s="92"/>
      <c r="CF2616" s="92"/>
      <c r="CG2616" s="92"/>
      <c r="CH2616" s="92"/>
      <c r="CI2616" s="92"/>
      <c r="CJ2616" s="92"/>
      <c r="CK2616" s="92"/>
      <c r="CL2616" s="92"/>
      <c r="CM2616" s="92"/>
      <c r="CN2616" s="92"/>
      <c r="CO2616" s="92"/>
      <c r="CP2616" s="92"/>
      <c r="CQ2616" s="92"/>
      <c r="CR2616" s="92"/>
      <c r="CS2616" s="92"/>
      <c r="CT2616" s="92"/>
      <c r="CU2616" s="92"/>
      <c r="CV2616" s="92"/>
      <c r="CW2616" s="92"/>
      <c r="CX2616" s="92"/>
      <c r="CY2616" s="92"/>
      <c r="CZ2616" s="92"/>
      <c r="DA2616" s="92"/>
      <c r="DB2616" s="92"/>
      <c r="DC2616" s="92"/>
      <c r="DD2616" s="92"/>
      <c r="DE2616" s="92"/>
      <c r="DF2616" s="92"/>
      <c r="DG2616" s="92"/>
      <c r="DH2616" s="92"/>
      <c r="DI2616" s="92"/>
      <c r="DJ2616" s="92"/>
      <c r="DK2616" s="92"/>
      <c r="DL2616" s="92"/>
      <c r="DM2616" s="92"/>
      <c r="DN2616" s="92"/>
      <c r="DO2616" s="92"/>
      <c r="DP2616" s="92"/>
      <c r="DQ2616" s="92"/>
      <c r="DR2616" s="92"/>
      <c r="DS2616" s="92"/>
      <c r="DT2616" s="92"/>
      <c r="DU2616" s="92"/>
      <c r="DV2616" s="92"/>
      <c r="DW2616" s="92"/>
      <c r="DX2616" s="92"/>
      <c r="DY2616" s="92"/>
      <c r="DZ2616" s="92"/>
      <c r="EA2616" s="92"/>
      <c r="EB2616" s="92"/>
      <c r="EC2616" s="92"/>
      <c r="ED2616" s="92"/>
      <c r="EE2616" s="92"/>
      <c r="EF2616" s="92"/>
      <c r="EG2616" s="92"/>
      <c r="EH2616" s="92"/>
      <c r="EI2616" s="92"/>
      <c r="EJ2616" s="92"/>
      <c r="EK2616" s="92"/>
      <c r="EL2616" s="92"/>
      <c r="EM2616" s="92"/>
      <c r="EN2616" s="92"/>
      <c r="EO2616" s="92"/>
      <c r="EP2616" s="92"/>
      <c r="EQ2616" s="92"/>
      <c r="ER2616" s="92"/>
      <c r="ES2616" s="92"/>
      <c r="ET2616" s="92"/>
      <c r="EU2616" s="92"/>
      <c r="EV2616" s="92"/>
      <c r="EW2616" s="92"/>
      <c r="EX2616" s="92"/>
      <c r="EY2616" s="92"/>
      <c r="EZ2616" s="92"/>
      <c r="FA2616" s="92"/>
      <c r="FB2616" s="92"/>
      <c r="FC2616" s="92"/>
      <c r="FD2616" s="92"/>
      <c r="FE2616" s="92"/>
      <c r="FF2616" s="92"/>
      <c r="FG2616" s="92"/>
      <c r="FH2616" s="92"/>
      <c r="FI2616" s="92"/>
      <c r="FJ2616" s="92"/>
      <c r="FK2616" s="92"/>
      <c r="FL2616" s="92"/>
      <c r="FM2616" s="92"/>
      <c r="FN2616" s="92"/>
      <c r="FO2616" s="92"/>
      <c r="FP2616" s="92"/>
      <c r="FQ2616" s="92"/>
      <c r="FR2616" s="92"/>
      <c r="FS2616" s="92"/>
      <c r="FT2616" s="92"/>
      <c r="FU2616" s="92"/>
      <c r="FV2616" s="92"/>
      <c r="FW2616" s="92"/>
      <c r="FX2616" s="92"/>
      <c r="FY2616" s="92"/>
      <c r="FZ2616" s="92"/>
      <c r="GA2616" s="92"/>
      <c r="GB2616" s="92"/>
      <c r="GC2616" s="92"/>
      <c r="GD2616" s="92"/>
      <c r="GE2616" s="92"/>
      <c r="GF2616" s="92"/>
      <c r="GG2616" s="92"/>
      <c r="GH2616" s="92"/>
      <c r="GI2616" s="92"/>
      <c r="GJ2616" s="92"/>
      <c r="GK2616" s="92"/>
      <c r="GL2616" s="92"/>
      <c r="GM2616" s="92"/>
      <c r="GN2616" s="92"/>
      <c r="GO2616" s="92"/>
      <c r="GP2616" s="92"/>
      <c r="GQ2616" s="92"/>
      <c r="GR2616" s="92"/>
      <c r="GS2616" s="92"/>
      <c r="GT2616" s="92"/>
      <c r="GU2616" s="92"/>
      <c r="GV2616" s="92"/>
      <c r="GW2616" s="92"/>
      <c r="GX2616" s="92"/>
      <c r="GY2616" s="92"/>
      <c r="GZ2616" s="92"/>
      <c r="HA2616" s="92"/>
      <c r="HB2616" s="92"/>
      <c r="HC2616" s="92"/>
      <c r="HD2616" s="92"/>
      <c r="HE2616" s="92"/>
      <c r="HF2616" s="92"/>
      <c r="HG2616" s="92"/>
      <c r="HH2616" s="92"/>
      <c r="HI2616" s="92"/>
      <c r="HJ2616" s="92"/>
      <c r="HK2616" s="92"/>
      <c r="HL2616" s="92"/>
      <c r="HM2616" s="92"/>
      <c r="HN2616" s="92"/>
      <c r="HO2616" s="92"/>
      <c r="HP2616" s="92"/>
      <c r="HQ2616" s="92"/>
    </row>
    <row r="2617" spans="1:225" x14ac:dyDescent="0.35">
      <c r="A2617" s="287"/>
      <c r="B2617" s="287"/>
      <c r="C2617" s="297"/>
      <c r="D2617" s="281"/>
      <c r="E2617" s="287"/>
      <c r="F2617" s="287"/>
      <c r="G2617" s="287"/>
      <c r="H2617" s="116" t="s">
        <v>76</v>
      </c>
      <c r="I2617" s="86">
        <v>0</v>
      </c>
      <c r="J2617" s="86">
        <v>0</v>
      </c>
      <c r="K2617" s="86">
        <v>99</v>
      </c>
      <c r="L2617" s="92"/>
      <c r="M2617" s="92"/>
      <c r="N2617" s="92"/>
      <c r="O2617" s="92"/>
      <c r="P2617" s="92"/>
      <c r="Q2617" s="92"/>
      <c r="R2617" s="92"/>
      <c r="S2617" s="92"/>
      <c r="T2617" s="92"/>
      <c r="U2617" s="92"/>
      <c r="V2617" s="92"/>
      <c r="W2617" s="92"/>
      <c r="X2617" s="92"/>
      <c r="Y2617" s="92"/>
      <c r="Z2617" s="92"/>
      <c r="AA2617" s="92"/>
      <c r="AB2617" s="92"/>
      <c r="AC2617" s="92"/>
      <c r="AD2617" s="92"/>
      <c r="AE2617" s="92"/>
      <c r="AF2617" s="92"/>
      <c r="AG2617" s="92"/>
      <c r="AH2617" s="92"/>
      <c r="AI2617" s="92"/>
      <c r="AJ2617" s="92"/>
      <c r="AK2617" s="92"/>
      <c r="AL2617" s="92"/>
      <c r="AM2617" s="92"/>
      <c r="AN2617" s="92"/>
      <c r="AO2617" s="92"/>
      <c r="AP2617" s="92"/>
      <c r="AQ2617" s="92"/>
      <c r="AR2617" s="92"/>
      <c r="AS2617" s="92"/>
      <c r="AT2617" s="92"/>
      <c r="AU2617" s="92"/>
      <c r="AV2617" s="92"/>
      <c r="AW2617" s="92"/>
      <c r="AX2617" s="92"/>
      <c r="AY2617" s="92"/>
      <c r="AZ2617" s="92"/>
      <c r="BA2617" s="92"/>
      <c r="BB2617" s="92"/>
      <c r="BC2617" s="92"/>
      <c r="BD2617" s="92"/>
      <c r="BE2617" s="92"/>
      <c r="BF2617" s="92"/>
      <c r="BG2617" s="92"/>
      <c r="BH2617" s="92"/>
      <c r="BI2617" s="92"/>
      <c r="BJ2617" s="92"/>
      <c r="BK2617" s="92"/>
      <c r="BL2617" s="92"/>
      <c r="BM2617" s="92"/>
      <c r="BN2617" s="92"/>
      <c r="BO2617" s="92"/>
      <c r="BP2617" s="92"/>
      <c r="BQ2617" s="92"/>
      <c r="BR2617" s="92"/>
      <c r="BS2617" s="92"/>
      <c r="BT2617" s="92"/>
      <c r="BU2617" s="92"/>
      <c r="BV2617" s="92"/>
      <c r="BW2617" s="92"/>
      <c r="BX2617" s="92"/>
      <c r="BY2617" s="92"/>
      <c r="BZ2617" s="92"/>
      <c r="CA2617" s="92"/>
      <c r="CB2617" s="92"/>
      <c r="CC2617" s="92"/>
      <c r="CD2617" s="92"/>
      <c r="CE2617" s="92"/>
      <c r="CF2617" s="92"/>
      <c r="CG2617" s="92"/>
      <c r="CH2617" s="92"/>
      <c r="CI2617" s="92"/>
      <c r="CJ2617" s="92"/>
      <c r="CK2617" s="92"/>
      <c r="CL2617" s="92"/>
      <c r="CM2617" s="92"/>
      <c r="CN2617" s="92"/>
      <c r="CO2617" s="92"/>
      <c r="CP2617" s="92"/>
      <c r="CQ2617" s="92"/>
      <c r="CR2617" s="92"/>
      <c r="CS2617" s="92"/>
      <c r="CT2617" s="92"/>
      <c r="CU2617" s="92"/>
      <c r="CV2617" s="92"/>
      <c r="CW2617" s="92"/>
      <c r="CX2617" s="92"/>
      <c r="CY2617" s="92"/>
      <c r="CZ2617" s="92"/>
      <c r="DA2617" s="92"/>
      <c r="DB2617" s="92"/>
      <c r="DC2617" s="92"/>
      <c r="DD2617" s="92"/>
      <c r="DE2617" s="92"/>
      <c r="DF2617" s="92"/>
      <c r="DG2617" s="92"/>
      <c r="DH2617" s="92"/>
      <c r="DI2617" s="92"/>
      <c r="DJ2617" s="92"/>
      <c r="DK2617" s="92"/>
      <c r="DL2617" s="92"/>
      <c r="DM2617" s="92"/>
      <c r="DN2617" s="92"/>
      <c r="DO2617" s="92"/>
      <c r="DP2617" s="92"/>
      <c r="DQ2617" s="92"/>
      <c r="DR2617" s="92"/>
      <c r="DS2617" s="92"/>
      <c r="DT2617" s="92"/>
      <c r="DU2617" s="92"/>
      <c r="DV2617" s="92"/>
      <c r="DW2617" s="92"/>
      <c r="DX2617" s="92"/>
      <c r="DY2617" s="92"/>
      <c r="DZ2617" s="92"/>
      <c r="EA2617" s="92"/>
      <c r="EB2617" s="92"/>
      <c r="EC2617" s="92"/>
      <c r="ED2617" s="92"/>
      <c r="EE2617" s="92"/>
      <c r="EF2617" s="92"/>
      <c r="EG2617" s="92"/>
      <c r="EH2617" s="92"/>
      <c r="EI2617" s="92"/>
      <c r="EJ2617" s="92"/>
      <c r="EK2617" s="92"/>
      <c r="EL2617" s="92"/>
      <c r="EM2617" s="92"/>
      <c r="EN2617" s="92"/>
      <c r="EO2617" s="92"/>
      <c r="EP2617" s="92"/>
      <c r="EQ2617" s="92"/>
      <c r="ER2617" s="92"/>
      <c r="ES2617" s="92"/>
      <c r="ET2617" s="92"/>
      <c r="EU2617" s="92"/>
      <c r="EV2617" s="92"/>
      <c r="EW2617" s="92"/>
      <c r="EX2617" s="92"/>
      <c r="EY2617" s="92"/>
      <c r="EZ2617" s="92"/>
      <c r="FA2617" s="92"/>
      <c r="FB2617" s="92"/>
      <c r="FC2617" s="92"/>
      <c r="FD2617" s="92"/>
      <c r="FE2617" s="92"/>
      <c r="FF2617" s="92"/>
      <c r="FG2617" s="92"/>
      <c r="FH2617" s="92"/>
      <c r="FI2617" s="92"/>
      <c r="FJ2617" s="92"/>
      <c r="FK2617" s="92"/>
      <c r="FL2617" s="92"/>
      <c r="FM2617" s="92"/>
      <c r="FN2617" s="92"/>
      <c r="FO2617" s="92"/>
      <c r="FP2617" s="92"/>
      <c r="FQ2617" s="92"/>
      <c r="FR2617" s="92"/>
      <c r="FS2617" s="92"/>
      <c r="FT2617" s="92"/>
      <c r="FU2617" s="92"/>
      <c r="FV2617" s="92"/>
      <c r="FW2617" s="92"/>
      <c r="FX2617" s="92"/>
      <c r="FY2617" s="92"/>
      <c r="FZ2617" s="92"/>
      <c r="GA2617" s="92"/>
      <c r="GB2617" s="92"/>
      <c r="GC2617" s="92"/>
      <c r="GD2617" s="92"/>
      <c r="GE2617" s="92"/>
      <c r="GF2617" s="92"/>
      <c r="GG2617" s="92"/>
      <c r="GH2617" s="92"/>
      <c r="GI2617" s="92"/>
      <c r="GJ2617" s="92"/>
      <c r="GK2617" s="92"/>
      <c r="GL2617" s="92"/>
      <c r="GM2617" s="92"/>
      <c r="GN2617" s="92"/>
      <c r="GO2617" s="92"/>
      <c r="GP2617" s="92"/>
      <c r="GQ2617" s="92"/>
      <c r="GR2617" s="92"/>
      <c r="GS2617" s="92"/>
      <c r="GT2617" s="92"/>
      <c r="GU2617" s="92"/>
      <c r="GV2617" s="92"/>
      <c r="GW2617" s="92"/>
      <c r="GX2617" s="92"/>
      <c r="GY2617" s="92"/>
      <c r="GZ2617" s="92"/>
      <c r="HA2617" s="92"/>
      <c r="HB2617" s="92"/>
      <c r="HC2617" s="92"/>
      <c r="HD2617" s="92"/>
      <c r="HE2617" s="92"/>
      <c r="HF2617" s="92"/>
      <c r="HG2617" s="92"/>
      <c r="HH2617" s="92"/>
      <c r="HI2617" s="92"/>
      <c r="HJ2617" s="92"/>
      <c r="HK2617" s="92"/>
      <c r="HL2617" s="92"/>
      <c r="HM2617" s="92"/>
      <c r="HN2617" s="92"/>
      <c r="HO2617" s="92"/>
      <c r="HP2617" s="92"/>
      <c r="HQ2617" s="92"/>
    </row>
    <row r="2618" spans="1:225" ht="15.75" customHeight="1" x14ac:dyDescent="0.35">
      <c r="A2618" s="285">
        <f>A2615+1</f>
        <v>3</v>
      </c>
      <c r="B2618" s="285">
        <v>5866</v>
      </c>
      <c r="C2618" s="295" t="s">
        <v>500</v>
      </c>
      <c r="D2618" s="279">
        <v>2046.3</v>
      </c>
      <c r="E2618" s="285" t="s">
        <v>75</v>
      </c>
      <c r="F2618" s="285">
        <v>4</v>
      </c>
      <c r="G2618" s="285" t="s">
        <v>72</v>
      </c>
      <c r="H2618" s="116" t="s">
        <v>73</v>
      </c>
      <c r="I2618" s="86">
        <f>I2619+I2620</f>
        <v>9472322.6999999993</v>
      </c>
      <c r="J2618" s="86">
        <f>J2619+J2620</f>
        <v>4629</v>
      </c>
      <c r="K2618" s="86">
        <f>K2619+K2620</f>
        <v>4728</v>
      </c>
      <c r="L2618" s="92"/>
      <c r="M2618" s="92"/>
      <c r="N2618" s="92"/>
      <c r="O2618" s="92"/>
      <c r="P2618" s="92"/>
      <c r="Q2618" s="92"/>
      <c r="R2618" s="92"/>
      <c r="S2618" s="92"/>
      <c r="T2618" s="92"/>
      <c r="U2618" s="92"/>
      <c r="V2618" s="92"/>
      <c r="W2618" s="92"/>
      <c r="X2618" s="92"/>
      <c r="Y2618" s="92"/>
      <c r="Z2618" s="92"/>
      <c r="AA2618" s="92"/>
      <c r="AB2618" s="92"/>
      <c r="AC2618" s="92"/>
      <c r="AD2618" s="92"/>
      <c r="AE2618" s="92"/>
      <c r="AF2618" s="92"/>
      <c r="AG2618" s="92"/>
      <c r="AH2618" s="92"/>
      <c r="AI2618" s="92"/>
      <c r="AJ2618" s="92"/>
      <c r="AK2618" s="92"/>
      <c r="AL2618" s="92"/>
      <c r="AM2618" s="92"/>
      <c r="AN2618" s="92"/>
      <c r="AO2618" s="92"/>
      <c r="AP2618" s="92"/>
      <c r="AQ2618" s="92"/>
      <c r="AR2618" s="92"/>
      <c r="AS2618" s="92"/>
      <c r="AT2618" s="92"/>
      <c r="AU2618" s="92"/>
      <c r="AV2618" s="92"/>
      <c r="AW2618" s="92"/>
      <c r="AX2618" s="92"/>
      <c r="AY2618" s="92"/>
      <c r="AZ2618" s="92"/>
      <c r="BA2618" s="92"/>
      <c r="BB2618" s="92"/>
      <c r="BC2618" s="92"/>
      <c r="BD2618" s="92"/>
      <c r="BE2618" s="92"/>
      <c r="BF2618" s="92"/>
      <c r="BG2618" s="92"/>
      <c r="BH2618" s="92"/>
      <c r="BI2618" s="92"/>
      <c r="BJ2618" s="92"/>
      <c r="BK2618" s="92"/>
      <c r="BL2618" s="92"/>
      <c r="BM2618" s="92"/>
      <c r="BN2618" s="92"/>
      <c r="BO2618" s="92"/>
      <c r="BP2618" s="92"/>
      <c r="BQ2618" s="92"/>
      <c r="BR2618" s="92"/>
      <c r="BS2618" s="92"/>
      <c r="BT2618" s="92"/>
      <c r="BU2618" s="92"/>
      <c r="BV2618" s="92"/>
      <c r="BW2618" s="92"/>
      <c r="BX2618" s="92"/>
      <c r="BY2618" s="92"/>
      <c r="BZ2618" s="92"/>
      <c r="CA2618" s="92"/>
      <c r="CB2618" s="92"/>
      <c r="CC2618" s="92"/>
      <c r="CD2618" s="92"/>
      <c r="CE2618" s="92"/>
      <c r="CF2618" s="92"/>
      <c r="CG2618" s="92"/>
      <c r="CH2618" s="92"/>
      <c r="CI2618" s="92"/>
      <c r="CJ2618" s="92"/>
      <c r="CK2618" s="92"/>
      <c r="CL2618" s="92"/>
      <c r="CM2618" s="92"/>
      <c r="CN2618" s="92"/>
      <c r="CO2618" s="92"/>
      <c r="CP2618" s="92"/>
      <c r="CQ2618" s="92"/>
      <c r="CR2618" s="92"/>
      <c r="CS2618" s="92"/>
      <c r="CT2618" s="92"/>
      <c r="CU2618" s="92"/>
      <c r="CV2618" s="92"/>
      <c r="CW2618" s="92"/>
      <c r="CX2618" s="92"/>
      <c r="CY2618" s="92"/>
      <c r="CZ2618" s="92"/>
      <c r="DA2618" s="92"/>
      <c r="DB2618" s="92"/>
      <c r="DC2618" s="92"/>
      <c r="DD2618" s="92"/>
      <c r="DE2618" s="92"/>
      <c r="DF2618" s="92"/>
      <c r="DG2618" s="92"/>
      <c r="DH2618" s="92"/>
      <c r="DI2618" s="92"/>
      <c r="DJ2618" s="92"/>
      <c r="DK2618" s="92"/>
      <c r="DL2618" s="92"/>
      <c r="DM2618" s="92"/>
      <c r="DN2618" s="92"/>
      <c r="DO2618" s="92"/>
      <c r="DP2618" s="92"/>
      <c r="DQ2618" s="92"/>
      <c r="DR2618" s="92"/>
      <c r="DS2618" s="92"/>
      <c r="DT2618" s="92"/>
      <c r="DU2618" s="92"/>
      <c r="DV2618" s="92"/>
      <c r="DW2618" s="92"/>
      <c r="DX2618" s="92"/>
      <c r="DY2618" s="92"/>
      <c r="DZ2618" s="92"/>
      <c r="EA2618" s="92"/>
      <c r="EB2618" s="92"/>
      <c r="EC2618" s="92"/>
      <c r="ED2618" s="92"/>
      <c r="EE2618" s="92"/>
      <c r="EF2618" s="92"/>
      <c r="EG2618" s="92"/>
      <c r="EH2618" s="92"/>
      <c r="EI2618" s="92"/>
      <c r="EJ2618" s="92"/>
      <c r="EK2618" s="92"/>
      <c r="EL2618" s="92"/>
      <c r="EM2618" s="92"/>
      <c r="EN2618" s="92"/>
      <c r="EO2618" s="92"/>
      <c r="EP2618" s="92"/>
      <c r="EQ2618" s="92"/>
      <c r="ER2618" s="92"/>
      <c r="ES2618" s="92"/>
      <c r="ET2618" s="92"/>
      <c r="EU2618" s="92"/>
      <c r="EV2618" s="92"/>
      <c r="EW2618" s="92"/>
      <c r="EX2618" s="92"/>
      <c r="EY2618" s="92"/>
      <c r="EZ2618" s="92"/>
      <c r="FA2618" s="92"/>
      <c r="FB2618" s="92"/>
      <c r="FC2618" s="92"/>
      <c r="FD2618" s="92"/>
      <c r="FE2618" s="92"/>
      <c r="FF2618" s="92"/>
      <c r="FG2618" s="92"/>
      <c r="FH2618" s="92"/>
      <c r="FI2618" s="92"/>
      <c r="FJ2618" s="92"/>
      <c r="FK2618" s="92"/>
      <c r="FL2618" s="92"/>
      <c r="FM2618" s="92"/>
      <c r="FN2618" s="92"/>
      <c r="FO2618" s="92"/>
      <c r="FP2618" s="92"/>
      <c r="FQ2618" s="92"/>
      <c r="FR2618" s="92"/>
      <c r="FS2618" s="92"/>
      <c r="FT2618" s="92"/>
      <c r="FU2618" s="92"/>
      <c r="FV2618" s="92"/>
      <c r="FW2618" s="92"/>
      <c r="FX2618" s="92"/>
      <c r="FY2618" s="92"/>
      <c r="FZ2618" s="92"/>
      <c r="GA2618" s="92"/>
      <c r="GB2618" s="92"/>
      <c r="GC2618" s="92"/>
      <c r="GD2618" s="92"/>
      <c r="GE2618" s="92"/>
      <c r="GF2618" s="92"/>
      <c r="GG2618" s="92"/>
      <c r="GH2618" s="92"/>
      <c r="GI2618" s="92"/>
      <c r="GJ2618" s="92"/>
      <c r="GK2618" s="92"/>
      <c r="GL2618" s="92"/>
      <c r="GM2618" s="92"/>
      <c r="GN2618" s="92"/>
      <c r="GO2618" s="92"/>
      <c r="GP2618" s="92"/>
      <c r="GQ2618" s="92"/>
      <c r="GR2618" s="92"/>
      <c r="GS2618" s="92"/>
      <c r="GT2618" s="92"/>
      <c r="GU2618" s="92"/>
      <c r="GV2618" s="92"/>
      <c r="GW2618" s="92"/>
      <c r="GX2618" s="92"/>
      <c r="GY2618" s="92"/>
      <c r="GZ2618" s="92"/>
      <c r="HA2618" s="92"/>
      <c r="HB2618" s="92"/>
      <c r="HC2618" s="92"/>
      <c r="HD2618" s="92"/>
      <c r="HE2618" s="92"/>
      <c r="HF2618" s="92"/>
      <c r="HG2618" s="92"/>
      <c r="HH2618" s="92"/>
      <c r="HI2618" s="92"/>
      <c r="HJ2618" s="92"/>
      <c r="HK2618" s="92"/>
      <c r="HL2618" s="92"/>
      <c r="HM2618" s="92"/>
      <c r="HN2618" s="92"/>
      <c r="HO2618" s="92"/>
      <c r="HP2618" s="92"/>
      <c r="HQ2618" s="92"/>
    </row>
    <row r="2619" spans="1:225" x14ac:dyDescent="0.35">
      <c r="A2619" s="286"/>
      <c r="B2619" s="286"/>
      <c r="C2619" s="296"/>
      <c r="D2619" s="280"/>
      <c r="E2619" s="286"/>
      <c r="F2619" s="286"/>
      <c r="G2619" s="286"/>
      <c r="H2619" s="116" t="s">
        <v>667</v>
      </c>
      <c r="I2619" s="86">
        <f>D2618*K2619</f>
        <v>9472322.6999999993</v>
      </c>
      <c r="J2619" s="86">
        <f>I2619/D2618</f>
        <v>4629</v>
      </c>
      <c r="K2619" s="86">
        <v>4629</v>
      </c>
      <c r="L2619" s="92"/>
      <c r="M2619" s="92"/>
      <c r="N2619" s="92"/>
      <c r="O2619" s="92"/>
      <c r="P2619" s="92"/>
      <c r="Q2619" s="92"/>
      <c r="R2619" s="92"/>
      <c r="S2619" s="92"/>
      <c r="T2619" s="92"/>
      <c r="U2619" s="92"/>
      <c r="V2619" s="92"/>
      <c r="W2619" s="92"/>
      <c r="X2619" s="92"/>
      <c r="Y2619" s="92"/>
      <c r="Z2619" s="92"/>
      <c r="AA2619" s="92"/>
      <c r="AB2619" s="92"/>
      <c r="AC2619" s="92"/>
      <c r="AD2619" s="92"/>
      <c r="AE2619" s="92"/>
      <c r="AF2619" s="92"/>
      <c r="AG2619" s="92"/>
      <c r="AH2619" s="92"/>
      <c r="AI2619" s="92"/>
      <c r="AJ2619" s="92"/>
      <c r="AK2619" s="92"/>
      <c r="AL2619" s="92"/>
      <c r="AM2619" s="92"/>
      <c r="AN2619" s="92"/>
      <c r="AO2619" s="92"/>
      <c r="AP2619" s="92"/>
      <c r="AQ2619" s="92"/>
      <c r="AR2619" s="92"/>
      <c r="AS2619" s="92"/>
      <c r="AT2619" s="92"/>
      <c r="AU2619" s="92"/>
      <c r="AV2619" s="92"/>
      <c r="AW2619" s="92"/>
      <c r="AX2619" s="92"/>
      <c r="AY2619" s="92"/>
      <c r="AZ2619" s="92"/>
      <c r="BA2619" s="92"/>
      <c r="BB2619" s="92"/>
      <c r="BC2619" s="92"/>
      <c r="BD2619" s="92"/>
      <c r="BE2619" s="92"/>
      <c r="BF2619" s="92"/>
      <c r="BG2619" s="92"/>
      <c r="BH2619" s="92"/>
      <c r="BI2619" s="92"/>
      <c r="BJ2619" s="92"/>
      <c r="BK2619" s="92"/>
      <c r="BL2619" s="92"/>
      <c r="BM2619" s="92"/>
      <c r="BN2619" s="92"/>
      <c r="BO2619" s="92"/>
      <c r="BP2619" s="92"/>
      <c r="BQ2619" s="92"/>
      <c r="BR2619" s="92"/>
      <c r="BS2619" s="92"/>
      <c r="BT2619" s="92"/>
      <c r="BU2619" s="92"/>
      <c r="BV2619" s="92"/>
      <c r="BW2619" s="92"/>
      <c r="BX2619" s="92"/>
      <c r="BY2619" s="92"/>
      <c r="BZ2619" s="92"/>
      <c r="CA2619" s="92"/>
      <c r="CB2619" s="92"/>
      <c r="CC2619" s="92"/>
      <c r="CD2619" s="92"/>
      <c r="CE2619" s="92"/>
      <c r="CF2619" s="92"/>
      <c r="CG2619" s="92"/>
      <c r="CH2619" s="92"/>
      <c r="CI2619" s="92"/>
      <c r="CJ2619" s="92"/>
      <c r="CK2619" s="92"/>
      <c r="CL2619" s="92"/>
      <c r="CM2619" s="92"/>
      <c r="CN2619" s="92"/>
      <c r="CO2619" s="92"/>
      <c r="CP2619" s="92"/>
      <c r="CQ2619" s="92"/>
      <c r="CR2619" s="92"/>
      <c r="CS2619" s="92"/>
      <c r="CT2619" s="92"/>
      <c r="CU2619" s="92"/>
      <c r="CV2619" s="92"/>
      <c r="CW2619" s="92"/>
      <c r="CX2619" s="92"/>
      <c r="CY2619" s="92"/>
      <c r="CZ2619" s="92"/>
      <c r="DA2619" s="92"/>
      <c r="DB2619" s="92"/>
      <c r="DC2619" s="92"/>
      <c r="DD2619" s="92"/>
      <c r="DE2619" s="92"/>
      <c r="DF2619" s="92"/>
      <c r="DG2619" s="92"/>
      <c r="DH2619" s="92"/>
      <c r="DI2619" s="92"/>
      <c r="DJ2619" s="92"/>
      <c r="DK2619" s="92"/>
      <c r="DL2619" s="92"/>
      <c r="DM2619" s="92"/>
      <c r="DN2619" s="92"/>
      <c r="DO2619" s="92"/>
      <c r="DP2619" s="92"/>
      <c r="DQ2619" s="92"/>
      <c r="DR2619" s="92"/>
      <c r="DS2619" s="92"/>
      <c r="DT2619" s="92"/>
      <c r="DU2619" s="92"/>
      <c r="DV2619" s="92"/>
      <c r="DW2619" s="92"/>
      <c r="DX2619" s="92"/>
      <c r="DY2619" s="92"/>
      <c r="DZ2619" s="92"/>
      <c r="EA2619" s="92"/>
      <c r="EB2619" s="92"/>
      <c r="EC2619" s="92"/>
      <c r="ED2619" s="92"/>
      <c r="EE2619" s="92"/>
      <c r="EF2619" s="92"/>
      <c r="EG2619" s="92"/>
      <c r="EH2619" s="92"/>
      <c r="EI2619" s="92"/>
      <c r="EJ2619" s="92"/>
      <c r="EK2619" s="92"/>
      <c r="EL2619" s="92"/>
      <c r="EM2619" s="92"/>
      <c r="EN2619" s="92"/>
      <c r="EO2619" s="92"/>
      <c r="EP2619" s="92"/>
      <c r="EQ2619" s="92"/>
      <c r="ER2619" s="92"/>
      <c r="ES2619" s="92"/>
      <c r="ET2619" s="92"/>
      <c r="EU2619" s="92"/>
      <c r="EV2619" s="92"/>
      <c r="EW2619" s="92"/>
      <c r="EX2619" s="92"/>
      <c r="EY2619" s="92"/>
      <c r="EZ2619" s="92"/>
      <c r="FA2619" s="92"/>
      <c r="FB2619" s="92"/>
      <c r="FC2619" s="92"/>
      <c r="FD2619" s="92"/>
      <c r="FE2619" s="92"/>
      <c r="FF2619" s="92"/>
      <c r="FG2619" s="92"/>
      <c r="FH2619" s="92"/>
      <c r="FI2619" s="92"/>
      <c r="FJ2619" s="92"/>
      <c r="FK2619" s="92"/>
      <c r="FL2619" s="92"/>
      <c r="FM2619" s="92"/>
      <c r="FN2619" s="92"/>
      <c r="FO2619" s="92"/>
      <c r="FP2619" s="92"/>
      <c r="FQ2619" s="92"/>
      <c r="FR2619" s="92"/>
      <c r="FS2619" s="92"/>
      <c r="FT2619" s="92"/>
      <c r="FU2619" s="92"/>
      <c r="FV2619" s="92"/>
      <c r="FW2619" s="92"/>
      <c r="FX2619" s="92"/>
      <c r="FY2619" s="92"/>
      <c r="FZ2619" s="92"/>
      <c r="GA2619" s="92"/>
      <c r="GB2619" s="92"/>
      <c r="GC2619" s="92"/>
      <c r="GD2619" s="92"/>
      <c r="GE2619" s="92"/>
      <c r="GF2619" s="92"/>
      <c r="GG2619" s="92"/>
      <c r="GH2619" s="92"/>
      <c r="GI2619" s="92"/>
      <c r="GJ2619" s="92"/>
      <c r="GK2619" s="92"/>
      <c r="GL2619" s="92"/>
      <c r="GM2619" s="92"/>
      <c r="GN2619" s="92"/>
      <c r="GO2619" s="92"/>
      <c r="GP2619" s="92"/>
      <c r="GQ2619" s="92"/>
      <c r="GR2619" s="92"/>
      <c r="GS2619" s="92"/>
      <c r="GT2619" s="92"/>
      <c r="GU2619" s="92"/>
      <c r="GV2619" s="92"/>
      <c r="GW2619" s="92"/>
      <c r="GX2619" s="92"/>
      <c r="GY2619" s="92"/>
      <c r="GZ2619" s="92"/>
      <c r="HA2619" s="92"/>
      <c r="HB2619" s="92"/>
      <c r="HC2619" s="92"/>
      <c r="HD2619" s="92"/>
      <c r="HE2619" s="92"/>
      <c r="HF2619" s="92"/>
      <c r="HG2619" s="92"/>
      <c r="HH2619" s="92"/>
      <c r="HI2619" s="92"/>
      <c r="HJ2619" s="92"/>
      <c r="HK2619" s="92"/>
      <c r="HL2619" s="92"/>
      <c r="HM2619" s="92"/>
      <c r="HN2619" s="92"/>
      <c r="HO2619" s="92"/>
      <c r="HP2619" s="92"/>
      <c r="HQ2619" s="92"/>
    </row>
    <row r="2620" spans="1:225" x14ac:dyDescent="0.35">
      <c r="A2620" s="287"/>
      <c r="B2620" s="287"/>
      <c r="C2620" s="297"/>
      <c r="D2620" s="281"/>
      <c r="E2620" s="287"/>
      <c r="F2620" s="287"/>
      <c r="G2620" s="287"/>
      <c r="H2620" s="116" t="s">
        <v>76</v>
      </c>
      <c r="I2620" s="86">
        <v>0</v>
      </c>
      <c r="J2620" s="86">
        <v>0</v>
      </c>
      <c r="K2620" s="86">
        <v>99</v>
      </c>
      <c r="L2620" s="92"/>
      <c r="M2620" s="92"/>
      <c r="N2620" s="92"/>
      <c r="O2620" s="92"/>
      <c r="P2620" s="92"/>
      <c r="Q2620" s="92"/>
      <c r="R2620" s="92"/>
      <c r="S2620" s="92"/>
      <c r="T2620" s="92"/>
      <c r="U2620" s="92"/>
      <c r="V2620" s="92"/>
      <c r="W2620" s="92"/>
      <c r="X2620" s="92"/>
      <c r="Y2620" s="92"/>
      <c r="Z2620" s="92"/>
      <c r="AA2620" s="92"/>
      <c r="AB2620" s="92"/>
      <c r="AC2620" s="92"/>
      <c r="AD2620" s="92"/>
      <c r="AE2620" s="92"/>
      <c r="AF2620" s="92"/>
      <c r="AG2620" s="92"/>
      <c r="AH2620" s="92"/>
      <c r="AI2620" s="92"/>
      <c r="AJ2620" s="92"/>
      <c r="AK2620" s="92"/>
      <c r="AL2620" s="92"/>
      <c r="AM2620" s="92"/>
      <c r="AN2620" s="92"/>
      <c r="AO2620" s="92"/>
      <c r="AP2620" s="92"/>
      <c r="AQ2620" s="92"/>
      <c r="AR2620" s="92"/>
      <c r="AS2620" s="92"/>
      <c r="AT2620" s="92"/>
      <c r="AU2620" s="92"/>
      <c r="AV2620" s="92"/>
      <c r="AW2620" s="92"/>
      <c r="AX2620" s="92"/>
      <c r="AY2620" s="92"/>
      <c r="AZ2620" s="92"/>
      <c r="BA2620" s="92"/>
      <c r="BB2620" s="92"/>
      <c r="BC2620" s="92"/>
      <c r="BD2620" s="92"/>
      <c r="BE2620" s="92"/>
      <c r="BF2620" s="92"/>
      <c r="BG2620" s="92"/>
      <c r="BH2620" s="92"/>
      <c r="BI2620" s="92"/>
      <c r="BJ2620" s="92"/>
      <c r="BK2620" s="92"/>
      <c r="BL2620" s="92"/>
      <c r="BM2620" s="92"/>
      <c r="BN2620" s="92"/>
      <c r="BO2620" s="92"/>
      <c r="BP2620" s="92"/>
      <c r="BQ2620" s="92"/>
      <c r="BR2620" s="92"/>
      <c r="BS2620" s="92"/>
      <c r="BT2620" s="92"/>
      <c r="BU2620" s="92"/>
      <c r="BV2620" s="92"/>
      <c r="BW2620" s="92"/>
      <c r="BX2620" s="92"/>
      <c r="BY2620" s="92"/>
      <c r="BZ2620" s="92"/>
      <c r="CA2620" s="92"/>
      <c r="CB2620" s="92"/>
      <c r="CC2620" s="92"/>
      <c r="CD2620" s="92"/>
      <c r="CE2620" s="92"/>
      <c r="CF2620" s="92"/>
      <c r="CG2620" s="92"/>
      <c r="CH2620" s="92"/>
      <c r="CI2620" s="92"/>
      <c r="CJ2620" s="92"/>
      <c r="CK2620" s="92"/>
      <c r="CL2620" s="92"/>
      <c r="CM2620" s="92"/>
      <c r="CN2620" s="92"/>
      <c r="CO2620" s="92"/>
      <c r="CP2620" s="92"/>
      <c r="CQ2620" s="92"/>
      <c r="CR2620" s="92"/>
      <c r="CS2620" s="92"/>
      <c r="CT2620" s="92"/>
      <c r="CU2620" s="92"/>
      <c r="CV2620" s="92"/>
      <c r="CW2620" s="92"/>
      <c r="CX2620" s="92"/>
      <c r="CY2620" s="92"/>
      <c r="CZ2620" s="92"/>
      <c r="DA2620" s="92"/>
      <c r="DB2620" s="92"/>
      <c r="DC2620" s="92"/>
      <c r="DD2620" s="92"/>
      <c r="DE2620" s="92"/>
      <c r="DF2620" s="92"/>
      <c r="DG2620" s="92"/>
      <c r="DH2620" s="92"/>
      <c r="DI2620" s="92"/>
      <c r="DJ2620" s="92"/>
      <c r="DK2620" s="92"/>
      <c r="DL2620" s="92"/>
      <c r="DM2620" s="92"/>
      <c r="DN2620" s="92"/>
      <c r="DO2620" s="92"/>
      <c r="DP2620" s="92"/>
      <c r="DQ2620" s="92"/>
      <c r="DR2620" s="92"/>
      <c r="DS2620" s="92"/>
      <c r="DT2620" s="92"/>
      <c r="DU2620" s="92"/>
      <c r="DV2620" s="92"/>
      <c r="DW2620" s="92"/>
      <c r="DX2620" s="92"/>
      <c r="DY2620" s="92"/>
      <c r="DZ2620" s="92"/>
      <c r="EA2620" s="92"/>
      <c r="EB2620" s="92"/>
      <c r="EC2620" s="92"/>
      <c r="ED2620" s="92"/>
      <c r="EE2620" s="92"/>
      <c r="EF2620" s="92"/>
      <c r="EG2620" s="92"/>
      <c r="EH2620" s="92"/>
      <c r="EI2620" s="92"/>
      <c r="EJ2620" s="92"/>
      <c r="EK2620" s="92"/>
      <c r="EL2620" s="92"/>
      <c r="EM2620" s="92"/>
      <c r="EN2620" s="92"/>
      <c r="EO2620" s="92"/>
      <c r="EP2620" s="92"/>
      <c r="EQ2620" s="92"/>
      <c r="ER2620" s="92"/>
      <c r="ES2620" s="92"/>
      <c r="ET2620" s="92"/>
      <c r="EU2620" s="92"/>
      <c r="EV2620" s="92"/>
      <c r="EW2620" s="92"/>
      <c r="EX2620" s="92"/>
      <c r="EY2620" s="92"/>
      <c r="EZ2620" s="92"/>
      <c r="FA2620" s="92"/>
      <c r="FB2620" s="92"/>
      <c r="FC2620" s="92"/>
      <c r="FD2620" s="92"/>
      <c r="FE2620" s="92"/>
      <c r="FF2620" s="92"/>
      <c r="FG2620" s="92"/>
      <c r="FH2620" s="92"/>
      <c r="FI2620" s="92"/>
      <c r="FJ2620" s="92"/>
      <c r="FK2620" s="92"/>
      <c r="FL2620" s="92"/>
      <c r="FM2620" s="92"/>
      <c r="FN2620" s="92"/>
      <c r="FO2620" s="92"/>
      <c r="FP2620" s="92"/>
      <c r="FQ2620" s="92"/>
      <c r="FR2620" s="92"/>
      <c r="FS2620" s="92"/>
      <c r="FT2620" s="92"/>
      <c r="FU2620" s="92"/>
      <c r="FV2620" s="92"/>
      <c r="FW2620" s="92"/>
      <c r="FX2620" s="92"/>
      <c r="FY2620" s="92"/>
      <c r="FZ2620" s="92"/>
      <c r="GA2620" s="92"/>
      <c r="GB2620" s="92"/>
      <c r="GC2620" s="92"/>
      <c r="GD2620" s="92"/>
      <c r="GE2620" s="92"/>
      <c r="GF2620" s="92"/>
      <c r="GG2620" s="92"/>
      <c r="GH2620" s="92"/>
      <c r="GI2620" s="92"/>
      <c r="GJ2620" s="92"/>
      <c r="GK2620" s="92"/>
      <c r="GL2620" s="92"/>
      <c r="GM2620" s="92"/>
      <c r="GN2620" s="92"/>
      <c r="GO2620" s="92"/>
      <c r="GP2620" s="92"/>
      <c r="GQ2620" s="92"/>
      <c r="GR2620" s="92"/>
      <c r="GS2620" s="92"/>
      <c r="GT2620" s="92"/>
      <c r="GU2620" s="92"/>
      <c r="GV2620" s="92"/>
      <c r="GW2620" s="92"/>
      <c r="GX2620" s="92"/>
      <c r="GY2620" s="92"/>
      <c r="GZ2620" s="92"/>
      <c r="HA2620" s="92"/>
      <c r="HB2620" s="92"/>
      <c r="HC2620" s="92"/>
      <c r="HD2620" s="92"/>
      <c r="HE2620" s="92"/>
      <c r="HF2620" s="92"/>
      <c r="HG2620" s="92"/>
      <c r="HH2620" s="92"/>
      <c r="HI2620" s="92"/>
      <c r="HJ2620" s="92"/>
      <c r="HK2620" s="92"/>
      <c r="HL2620" s="92"/>
      <c r="HM2620" s="92"/>
      <c r="HN2620" s="92"/>
      <c r="HO2620" s="92"/>
      <c r="HP2620" s="92"/>
      <c r="HQ2620" s="92"/>
    </row>
    <row r="2621" spans="1:225" ht="15.75" customHeight="1" x14ac:dyDescent="0.35">
      <c r="A2621" s="285">
        <f>A2618+1</f>
        <v>4</v>
      </c>
      <c r="B2621" s="285">
        <v>5873</v>
      </c>
      <c r="C2621" s="295" t="s">
        <v>502</v>
      </c>
      <c r="D2621" s="279">
        <v>2929.4</v>
      </c>
      <c r="E2621" s="285" t="s">
        <v>75</v>
      </c>
      <c r="F2621" s="285">
        <v>4</v>
      </c>
      <c r="G2621" s="285" t="s">
        <v>72</v>
      </c>
      <c r="H2621" s="116" t="s">
        <v>73</v>
      </c>
      <c r="I2621" s="86">
        <f>I2622+I2623</f>
        <v>9492134.8200000003</v>
      </c>
      <c r="J2621" s="86">
        <f>J2622+J2623</f>
        <v>3240.3</v>
      </c>
      <c r="K2621" s="86">
        <f>K2622+K2623</f>
        <v>4728</v>
      </c>
      <c r="L2621" s="92"/>
      <c r="M2621" s="92"/>
      <c r="N2621" s="92"/>
      <c r="O2621" s="92"/>
      <c r="P2621" s="92"/>
      <c r="Q2621" s="92"/>
      <c r="R2621" s="92"/>
      <c r="S2621" s="92"/>
      <c r="T2621" s="92"/>
      <c r="U2621" s="92"/>
      <c r="V2621" s="92"/>
      <c r="W2621" s="92"/>
      <c r="X2621" s="92"/>
      <c r="Y2621" s="92"/>
      <c r="Z2621" s="92"/>
      <c r="AA2621" s="92"/>
      <c r="AB2621" s="92"/>
      <c r="AC2621" s="92"/>
      <c r="AD2621" s="92"/>
      <c r="AE2621" s="92"/>
      <c r="AF2621" s="92"/>
      <c r="AG2621" s="92"/>
      <c r="AH2621" s="92"/>
      <c r="AI2621" s="92"/>
      <c r="AJ2621" s="92"/>
      <c r="AK2621" s="92"/>
      <c r="AL2621" s="92"/>
      <c r="AM2621" s="92"/>
      <c r="AN2621" s="92"/>
      <c r="AO2621" s="92"/>
      <c r="AP2621" s="92"/>
      <c r="AQ2621" s="92"/>
      <c r="AR2621" s="92"/>
      <c r="AS2621" s="92"/>
      <c r="AT2621" s="92"/>
      <c r="AU2621" s="92"/>
      <c r="AV2621" s="92"/>
      <c r="AW2621" s="92"/>
      <c r="AX2621" s="92"/>
      <c r="AY2621" s="92"/>
      <c r="AZ2621" s="92"/>
      <c r="BA2621" s="92"/>
      <c r="BB2621" s="92"/>
      <c r="BC2621" s="92"/>
      <c r="BD2621" s="92"/>
      <c r="BE2621" s="92"/>
      <c r="BF2621" s="92"/>
      <c r="BG2621" s="92"/>
      <c r="BH2621" s="92"/>
      <c r="BI2621" s="92"/>
      <c r="BJ2621" s="92"/>
      <c r="BK2621" s="92"/>
      <c r="BL2621" s="92"/>
      <c r="BM2621" s="92"/>
      <c r="BN2621" s="92"/>
      <c r="BO2621" s="92"/>
      <c r="BP2621" s="92"/>
      <c r="BQ2621" s="92"/>
      <c r="BR2621" s="92"/>
      <c r="BS2621" s="92"/>
      <c r="BT2621" s="92"/>
      <c r="BU2621" s="92"/>
      <c r="BV2621" s="92"/>
      <c r="BW2621" s="92"/>
      <c r="BX2621" s="92"/>
      <c r="BY2621" s="92"/>
      <c r="BZ2621" s="92"/>
      <c r="CA2621" s="92"/>
      <c r="CB2621" s="92"/>
      <c r="CC2621" s="92"/>
      <c r="CD2621" s="92"/>
      <c r="CE2621" s="92"/>
      <c r="CF2621" s="92"/>
      <c r="CG2621" s="92"/>
      <c r="CH2621" s="92"/>
      <c r="CI2621" s="92"/>
      <c r="CJ2621" s="92"/>
      <c r="CK2621" s="92"/>
      <c r="CL2621" s="92"/>
      <c r="CM2621" s="92"/>
      <c r="CN2621" s="92"/>
      <c r="CO2621" s="92"/>
      <c r="CP2621" s="92"/>
      <c r="CQ2621" s="92"/>
      <c r="CR2621" s="92"/>
      <c r="CS2621" s="92"/>
      <c r="CT2621" s="92"/>
      <c r="CU2621" s="92"/>
      <c r="CV2621" s="92"/>
      <c r="CW2621" s="92"/>
      <c r="CX2621" s="92"/>
      <c r="CY2621" s="92"/>
      <c r="CZ2621" s="92"/>
      <c r="DA2621" s="92"/>
      <c r="DB2621" s="92"/>
      <c r="DC2621" s="92"/>
      <c r="DD2621" s="92"/>
      <c r="DE2621" s="92"/>
      <c r="DF2621" s="92"/>
      <c r="DG2621" s="92"/>
      <c r="DH2621" s="92"/>
      <c r="DI2621" s="92"/>
      <c r="DJ2621" s="92"/>
      <c r="DK2621" s="92"/>
      <c r="DL2621" s="92"/>
      <c r="DM2621" s="92"/>
      <c r="DN2621" s="92"/>
      <c r="DO2621" s="92"/>
      <c r="DP2621" s="92"/>
      <c r="DQ2621" s="92"/>
      <c r="DR2621" s="92"/>
      <c r="DS2621" s="92"/>
      <c r="DT2621" s="92"/>
      <c r="DU2621" s="92"/>
      <c r="DV2621" s="92"/>
      <c r="DW2621" s="92"/>
      <c r="DX2621" s="92"/>
      <c r="DY2621" s="92"/>
      <c r="DZ2621" s="92"/>
      <c r="EA2621" s="92"/>
      <c r="EB2621" s="92"/>
      <c r="EC2621" s="92"/>
      <c r="ED2621" s="92"/>
      <c r="EE2621" s="92"/>
      <c r="EF2621" s="92"/>
      <c r="EG2621" s="92"/>
      <c r="EH2621" s="92"/>
      <c r="EI2621" s="92"/>
      <c r="EJ2621" s="92"/>
      <c r="EK2621" s="92"/>
      <c r="EL2621" s="92"/>
      <c r="EM2621" s="92"/>
      <c r="EN2621" s="92"/>
      <c r="EO2621" s="92"/>
      <c r="EP2621" s="92"/>
      <c r="EQ2621" s="92"/>
      <c r="ER2621" s="92"/>
      <c r="ES2621" s="92"/>
      <c r="ET2621" s="92"/>
      <c r="EU2621" s="92"/>
      <c r="EV2621" s="92"/>
      <c r="EW2621" s="92"/>
      <c r="EX2621" s="92"/>
      <c r="EY2621" s="92"/>
      <c r="EZ2621" s="92"/>
      <c r="FA2621" s="92"/>
      <c r="FB2621" s="92"/>
      <c r="FC2621" s="92"/>
      <c r="FD2621" s="92"/>
      <c r="FE2621" s="92"/>
      <c r="FF2621" s="92"/>
      <c r="FG2621" s="92"/>
      <c r="FH2621" s="92"/>
      <c r="FI2621" s="92"/>
      <c r="FJ2621" s="92"/>
      <c r="FK2621" s="92"/>
      <c r="FL2621" s="92"/>
      <c r="FM2621" s="92"/>
      <c r="FN2621" s="92"/>
      <c r="FO2621" s="92"/>
      <c r="FP2621" s="92"/>
      <c r="FQ2621" s="92"/>
      <c r="FR2621" s="92"/>
      <c r="FS2621" s="92"/>
      <c r="FT2621" s="92"/>
      <c r="FU2621" s="92"/>
      <c r="FV2621" s="92"/>
      <c r="FW2621" s="92"/>
      <c r="FX2621" s="92"/>
      <c r="FY2621" s="92"/>
      <c r="FZ2621" s="92"/>
      <c r="GA2621" s="92"/>
      <c r="GB2621" s="92"/>
      <c r="GC2621" s="92"/>
      <c r="GD2621" s="92"/>
      <c r="GE2621" s="92"/>
      <c r="GF2621" s="92"/>
      <c r="GG2621" s="92"/>
      <c r="GH2621" s="92"/>
      <c r="GI2621" s="92"/>
      <c r="GJ2621" s="92"/>
      <c r="GK2621" s="92"/>
      <c r="GL2621" s="92"/>
      <c r="GM2621" s="92"/>
      <c r="GN2621" s="92"/>
      <c r="GO2621" s="92"/>
      <c r="GP2621" s="92"/>
      <c r="GQ2621" s="92"/>
      <c r="GR2621" s="92"/>
      <c r="GS2621" s="92"/>
      <c r="GT2621" s="92"/>
      <c r="GU2621" s="92"/>
      <c r="GV2621" s="92"/>
      <c r="GW2621" s="92"/>
      <c r="GX2621" s="92"/>
      <c r="GY2621" s="92"/>
      <c r="GZ2621" s="92"/>
      <c r="HA2621" s="92"/>
      <c r="HB2621" s="92"/>
      <c r="HC2621" s="92"/>
      <c r="HD2621" s="92"/>
      <c r="HE2621" s="92"/>
      <c r="HF2621" s="92"/>
      <c r="HG2621" s="92"/>
      <c r="HH2621" s="92"/>
      <c r="HI2621" s="92"/>
      <c r="HJ2621" s="92"/>
      <c r="HK2621" s="92"/>
      <c r="HL2621" s="92"/>
      <c r="HM2621" s="92"/>
      <c r="HN2621" s="92"/>
      <c r="HO2621" s="92"/>
      <c r="HP2621" s="92"/>
      <c r="HQ2621" s="92"/>
    </row>
    <row r="2622" spans="1:225" x14ac:dyDescent="0.35">
      <c r="A2622" s="286"/>
      <c r="B2622" s="286"/>
      <c r="C2622" s="296"/>
      <c r="D2622" s="280"/>
      <c r="E2622" s="286"/>
      <c r="F2622" s="286"/>
      <c r="G2622" s="286"/>
      <c r="H2622" s="116" t="s">
        <v>667</v>
      </c>
      <c r="I2622" s="86">
        <f>D2621*K2622*0.7</f>
        <v>9492134.8200000003</v>
      </c>
      <c r="J2622" s="86">
        <f>I2622/D2621</f>
        <v>3240.3</v>
      </c>
      <c r="K2622" s="86">
        <v>4629</v>
      </c>
      <c r="L2622" s="92"/>
      <c r="M2622" s="92"/>
      <c r="N2622" s="92"/>
      <c r="O2622" s="92"/>
      <c r="P2622" s="92"/>
      <c r="Q2622" s="92"/>
      <c r="R2622" s="92"/>
      <c r="S2622" s="92"/>
      <c r="T2622" s="92"/>
      <c r="U2622" s="92"/>
      <c r="V2622" s="92"/>
      <c r="W2622" s="92"/>
      <c r="X2622" s="92"/>
      <c r="Y2622" s="92"/>
      <c r="Z2622" s="92"/>
      <c r="AA2622" s="92"/>
      <c r="AB2622" s="92"/>
      <c r="AC2622" s="92"/>
      <c r="AD2622" s="92"/>
      <c r="AE2622" s="92"/>
      <c r="AF2622" s="92"/>
      <c r="AG2622" s="92"/>
      <c r="AH2622" s="92"/>
      <c r="AI2622" s="92"/>
      <c r="AJ2622" s="92"/>
      <c r="AK2622" s="92"/>
      <c r="AL2622" s="92"/>
      <c r="AM2622" s="92"/>
      <c r="AN2622" s="92"/>
      <c r="AO2622" s="92"/>
      <c r="AP2622" s="92"/>
      <c r="AQ2622" s="92"/>
      <c r="AR2622" s="92"/>
      <c r="AS2622" s="92"/>
      <c r="AT2622" s="92"/>
      <c r="AU2622" s="92"/>
      <c r="AV2622" s="92"/>
      <c r="AW2622" s="92"/>
      <c r="AX2622" s="92"/>
      <c r="AY2622" s="92"/>
      <c r="AZ2622" s="92"/>
      <c r="BA2622" s="92"/>
      <c r="BB2622" s="92"/>
      <c r="BC2622" s="92"/>
      <c r="BD2622" s="92"/>
      <c r="BE2622" s="92"/>
      <c r="BF2622" s="92"/>
      <c r="BG2622" s="92"/>
      <c r="BH2622" s="92"/>
      <c r="BI2622" s="92"/>
      <c r="BJ2622" s="92"/>
      <c r="BK2622" s="92"/>
      <c r="BL2622" s="92"/>
      <c r="BM2622" s="92"/>
      <c r="BN2622" s="92"/>
      <c r="BO2622" s="92"/>
      <c r="BP2622" s="92"/>
      <c r="BQ2622" s="92"/>
      <c r="BR2622" s="92"/>
      <c r="BS2622" s="92"/>
      <c r="BT2622" s="92"/>
      <c r="BU2622" s="92"/>
      <c r="BV2622" s="92"/>
      <c r="BW2622" s="92"/>
      <c r="BX2622" s="92"/>
      <c r="BY2622" s="92"/>
      <c r="BZ2622" s="92"/>
      <c r="CA2622" s="92"/>
      <c r="CB2622" s="92"/>
      <c r="CC2622" s="92"/>
      <c r="CD2622" s="92"/>
      <c r="CE2622" s="92"/>
      <c r="CF2622" s="92"/>
      <c r="CG2622" s="92"/>
      <c r="CH2622" s="92"/>
      <c r="CI2622" s="92"/>
      <c r="CJ2622" s="92"/>
      <c r="CK2622" s="92"/>
      <c r="CL2622" s="92"/>
      <c r="CM2622" s="92"/>
      <c r="CN2622" s="92"/>
      <c r="CO2622" s="92"/>
      <c r="CP2622" s="92"/>
      <c r="CQ2622" s="92"/>
      <c r="CR2622" s="92"/>
      <c r="CS2622" s="92"/>
      <c r="CT2622" s="92"/>
      <c r="CU2622" s="92"/>
      <c r="CV2622" s="92"/>
      <c r="CW2622" s="92"/>
      <c r="CX2622" s="92"/>
      <c r="CY2622" s="92"/>
      <c r="CZ2622" s="92"/>
      <c r="DA2622" s="92"/>
      <c r="DB2622" s="92"/>
      <c r="DC2622" s="92"/>
      <c r="DD2622" s="92"/>
      <c r="DE2622" s="92"/>
      <c r="DF2622" s="92"/>
      <c r="DG2622" s="92"/>
      <c r="DH2622" s="92"/>
      <c r="DI2622" s="92"/>
      <c r="DJ2622" s="92"/>
      <c r="DK2622" s="92"/>
      <c r="DL2622" s="92"/>
      <c r="DM2622" s="92"/>
      <c r="DN2622" s="92"/>
      <c r="DO2622" s="92"/>
      <c r="DP2622" s="92"/>
      <c r="DQ2622" s="92"/>
      <c r="DR2622" s="92"/>
      <c r="DS2622" s="92"/>
      <c r="DT2622" s="92"/>
      <c r="DU2622" s="92"/>
      <c r="DV2622" s="92"/>
      <c r="DW2622" s="92"/>
      <c r="DX2622" s="92"/>
      <c r="DY2622" s="92"/>
      <c r="DZ2622" s="92"/>
      <c r="EA2622" s="92"/>
      <c r="EB2622" s="92"/>
      <c r="EC2622" s="92"/>
      <c r="ED2622" s="92"/>
      <c r="EE2622" s="92"/>
      <c r="EF2622" s="92"/>
      <c r="EG2622" s="92"/>
      <c r="EH2622" s="92"/>
      <c r="EI2622" s="92"/>
      <c r="EJ2622" s="92"/>
      <c r="EK2622" s="92"/>
      <c r="EL2622" s="92"/>
      <c r="EM2622" s="92"/>
      <c r="EN2622" s="92"/>
      <c r="EO2622" s="92"/>
      <c r="EP2622" s="92"/>
      <c r="EQ2622" s="92"/>
      <c r="ER2622" s="92"/>
      <c r="ES2622" s="92"/>
      <c r="ET2622" s="92"/>
      <c r="EU2622" s="92"/>
      <c r="EV2622" s="92"/>
      <c r="EW2622" s="92"/>
      <c r="EX2622" s="92"/>
      <c r="EY2622" s="92"/>
      <c r="EZ2622" s="92"/>
      <c r="FA2622" s="92"/>
      <c r="FB2622" s="92"/>
      <c r="FC2622" s="92"/>
      <c r="FD2622" s="92"/>
      <c r="FE2622" s="92"/>
      <c r="FF2622" s="92"/>
      <c r="FG2622" s="92"/>
      <c r="FH2622" s="92"/>
      <c r="FI2622" s="92"/>
      <c r="FJ2622" s="92"/>
      <c r="FK2622" s="92"/>
      <c r="FL2622" s="92"/>
      <c r="FM2622" s="92"/>
      <c r="FN2622" s="92"/>
      <c r="FO2622" s="92"/>
      <c r="FP2622" s="92"/>
      <c r="FQ2622" s="92"/>
      <c r="FR2622" s="92"/>
      <c r="FS2622" s="92"/>
      <c r="FT2622" s="92"/>
      <c r="FU2622" s="92"/>
      <c r="FV2622" s="92"/>
      <c r="FW2622" s="92"/>
      <c r="FX2622" s="92"/>
      <c r="FY2622" s="92"/>
      <c r="FZ2622" s="92"/>
      <c r="GA2622" s="92"/>
      <c r="GB2622" s="92"/>
      <c r="GC2622" s="92"/>
      <c r="GD2622" s="92"/>
      <c r="GE2622" s="92"/>
      <c r="GF2622" s="92"/>
      <c r="GG2622" s="92"/>
      <c r="GH2622" s="92"/>
      <c r="GI2622" s="92"/>
      <c r="GJ2622" s="92"/>
      <c r="GK2622" s="92"/>
      <c r="GL2622" s="92"/>
      <c r="GM2622" s="92"/>
      <c r="GN2622" s="92"/>
      <c r="GO2622" s="92"/>
      <c r="GP2622" s="92"/>
      <c r="GQ2622" s="92"/>
      <c r="GR2622" s="92"/>
      <c r="GS2622" s="92"/>
      <c r="GT2622" s="92"/>
      <c r="GU2622" s="92"/>
      <c r="GV2622" s="92"/>
      <c r="GW2622" s="92"/>
      <c r="GX2622" s="92"/>
      <c r="GY2622" s="92"/>
      <c r="GZ2622" s="92"/>
      <c r="HA2622" s="92"/>
      <c r="HB2622" s="92"/>
      <c r="HC2622" s="92"/>
      <c r="HD2622" s="92"/>
      <c r="HE2622" s="92"/>
      <c r="HF2622" s="92"/>
      <c r="HG2622" s="92"/>
      <c r="HH2622" s="92"/>
      <c r="HI2622" s="92"/>
      <c r="HJ2622" s="92"/>
      <c r="HK2622" s="92"/>
      <c r="HL2622" s="92"/>
      <c r="HM2622" s="92"/>
      <c r="HN2622" s="92"/>
      <c r="HO2622" s="92"/>
      <c r="HP2622" s="92"/>
      <c r="HQ2622" s="92"/>
    </row>
    <row r="2623" spans="1:225" x14ac:dyDescent="0.35">
      <c r="A2623" s="287"/>
      <c r="B2623" s="287"/>
      <c r="C2623" s="297"/>
      <c r="D2623" s="281"/>
      <c r="E2623" s="287"/>
      <c r="F2623" s="287"/>
      <c r="G2623" s="287"/>
      <c r="H2623" s="116" t="s">
        <v>76</v>
      </c>
      <c r="I2623" s="86">
        <v>0</v>
      </c>
      <c r="J2623" s="86">
        <v>0</v>
      </c>
      <c r="K2623" s="86">
        <v>99</v>
      </c>
      <c r="L2623" s="92"/>
      <c r="M2623" s="92"/>
      <c r="N2623" s="92"/>
      <c r="O2623" s="92"/>
      <c r="P2623" s="92"/>
      <c r="Q2623" s="92"/>
      <c r="R2623" s="92"/>
      <c r="S2623" s="92"/>
      <c r="T2623" s="92"/>
      <c r="U2623" s="92"/>
      <c r="V2623" s="92"/>
      <c r="W2623" s="92"/>
      <c r="X2623" s="92"/>
      <c r="Y2623" s="92"/>
      <c r="Z2623" s="92"/>
      <c r="AA2623" s="92"/>
      <c r="AB2623" s="92"/>
      <c r="AC2623" s="92"/>
      <c r="AD2623" s="92"/>
      <c r="AE2623" s="92"/>
      <c r="AF2623" s="92"/>
      <c r="AG2623" s="92"/>
      <c r="AH2623" s="92"/>
      <c r="AI2623" s="92"/>
      <c r="AJ2623" s="92"/>
      <c r="AK2623" s="92"/>
      <c r="AL2623" s="92"/>
      <c r="AM2623" s="92"/>
      <c r="AN2623" s="92"/>
      <c r="AO2623" s="92"/>
      <c r="AP2623" s="92"/>
      <c r="AQ2623" s="92"/>
      <c r="AR2623" s="92"/>
      <c r="AS2623" s="92"/>
      <c r="AT2623" s="92"/>
      <c r="AU2623" s="92"/>
      <c r="AV2623" s="92"/>
      <c r="AW2623" s="92"/>
      <c r="AX2623" s="92"/>
      <c r="AY2623" s="92"/>
      <c r="AZ2623" s="92"/>
      <c r="BA2623" s="92"/>
      <c r="BB2623" s="92"/>
      <c r="BC2623" s="92"/>
      <c r="BD2623" s="92"/>
      <c r="BE2623" s="92"/>
      <c r="BF2623" s="92"/>
      <c r="BG2623" s="92"/>
      <c r="BH2623" s="92"/>
      <c r="BI2623" s="92"/>
      <c r="BJ2623" s="92"/>
      <c r="BK2623" s="92"/>
      <c r="BL2623" s="92"/>
      <c r="BM2623" s="92"/>
      <c r="BN2623" s="92"/>
      <c r="BO2623" s="92"/>
      <c r="BP2623" s="92"/>
      <c r="BQ2623" s="92"/>
      <c r="BR2623" s="92"/>
      <c r="BS2623" s="92"/>
      <c r="BT2623" s="92"/>
      <c r="BU2623" s="92"/>
      <c r="BV2623" s="92"/>
      <c r="BW2623" s="92"/>
      <c r="BX2623" s="92"/>
      <c r="BY2623" s="92"/>
      <c r="BZ2623" s="92"/>
      <c r="CA2623" s="92"/>
      <c r="CB2623" s="92"/>
      <c r="CC2623" s="92"/>
      <c r="CD2623" s="92"/>
      <c r="CE2623" s="92"/>
      <c r="CF2623" s="92"/>
      <c r="CG2623" s="92"/>
      <c r="CH2623" s="92"/>
      <c r="CI2623" s="92"/>
      <c r="CJ2623" s="92"/>
      <c r="CK2623" s="92"/>
      <c r="CL2623" s="92"/>
      <c r="CM2623" s="92"/>
      <c r="CN2623" s="92"/>
      <c r="CO2623" s="92"/>
      <c r="CP2623" s="92"/>
      <c r="CQ2623" s="92"/>
      <c r="CR2623" s="92"/>
      <c r="CS2623" s="92"/>
      <c r="CT2623" s="92"/>
      <c r="CU2623" s="92"/>
      <c r="CV2623" s="92"/>
      <c r="CW2623" s="92"/>
      <c r="CX2623" s="92"/>
      <c r="CY2623" s="92"/>
      <c r="CZ2623" s="92"/>
      <c r="DA2623" s="92"/>
      <c r="DB2623" s="92"/>
      <c r="DC2623" s="92"/>
      <c r="DD2623" s="92"/>
      <c r="DE2623" s="92"/>
      <c r="DF2623" s="92"/>
      <c r="DG2623" s="92"/>
      <c r="DH2623" s="92"/>
      <c r="DI2623" s="92"/>
      <c r="DJ2623" s="92"/>
      <c r="DK2623" s="92"/>
      <c r="DL2623" s="92"/>
      <c r="DM2623" s="92"/>
      <c r="DN2623" s="92"/>
      <c r="DO2623" s="92"/>
      <c r="DP2623" s="92"/>
      <c r="DQ2623" s="92"/>
      <c r="DR2623" s="92"/>
      <c r="DS2623" s="92"/>
      <c r="DT2623" s="92"/>
      <c r="DU2623" s="92"/>
      <c r="DV2623" s="92"/>
      <c r="DW2623" s="92"/>
      <c r="DX2623" s="92"/>
      <c r="DY2623" s="92"/>
      <c r="DZ2623" s="92"/>
      <c r="EA2623" s="92"/>
      <c r="EB2623" s="92"/>
      <c r="EC2623" s="92"/>
      <c r="ED2623" s="92"/>
      <c r="EE2623" s="92"/>
      <c r="EF2623" s="92"/>
      <c r="EG2623" s="92"/>
      <c r="EH2623" s="92"/>
      <c r="EI2623" s="92"/>
      <c r="EJ2623" s="92"/>
      <c r="EK2623" s="92"/>
      <c r="EL2623" s="92"/>
      <c r="EM2623" s="92"/>
      <c r="EN2623" s="92"/>
      <c r="EO2623" s="92"/>
      <c r="EP2623" s="92"/>
      <c r="EQ2623" s="92"/>
      <c r="ER2623" s="92"/>
      <c r="ES2623" s="92"/>
      <c r="ET2623" s="92"/>
      <c r="EU2623" s="92"/>
      <c r="EV2623" s="92"/>
      <c r="EW2623" s="92"/>
      <c r="EX2623" s="92"/>
      <c r="EY2623" s="92"/>
      <c r="EZ2623" s="92"/>
      <c r="FA2623" s="92"/>
      <c r="FB2623" s="92"/>
      <c r="FC2623" s="92"/>
      <c r="FD2623" s="92"/>
      <c r="FE2623" s="92"/>
      <c r="FF2623" s="92"/>
      <c r="FG2623" s="92"/>
      <c r="FH2623" s="92"/>
      <c r="FI2623" s="92"/>
      <c r="FJ2623" s="92"/>
      <c r="FK2623" s="92"/>
      <c r="FL2623" s="92"/>
      <c r="FM2623" s="92"/>
      <c r="FN2623" s="92"/>
      <c r="FO2623" s="92"/>
      <c r="FP2623" s="92"/>
      <c r="FQ2623" s="92"/>
      <c r="FR2623" s="92"/>
      <c r="FS2623" s="92"/>
      <c r="FT2623" s="92"/>
      <c r="FU2623" s="92"/>
      <c r="FV2623" s="92"/>
      <c r="FW2623" s="92"/>
      <c r="FX2623" s="92"/>
      <c r="FY2623" s="92"/>
      <c r="FZ2623" s="92"/>
      <c r="GA2623" s="92"/>
      <c r="GB2623" s="92"/>
      <c r="GC2623" s="92"/>
      <c r="GD2623" s="92"/>
      <c r="GE2623" s="92"/>
      <c r="GF2623" s="92"/>
      <c r="GG2623" s="92"/>
      <c r="GH2623" s="92"/>
      <c r="GI2623" s="92"/>
      <c r="GJ2623" s="92"/>
      <c r="GK2623" s="92"/>
      <c r="GL2623" s="92"/>
      <c r="GM2623" s="92"/>
      <c r="GN2623" s="92"/>
      <c r="GO2623" s="92"/>
      <c r="GP2623" s="92"/>
      <c r="GQ2623" s="92"/>
      <c r="GR2623" s="92"/>
      <c r="GS2623" s="92"/>
      <c r="GT2623" s="92"/>
      <c r="GU2623" s="92"/>
      <c r="GV2623" s="92"/>
      <c r="GW2623" s="92"/>
      <c r="GX2623" s="92"/>
      <c r="GY2623" s="92"/>
      <c r="GZ2623" s="92"/>
      <c r="HA2623" s="92"/>
      <c r="HB2623" s="92"/>
      <c r="HC2623" s="92"/>
      <c r="HD2623" s="92"/>
      <c r="HE2623" s="92"/>
      <c r="HF2623" s="92"/>
      <c r="HG2623" s="92"/>
      <c r="HH2623" s="92"/>
      <c r="HI2623" s="92"/>
      <c r="HJ2623" s="92"/>
      <c r="HK2623" s="92"/>
      <c r="HL2623" s="92"/>
      <c r="HM2623" s="92"/>
      <c r="HN2623" s="92"/>
      <c r="HO2623" s="92"/>
      <c r="HP2623" s="92"/>
      <c r="HQ2623" s="92"/>
    </row>
    <row r="2624" spans="1:225" ht="15.75" customHeight="1" x14ac:dyDescent="0.35">
      <c r="A2624" s="335">
        <f>A2621+1</f>
        <v>5</v>
      </c>
      <c r="B2624" s="335">
        <v>5923</v>
      </c>
      <c r="C2624" s="348" t="s">
        <v>652</v>
      </c>
      <c r="D2624" s="279">
        <v>10217.4</v>
      </c>
      <c r="E2624" s="335" t="s">
        <v>80</v>
      </c>
      <c r="F2624" s="335">
        <v>10</v>
      </c>
      <c r="G2624" s="124"/>
      <c r="H2624" s="116" t="s">
        <v>73</v>
      </c>
      <c r="I2624" s="86">
        <f>I2625+I2626+I2627+I2628+I2629+I2630+I2631+I2632+I2633</f>
        <v>5200209</v>
      </c>
      <c r="J2624" s="86">
        <f>J2625+J2626+J2627+J2628+J2629+J2630+J2631+J2632+J2633</f>
        <v>508.96</v>
      </c>
      <c r="K2624" s="86">
        <f>K2625+K2626+K2627+K2628+K2629+K2630+K2631+K2632+K2633</f>
        <v>519.69000000000005</v>
      </c>
      <c r="L2624" s="92"/>
      <c r="M2624" s="92"/>
      <c r="N2624" s="92"/>
      <c r="O2624" s="92"/>
      <c r="P2624" s="92"/>
      <c r="Q2624" s="92"/>
      <c r="R2624" s="92"/>
      <c r="S2624" s="92"/>
      <c r="T2624" s="92"/>
      <c r="U2624" s="92"/>
      <c r="V2624" s="92"/>
      <c r="W2624" s="92"/>
      <c r="X2624" s="92"/>
      <c r="Y2624" s="92"/>
      <c r="Z2624" s="92"/>
      <c r="AA2624" s="92"/>
      <c r="AB2624" s="92"/>
      <c r="AC2624" s="92"/>
      <c r="AD2624" s="92"/>
      <c r="AE2624" s="92"/>
      <c r="AF2624" s="92"/>
      <c r="AG2624" s="92"/>
      <c r="AH2624" s="92"/>
      <c r="AI2624" s="92"/>
      <c r="AJ2624" s="92"/>
      <c r="AK2624" s="92"/>
      <c r="AL2624" s="92"/>
      <c r="AM2624" s="92"/>
      <c r="AN2624" s="92"/>
      <c r="AO2624" s="92"/>
      <c r="AP2624" s="92"/>
      <c r="AQ2624" s="92"/>
      <c r="AR2624" s="92"/>
      <c r="AS2624" s="92"/>
      <c r="AT2624" s="92"/>
      <c r="AU2624" s="92"/>
      <c r="AV2624" s="92"/>
      <c r="AW2624" s="92"/>
      <c r="AX2624" s="92"/>
      <c r="AY2624" s="92"/>
      <c r="AZ2624" s="92"/>
      <c r="BA2624" s="92"/>
      <c r="BB2624" s="92"/>
      <c r="BC2624" s="92"/>
      <c r="BD2624" s="92"/>
      <c r="BE2624" s="92"/>
      <c r="BF2624" s="92"/>
      <c r="BG2624" s="92"/>
      <c r="BH2624" s="92"/>
      <c r="BI2624" s="92"/>
      <c r="BJ2624" s="92"/>
      <c r="BK2624" s="92"/>
      <c r="BL2624" s="92"/>
      <c r="BM2624" s="92"/>
      <c r="BN2624" s="92"/>
      <c r="BO2624" s="92"/>
      <c r="BP2624" s="92"/>
      <c r="BQ2624" s="92"/>
      <c r="BR2624" s="92"/>
      <c r="BS2624" s="92"/>
      <c r="BT2624" s="92"/>
      <c r="BU2624" s="92"/>
      <c r="BV2624" s="92"/>
      <c r="BW2624" s="92"/>
      <c r="BX2624" s="92"/>
      <c r="BY2624" s="92"/>
      <c r="BZ2624" s="92"/>
      <c r="CA2624" s="92"/>
      <c r="CB2624" s="92"/>
      <c r="CC2624" s="92"/>
      <c r="CD2624" s="92"/>
      <c r="CE2624" s="92"/>
      <c r="CF2624" s="92"/>
      <c r="CG2624" s="92"/>
      <c r="CH2624" s="92"/>
      <c r="CI2624" s="92"/>
      <c r="CJ2624" s="92"/>
      <c r="CK2624" s="92"/>
      <c r="CL2624" s="92"/>
      <c r="CM2624" s="92"/>
      <c r="CN2624" s="92"/>
      <c r="CO2624" s="92"/>
      <c r="CP2624" s="92"/>
      <c r="CQ2624" s="92"/>
      <c r="CR2624" s="92"/>
      <c r="CS2624" s="92"/>
      <c r="CT2624" s="92"/>
      <c r="CU2624" s="92"/>
      <c r="CV2624" s="92"/>
      <c r="CW2624" s="92"/>
      <c r="CX2624" s="92"/>
      <c r="CY2624" s="92"/>
      <c r="CZ2624" s="92"/>
      <c r="DA2624" s="92"/>
      <c r="DB2624" s="92"/>
      <c r="DC2624" s="92"/>
      <c r="DD2624" s="92"/>
      <c r="DE2624" s="92"/>
      <c r="DF2624" s="92"/>
      <c r="DG2624" s="92"/>
      <c r="DH2624" s="92"/>
      <c r="DI2624" s="92"/>
      <c r="DJ2624" s="92"/>
      <c r="DK2624" s="92"/>
      <c r="DL2624" s="92"/>
      <c r="DM2624" s="92"/>
      <c r="DN2624" s="92"/>
      <c r="DO2624" s="92"/>
      <c r="DP2624" s="92"/>
      <c r="DQ2624" s="92"/>
      <c r="DR2624" s="92"/>
      <c r="DS2624" s="92"/>
      <c r="DT2624" s="92"/>
      <c r="DU2624" s="92"/>
      <c r="DV2624" s="92"/>
      <c r="DW2624" s="92"/>
      <c r="DX2624" s="92"/>
      <c r="DY2624" s="92"/>
      <c r="DZ2624" s="92"/>
      <c r="EA2624" s="92"/>
      <c r="EB2624" s="92"/>
      <c r="EC2624" s="92"/>
      <c r="ED2624" s="92"/>
      <c r="EE2624" s="92"/>
      <c r="EF2624" s="92"/>
      <c r="EG2624" s="92"/>
      <c r="EH2624" s="92"/>
      <c r="EI2624" s="92"/>
      <c r="EJ2624" s="92"/>
      <c r="EK2624" s="92"/>
      <c r="EL2624" s="92"/>
      <c r="EM2624" s="92"/>
      <c r="EN2624" s="92"/>
      <c r="EO2624" s="92"/>
      <c r="EP2624" s="92"/>
      <c r="EQ2624" s="92"/>
      <c r="ER2624" s="92"/>
      <c r="ES2624" s="92"/>
      <c r="ET2624" s="92"/>
      <c r="EU2624" s="92"/>
      <c r="EV2624" s="92"/>
      <c r="EW2624" s="92"/>
      <c r="EX2624" s="92"/>
      <c r="EY2624" s="92"/>
      <c r="EZ2624" s="92"/>
      <c r="FA2624" s="92"/>
      <c r="FB2624" s="92"/>
      <c r="FC2624" s="92"/>
      <c r="FD2624" s="92"/>
      <c r="FE2624" s="92"/>
      <c r="FF2624" s="92"/>
      <c r="FG2624" s="92"/>
      <c r="FH2624" s="92"/>
      <c r="FI2624" s="92"/>
      <c r="FJ2624" s="92"/>
      <c r="FK2624" s="92"/>
      <c r="FL2624" s="92"/>
      <c r="FM2624" s="92"/>
      <c r="FN2624" s="92"/>
      <c r="FO2624" s="92"/>
      <c r="FP2624" s="92"/>
      <c r="FQ2624" s="92"/>
      <c r="FR2624" s="92"/>
      <c r="FS2624" s="92"/>
      <c r="FT2624" s="92"/>
      <c r="FU2624" s="92"/>
      <c r="FV2624" s="92"/>
      <c r="FW2624" s="92"/>
      <c r="FX2624" s="92"/>
      <c r="FY2624" s="92"/>
      <c r="FZ2624" s="92"/>
      <c r="GA2624" s="92"/>
      <c r="GB2624" s="92"/>
      <c r="GC2624" s="92"/>
      <c r="GD2624" s="92"/>
      <c r="GE2624" s="92"/>
      <c r="GF2624" s="92"/>
      <c r="GG2624" s="92"/>
      <c r="GH2624" s="92"/>
      <c r="GI2624" s="92"/>
      <c r="GJ2624" s="92"/>
      <c r="GK2624" s="92"/>
      <c r="GL2624" s="92"/>
      <c r="GM2624" s="92"/>
      <c r="GN2624" s="92"/>
      <c r="GO2624" s="92"/>
      <c r="GP2624" s="92"/>
      <c r="GQ2624" s="92"/>
      <c r="GR2624" s="92"/>
      <c r="GS2624" s="92"/>
      <c r="GT2624" s="92"/>
      <c r="GU2624" s="92"/>
      <c r="GV2624" s="92"/>
      <c r="GW2624" s="92"/>
      <c r="GX2624" s="92"/>
      <c r="GY2624" s="92"/>
      <c r="GZ2624" s="92"/>
      <c r="HA2624" s="92"/>
      <c r="HB2624" s="92"/>
      <c r="HC2624" s="92"/>
      <c r="HD2624" s="92"/>
      <c r="HE2624" s="92"/>
      <c r="HF2624" s="92"/>
      <c r="HG2624" s="92"/>
      <c r="HH2624" s="92"/>
      <c r="HI2624" s="92"/>
      <c r="HJ2624" s="92"/>
      <c r="HK2624" s="92"/>
      <c r="HL2624" s="92"/>
      <c r="HM2624" s="92"/>
      <c r="HN2624" s="92"/>
      <c r="HO2624" s="92"/>
      <c r="HP2624" s="92"/>
      <c r="HQ2624" s="92"/>
    </row>
    <row r="2625" spans="1:225" ht="31" x14ac:dyDescent="0.35">
      <c r="A2625" s="336"/>
      <c r="B2625" s="336"/>
      <c r="C2625" s="349"/>
      <c r="D2625" s="280"/>
      <c r="E2625" s="336"/>
      <c r="F2625" s="336"/>
      <c r="G2625" s="285" t="s">
        <v>673</v>
      </c>
      <c r="H2625" s="116" t="s">
        <v>666</v>
      </c>
      <c r="I2625" s="86">
        <v>24580</v>
      </c>
      <c r="J2625" s="86">
        <f>I2625/D2624</f>
        <v>2.41</v>
      </c>
      <c r="K2625" s="86">
        <v>2.41</v>
      </c>
      <c r="L2625" s="92"/>
      <c r="M2625" s="92"/>
      <c r="N2625" s="92"/>
      <c r="O2625" s="92"/>
      <c r="P2625" s="92"/>
      <c r="Q2625" s="92"/>
      <c r="R2625" s="92"/>
      <c r="S2625" s="92"/>
      <c r="T2625" s="92"/>
      <c r="U2625" s="92"/>
      <c r="V2625" s="92"/>
      <c r="W2625" s="92"/>
      <c r="X2625" s="92"/>
      <c r="Y2625" s="92"/>
      <c r="Z2625" s="92"/>
      <c r="AA2625" s="92"/>
      <c r="AB2625" s="92"/>
      <c r="AC2625" s="92"/>
      <c r="AD2625" s="92"/>
      <c r="AE2625" s="92"/>
      <c r="AF2625" s="92"/>
      <c r="AG2625" s="92"/>
      <c r="AH2625" s="92"/>
      <c r="AI2625" s="92"/>
      <c r="AJ2625" s="92"/>
      <c r="AK2625" s="92"/>
      <c r="AL2625" s="92"/>
      <c r="AM2625" s="92"/>
      <c r="AN2625" s="92"/>
      <c r="AO2625" s="92"/>
      <c r="AP2625" s="92"/>
      <c r="AQ2625" s="92"/>
      <c r="AR2625" s="92"/>
      <c r="AS2625" s="92"/>
      <c r="AT2625" s="92"/>
      <c r="AU2625" s="92"/>
      <c r="AV2625" s="92"/>
      <c r="AW2625" s="92"/>
      <c r="AX2625" s="92"/>
      <c r="AY2625" s="92"/>
      <c r="AZ2625" s="92"/>
      <c r="BA2625" s="92"/>
      <c r="BB2625" s="92"/>
      <c r="BC2625" s="92"/>
      <c r="BD2625" s="92"/>
      <c r="BE2625" s="92"/>
      <c r="BF2625" s="92"/>
      <c r="BG2625" s="92"/>
      <c r="BH2625" s="92"/>
      <c r="BI2625" s="92"/>
      <c r="BJ2625" s="92"/>
      <c r="BK2625" s="92"/>
      <c r="BL2625" s="92"/>
      <c r="BM2625" s="92"/>
      <c r="BN2625" s="92"/>
      <c r="BO2625" s="92"/>
      <c r="BP2625" s="92"/>
      <c r="BQ2625" s="92"/>
      <c r="BR2625" s="92"/>
      <c r="BS2625" s="92"/>
      <c r="BT2625" s="92"/>
      <c r="BU2625" s="92"/>
      <c r="BV2625" s="92"/>
      <c r="BW2625" s="92"/>
      <c r="BX2625" s="92"/>
      <c r="BY2625" s="92"/>
      <c r="BZ2625" s="92"/>
      <c r="CA2625" s="92"/>
      <c r="CB2625" s="92"/>
      <c r="CC2625" s="92"/>
      <c r="CD2625" s="92"/>
      <c r="CE2625" s="92"/>
      <c r="CF2625" s="92"/>
      <c r="CG2625" s="92"/>
      <c r="CH2625" s="92"/>
      <c r="CI2625" s="92"/>
      <c r="CJ2625" s="92"/>
      <c r="CK2625" s="92"/>
      <c r="CL2625" s="92"/>
      <c r="CM2625" s="92"/>
      <c r="CN2625" s="92"/>
      <c r="CO2625" s="92"/>
      <c r="CP2625" s="92"/>
      <c r="CQ2625" s="92"/>
      <c r="CR2625" s="92"/>
      <c r="CS2625" s="92"/>
      <c r="CT2625" s="92"/>
      <c r="CU2625" s="92"/>
      <c r="CV2625" s="92"/>
      <c r="CW2625" s="92"/>
      <c r="CX2625" s="92"/>
      <c r="CY2625" s="92"/>
      <c r="CZ2625" s="92"/>
      <c r="DA2625" s="92"/>
      <c r="DB2625" s="92"/>
      <c r="DC2625" s="92"/>
      <c r="DD2625" s="92"/>
      <c r="DE2625" s="92"/>
      <c r="DF2625" s="92"/>
      <c r="DG2625" s="92"/>
      <c r="DH2625" s="92"/>
      <c r="DI2625" s="92"/>
      <c r="DJ2625" s="92"/>
      <c r="DK2625" s="92"/>
      <c r="DL2625" s="92"/>
      <c r="DM2625" s="92"/>
      <c r="DN2625" s="92"/>
      <c r="DO2625" s="92"/>
      <c r="DP2625" s="92"/>
      <c r="DQ2625" s="92"/>
      <c r="DR2625" s="92"/>
      <c r="DS2625" s="92"/>
      <c r="DT2625" s="92"/>
      <c r="DU2625" s="92"/>
      <c r="DV2625" s="92"/>
      <c r="DW2625" s="92"/>
      <c r="DX2625" s="92"/>
      <c r="DY2625" s="92"/>
      <c r="DZ2625" s="92"/>
      <c r="EA2625" s="92"/>
      <c r="EB2625" s="92"/>
      <c r="EC2625" s="92"/>
      <c r="ED2625" s="92"/>
      <c r="EE2625" s="92"/>
      <c r="EF2625" s="92"/>
      <c r="EG2625" s="92"/>
      <c r="EH2625" s="92"/>
      <c r="EI2625" s="92"/>
      <c r="EJ2625" s="92"/>
      <c r="EK2625" s="92"/>
      <c r="EL2625" s="92"/>
      <c r="EM2625" s="92"/>
      <c r="EN2625" s="92"/>
      <c r="EO2625" s="92"/>
      <c r="EP2625" s="92"/>
      <c r="EQ2625" s="92"/>
      <c r="ER2625" s="92"/>
      <c r="ES2625" s="92"/>
      <c r="ET2625" s="92"/>
      <c r="EU2625" s="92"/>
      <c r="EV2625" s="92"/>
      <c r="EW2625" s="92"/>
      <c r="EX2625" s="92"/>
      <c r="EY2625" s="92"/>
      <c r="EZ2625" s="92"/>
      <c r="FA2625" s="92"/>
      <c r="FB2625" s="92"/>
      <c r="FC2625" s="92"/>
      <c r="FD2625" s="92"/>
      <c r="FE2625" s="92"/>
      <c r="FF2625" s="92"/>
      <c r="FG2625" s="92"/>
      <c r="FH2625" s="92"/>
      <c r="FI2625" s="92"/>
      <c r="FJ2625" s="92"/>
      <c r="FK2625" s="92"/>
      <c r="FL2625" s="92"/>
      <c r="FM2625" s="92"/>
      <c r="FN2625" s="92"/>
      <c r="FO2625" s="92"/>
      <c r="FP2625" s="92"/>
      <c r="FQ2625" s="92"/>
      <c r="FR2625" s="92"/>
      <c r="FS2625" s="92"/>
      <c r="FT2625" s="92"/>
      <c r="FU2625" s="92"/>
      <c r="FV2625" s="92"/>
      <c r="FW2625" s="92"/>
      <c r="FX2625" s="92"/>
      <c r="FY2625" s="92"/>
      <c r="FZ2625" s="92"/>
      <c r="GA2625" s="92"/>
      <c r="GB2625" s="92"/>
      <c r="GC2625" s="92"/>
      <c r="GD2625" s="92"/>
      <c r="GE2625" s="92"/>
      <c r="GF2625" s="92"/>
      <c r="GG2625" s="92"/>
      <c r="GH2625" s="92"/>
      <c r="GI2625" s="92"/>
      <c r="GJ2625" s="92"/>
      <c r="GK2625" s="92"/>
      <c r="GL2625" s="92"/>
      <c r="GM2625" s="92"/>
      <c r="GN2625" s="92"/>
      <c r="GO2625" s="92"/>
      <c r="GP2625" s="92"/>
      <c r="GQ2625" s="92"/>
      <c r="GR2625" s="92"/>
      <c r="GS2625" s="92"/>
      <c r="GT2625" s="92"/>
      <c r="GU2625" s="92"/>
      <c r="GV2625" s="92"/>
      <c r="GW2625" s="92"/>
      <c r="GX2625" s="92"/>
      <c r="GY2625" s="92"/>
      <c r="GZ2625" s="92"/>
      <c r="HA2625" s="92"/>
      <c r="HB2625" s="92"/>
      <c r="HC2625" s="92"/>
      <c r="HD2625" s="92"/>
      <c r="HE2625" s="92"/>
      <c r="HF2625" s="92"/>
      <c r="HG2625" s="92"/>
      <c r="HH2625" s="92"/>
      <c r="HI2625" s="92"/>
      <c r="HJ2625" s="92"/>
      <c r="HK2625" s="92"/>
      <c r="HL2625" s="92"/>
      <c r="HM2625" s="92"/>
      <c r="HN2625" s="92"/>
      <c r="HO2625" s="92"/>
      <c r="HP2625" s="92"/>
      <c r="HQ2625" s="92"/>
    </row>
    <row r="2626" spans="1:225" x14ac:dyDescent="0.35">
      <c r="A2626" s="336"/>
      <c r="B2626" s="336"/>
      <c r="C2626" s="349"/>
      <c r="D2626" s="280"/>
      <c r="E2626" s="336"/>
      <c r="F2626" s="336"/>
      <c r="G2626" s="286"/>
      <c r="H2626" s="116" t="s">
        <v>674</v>
      </c>
      <c r="I2626" s="86">
        <v>1708823</v>
      </c>
      <c r="J2626" s="86">
        <f>I2626/D2624-0.01</f>
        <v>167.24</v>
      </c>
      <c r="K2626" s="86">
        <v>167.25</v>
      </c>
      <c r="L2626" s="92"/>
      <c r="M2626" s="92"/>
      <c r="N2626" s="92"/>
      <c r="O2626" s="92"/>
      <c r="P2626" s="92"/>
      <c r="Q2626" s="92"/>
      <c r="R2626" s="92"/>
      <c r="S2626" s="92"/>
      <c r="T2626" s="92"/>
      <c r="U2626" s="92"/>
      <c r="V2626" s="92"/>
      <c r="W2626" s="92"/>
      <c r="X2626" s="92"/>
      <c r="Y2626" s="92"/>
      <c r="Z2626" s="92"/>
      <c r="AA2626" s="92"/>
      <c r="AB2626" s="92"/>
      <c r="AC2626" s="92"/>
      <c r="AD2626" s="92"/>
      <c r="AE2626" s="92"/>
      <c r="AF2626" s="92"/>
      <c r="AG2626" s="92"/>
      <c r="AH2626" s="92"/>
      <c r="AI2626" s="92"/>
      <c r="AJ2626" s="92"/>
      <c r="AK2626" s="92"/>
      <c r="AL2626" s="92"/>
      <c r="AM2626" s="92"/>
      <c r="AN2626" s="92"/>
      <c r="AO2626" s="92"/>
      <c r="AP2626" s="92"/>
      <c r="AQ2626" s="92"/>
      <c r="AR2626" s="92"/>
      <c r="AS2626" s="92"/>
      <c r="AT2626" s="92"/>
      <c r="AU2626" s="92"/>
      <c r="AV2626" s="92"/>
      <c r="AW2626" s="92"/>
      <c r="AX2626" s="92"/>
      <c r="AY2626" s="92"/>
      <c r="AZ2626" s="92"/>
      <c r="BA2626" s="92"/>
      <c r="BB2626" s="92"/>
      <c r="BC2626" s="92"/>
      <c r="BD2626" s="92"/>
      <c r="BE2626" s="92"/>
      <c r="BF2626" s="92"/>
      <c r="BG2626" s="92"/>
      <c r="BH2626" s="92"/>
      <c r="BI2626" s="92"/>
      <c r="BJ2626" s="92"/>
      <c r="BK2626" s="92"/>
      <c r="BL2626" s="92"/>
      <c r="BM2626" s="92"/>
      <c r="BN2626" s="92"/>
      <c r="BO2626" s="92"/>
      <c r="BP2626" s="92"/>
      <c r="BQ2626" s="92"/>
      <c r="BR2626" s="92"/>
      <c r="BS2626" s="92"/>
      <c r="BT2626" s="92"/>
      <c r="BU2626" s="92"/>
      <c r="BV2626" s="92"/>
      <c r="BW2626" s="92"/>
      <c r="BX2626" s="92"/>
      <c r="BY2626" s="92"/>
      <c r="BZ2626" s="92"/>
      <c r="CA2626" s="92"/>
      <c r="CB2626" s="92"/>
      <c r="CC2626" s="92"/>
      <c r="CD2626" s="92"/>
      <c r="CE2626" s="92"/>
      <c r="CF2626" s="92"/>
      <c r="CG2626" s="92"/>
      <c r="CH2626" s="92"/>
      <c r="CI2626" s="92"/>
      <c r="CJ2626" s="92"/>
      <c r="CK2626" s="92"/>
      <c r="CL2626" s="92"/>
      <c r="CM2626" s="92"/>
      <c r="CN2626" s="92"/>
      <c r="CO2626" s="92"/>
      <c r="CP2626" s="92"/>
      <c r="CQ2626" s="92"/>
      <c r="CR2626" s="92"/>
      <c r="CS2626" s="92"/>
      <c r="CT2626" s="92"/>
      <c r="CU2626" s="92"/>
      <c r="CV2626" s="92"/>
      <c r="CW2626" s="92"/>
      <c r="CX2626" s="92"/>
      <c r="CY2626" s="92"/>
      <c r="CZ2626" s="92"/>
      <c r="DA2626" s="92"/>
      <c r="DB2626" s="92"/>
      <c r="DC2626" s="92"/>
      <c r="DD2626" s="92"/>
      <c r="DE2626" s="92"/>
      <c r="DF2626" s="92"/>
      <c r="DG2626" s="92"/>
      <c r="DH2626" s="92"/>
      <c r="DI2626" s="92"/>
      <c r="DJ2626" s="92"/>
      <c r="DK2626" s="92"/>
      <c r="DL2626" s="92"/>
      <c r="DM2626" s="92"/>
      <c r="DN2626" s="92"/>
      <c r="DO2626" s="92"/>
      <c r="DP2626" s="92"/>
      <c r="DQ2626" s="92"/>
      <c r="DR2626" s="92"/>
      <c r="DS2626" s="92"/>
      <c r="DT2626" s="92"/>
      <c r="DU2626" s="92"/>
      <c r="DV2626" s="92"/>
      <c r="DW2626" s="92"/>
      <c r="DX2626" s="92"/>
      <c r="DY2626" s="92"/>
      <c r="DZ2626" s="92"/>
      <c r="EA2626" s="92"/>
      <c r="EB2626" s="92"/>
      <c r="EC2626" s="92"/>
      <c r="ED2626" s="92"/>
      <c r="EE2626" s="92"/>
      <c r="EF2626" s="92"/>
      <c r="EG2626" s="92"/>
      <c r="EH2626" s="92"/>
      <c r="EI2626" s="92"/>
      <c r="EJ2626" s="92"/>
      <c r="EK2626" s="92"/>
      <c r="EL2626" s="92"/>
      <c r="EM2626" s="92"/>
      <c r="EN2626" s="92"/>
      <c r="EO2626" s="92"/>
      <c r="EP2626" s="92"/>
      <c r="EQ2626" s="92"/>
      <c r="ER2626" s="92"/>
      <c r="ES2626" s="92"/>
      <c r="ET2626" s="92"/>
      <c r="EU2626" s="92"/>
      <c r="EV2626" s="92"/>
      <c r="EW2626" s="92"/>
      <c r="EX2626" s="92"/>
      <c r="EY2626" s="92"/>
      <c r="EZ2626" s="92"/>
      <c r="FA2626" s="92"/>
      <c r="FB2626" s="92"/>
      <c r="FC2626" s="92"/>
      <c r="FD2626" s="92"/>
      <c r="FE2626" s="92"/>
      <c r="FF2626" s="92"/>
      <c r="FG2626" s="92"/>
      <c r="FH2626" s="92"/>
      <c r="FI2626" s="92"/>
      <c r="FJ2626" s="92"/>
      <c r="FK2626" s="92"/>
      <c r="FL2626" s="92"/>
      <c r="FM2626" s="92"/>
      <c r="FN2626" s="92"/>
      <c r="FO2626" s="92"/>
      <c r="FP2626" s="92"/>
      <c r="FQ2626" s="92"/>
      <c r="FR2626" s="92"/>
      <c r="FS2626" s="92"/>
      <c r="FT2626" s="92"/>
      <c r="FU2626" s="92"/>
      <c r="FV2626" s="92"/>
      <c r="FW2626" s="92"/>
      <c r="FX2626" s="92"/>
      <c r="FY2626" s="92"/>
      <c r="FZ2626" s="92"/>
      <c r="GA2626" s="92"/>
      <c r="GB2626" s="92"/>
      <c r="GC2626" s="92"/>
      <c r="GD2626" s="92"/>
      <c r="GE2626" s="92"/>
      <c r="GF2626" s="92"/>
      <c r="GG2626" s="92"/>
      <c r="GH2626" s="92"/>
      <c r="GI2626" s="92"/>
      <c r="GJ2626" s="92"/>
      <c r="GK2626" s="92"/>
      <c r="GL2626" s="92"/>
      <c r="GM2626" s="92"/>
      <c r="GN2626" s="92"/>
      <c r="GO2626" s="92"/>
      <c r="GP2626" s="92"/>
      <c r="GQ2626" s="92"/>
      <c r="GR2626" s="92"/>
      <c r="GS2626" s="92"/>
      <c r="GT2626" s="92"/>
      <c r="GU2626" s="92"/>
      <c r="GV2626" s="92"/>
      <c r="GW2626" s="92"/>
      <c r="GX2626" s="92"/>
      <c r="GY2626" s="92"/>
      <c r="GZ2626" s="92"/>
      <c r="HA2626" s="92"/>
      <c r="HB2626" s="92"/>
      <c r="HC2626" s="92"/>
      <c r="HD2626" s="92"/>
      <c r="HE2626" s="92"/>
      <c r="HF2626" s="92"/>
      <c r="HG2626" s="92"/>
      <c r="HH2626" s="92"/>
      <c r="HI2626" s="92"/>
      <c r="HJ2626" s="92"/>
      <c r="HK2626" s="92"/>
      <c r="HL2626" s="92"/>
      <c r="HM2626" s="92"/>
      <c r="HN2626" s="92"/>
      <c r="HO2626" s="92"/>
      <c r="HP2626" s="92"/>
      <c r="HQ2626" s="92"/>
    </row>
    <row r="2627" spans="1:225" x14ac:dyDescent="0.35">
      <c r="A2627" s="336"/>
      <c r="B2627" s="336"/>
      <c r="C2627" s="349"/>
      <c r="D2627" s="280"/>
      <c r="E2627" s="336"/>
      <c r="F2627" s="336"/>
      <c r="G2627" s="287"/>
      <c r="H2627" s="116" t="s">
        <v>76</v>
      </c>
      <c r="I2627" s="86">
        <v>0</v>
      </c>
      <c r="J2627" s="86">
        <v>0</v>
      </c>
      <c r="K2627" s="86">
        <v>3.57</v>
      </c>
      <c r="L2627" s="92"/>
      <c r="M2627" s="92"/>
      <c r="N2627" s="92"/>
      <c r="O2627" s="92"/>
      <c r="P2627" s="92"/>
      <c r="Q2627" s="92"/>
      <c r="R2627" s="92"/>
      <c r="S2627" s="92"/>
      <c r="T2627" s="92"/>
      <c r="U2627" s="92"/>
      <c r="V2627" s="92"/>
      <c r="W2627" s="92"/>
      <c r="X2627" s="92"/>
      <c r="Y2627" s="92"/>
      <c r="Z2627" s="92"/>
      <c r="AA2627" s="92"/>
      <c r="AB2627" s="92"/>
      <c r="AC2627" s="92"/>
      <c r="AD2627" s="92"/>
      <c r="AE2627" s="92"/>
      <c r="AF2627" s="92"/>
      <c r="AG2627" s="92"/>
      <c r="AH2627" s="92"/>
      <c r="AI2627" s="92"/>
      <c r="AJ2627" s="92"/>
      <c r="AK2627" s="92"/>
      <c r="AL2627" s="92"/>
      <c r="AM2627" s="92"/>
      <c r="AN2627" s="92"/>
      <c r="AO2627" s="92"/>
      <c r="AP2627" s="92"/>
      <c r="AQ2627" s="92"/>
      <c r="AR2627" s="92"/>
      <c r="AS2627" s="92"/>
      <c r="AT2627" s="92"/>
      <c r="AU2627" s="92"/>
      <c r="AV2627" s="92"/>
      <c r="AW2627" s="92"/>
      <c r="AX2627" s="92"/>
      <c r="AY2627" s="92"/>
      <c r="AZ2627" s="92"/>
      <c r="BA2627" s="92"/>
      <c r="BB2627" s="92"/>
      <c r="BC2627" s="92"/>
      <c r="BD2627" s="92"/>
      <c r="BE2627" s="92"/>
      <c r="BF2627" s="92"/>
      <c r="BG2627" s="92"/>
      <c r="BH2627" s="92"/>
      <c r="BI2627" s="92"/>
      <c r="BJ2627" s="92"/>
      <c r="BK2627" s="92"/>
      <c r="BL2627" s="92"/>
      <c r="BM2627" s="92"/>
      <c r="BN2627" s="92"/>
      <c r="BO2627" s="92"/>
      <c r="BP2627" s="92"/>
      <c r="BQ2627" s="92"/>
      <c r="BR2627" s="92"/>
      <c r="BS2627" s="92"/>
      <c r="BT2627" s="92"/>
      <c r="BU2627" s="92"/>
      <c r="BV2627" s="92"/>
      <c r="BW2627" s="92"/>
      <c r="BX2627" s="92"/>
      <c r="BY2627" s="92"/>
      <c r="BZ2627" s="92"/>
      <c r="CA2627" s="92"/>
      <c r="CB2627" s="92"/>
      <c r="CC2627" s="92"/>
      <c r="CD2627" s="92"/>
      <c r="CE2627" s="92"/>
      <c r="CF2627" s="92"/>
      <c r="CG2627" s="92"/>
      <c r="CH2627" s="92"/>
      <c r="CI2627" s="92"/>
      <c r="CJ2627" s="92"/>
      <c r="CK2627" s="92"/>
      <c r="CL2627" s="92"/>
      <c r="CM2627" s="92"/>
      <c r="CN2627" s="92"/>
      <c r="CO2627" s="92"/>
      <c r="CP2627" s="92"/>
      <c r="CQ2627" s="92"/>
      <c r="CR2627" s="92"/>
      <c r="CS2627" s="92"/>
      <c r="CT2627" s="92"/>
      <c r="CU2627" s="92"/>
      <c r="CV2627" s="92"/>
      <c r="CW2627" s="92"/>
      <c r="CX2627" s="92"/>
      <c r="CY2627" s="92"/>
      <c r="CZ2627" s="92"/>
      <c r="DA2627" s="92"/>
      <c r="DB2627" s="92"/>
      <c r="DC2627" s="92"/>
      <c r="DD2627" s="92"/>
      <c r="DE2627" s="92"/>
      <c r="DF2627" s="92"/>
      <c r="DG2627" s="92"/>
      <c r="DH2627" s="92"/>
      <c r="DI2627" s="92"/>
      <c r="DJ2627" s="92"/>
      <c r="DK2627" s="92"/>
      <c r="DL2627" s="92"/>
      <c r="DM2627" s="92"/>
      <c r="DN2627" s="92"/>
      <c r="DO2627" s="92"/>
      <c r="DP2627" s="92"/>
      <c r="DQ2627" s="92"/>
      <c r="DR2627" s="92"/>
      <c r="DS2627" s="92"/>
      <c r="DT2627" s="92"/>
      <c r="DU2627" s="92"/>
      <c r="DV2627" s="92"/>
      <c r="DW2627" s="92"/>
      <c r="DX2627" s="92"/>
      <c r="DY2627" s="92"/>
      <c r="DZ2627" s="92"/>
      <c r="EA2627" s="92"/>
      <c r="EB2627" s="92"/>
      <c r="EC2627" s="92"/>
      <c r="ED2627" s="92"/>
      <c r="EE2627" s="92"/>
      <c r="EF2627" s="92"/>
      <c r="EG2627" s="92"/>
      <c r="EH2627" s="92"/>
      <c r="EI2627" s="92"/>
      <c r="EJ2627" s="92"/>
      <c r="EK2627" s="92"/>
      <c r="EL2627" s="92"/>
      <c r="EM2627" s="92"/>
      <c r="EN2627" s="92"/>
      <c r="EO2627" s="92"/>
      <c r="EP2627" s="92"/>
      <c r="EQ2627" s="92"/>
      <c r="ER2627" s="92"/>
      <c r="ES2627" s="92"/>
      <c r="ET2627" s="92"/>
      <c r="EU2627" s="92"/>
      <c r="EV2627" s="92"/>
      <c r="EW2627" s="92"/>
      <c r="EX2627" s="92"/>
      <c r="EY2627" s="92"/>
      <c r="EZ2627" s="92"/>
      <c r="FA2627" s="92"/>
      <c r="FB2627" s="92"/>
      <c r="FC2627" s="92"/>
      <c r="FD2627" s="92"/>
      <c r="FE2627" s="92"/>
      <c r="FF2627" s="92"/>
      <c r="FG2627" s="92"/>
      <c r="FH2627" s="92"/>
      <c r="FI2627" s="92"/>
      <c r="FJ2627" s="92"/>
      <c r="FK2627" s="92"/>
      <c r="FL2627" s="92"/>
      <c r="FM2627" s="92"/>
      <c r="FN2627" s="92"/>
      <c r="FO2627" s="92"/>
      <c r="FP2627" s="92"/>
      <c r="FQ2627" s="92"/>
      <c r="FR2627" s="92"/>
      <c r="FS2627" s="92"/>
      <c r="FT2627" s="92"/>
      <c r="FU2627" s="92"/>
      <c r="FV2627" s="92"/>
      <c r="FW2627" s="92"/>
      <c r="FX2627" s="92"/>
      <c r="FY2627" s="92"/>
      <c r="FZ2627" s="92"/>
      <c r="GA2627" s="92"/>
      <c r="GB2627" s="92"/>
      <c r="GC2627" s="92"/>
      <c r="GD2627" s="92"/>
      <c r="GE2627" s="92"/>
      <c r="GF2627" s="92"/>
      <c r="GG2627" s="92"/>
      <c r="GH2627" s="92"/>
      <c r="GI2627" s="92"/>
      <c r="GJ2627" s="92"/>
      <c r="GK2627" s="92"/>
      <c r="GL2627" s="92"/>
      <c r="GM2627" s="92"/>
      <c r="GN2627" s="92"/>
      <c r="GO2627" s="92"/>
      <c r="GP2627" s="92"/>
      <c r="GQ2627" s="92"/>
      <c r="GR2627" s="92"/>
      <c r="GS2627" s="92"/>
      <c r="GT2627" s="92"/>
      <c r="GU2627" s="92"/>
      <c r="GV2627" s="92"/>
      <c r="GW2627" s="92"/>
      <c r="GX2627" s="92"/>
      <c r="GY2627" s="92"/>
      <c r="GZ2627" s="92"/>
      <c r="HA2627" s="92"/>
      <c r="HB2627" s="92"/>
      <c r="HC2627" s="92"/>
      <c r="HD2627" s="92"/>
      <c r="HE2627" s="92"/>
      <c r="HF2627" s="92"/>
      <c r="HG2627" s="92"/>
      <c r="HH2627" s="92"/>
      <c r="HI2627" s="92"/>
      <c r="HJ2627" s="92"/>
      <c r="HK2627" s="92"/>
      <c r="HL2627" s="92"/>
      <c r="HM2627" s="92"/>
      <c r="HN2627" s="92"/>
      <c r="HO2627" s="92"/>
      <c r="HP2627" s="92"/>
      <c r="HQ2627" s="92"/>
    </row>
    <row r="2628" spans="1:225" ht="31" x14ac:dyDescent="0.35">
      <c r="A2628" s="336"/>
      <c r="B2628" s="336"/>
      <c r="C2628" s="349"/>
      <c r="D2628" s="280"/>
      <c r="E2628" s="336"/>
      <c r="F2628" s="336"/>
      <c r="G2628" s="285" t="s">
        <v>679</v>
      </c>
      <c r="H2628" s="116" t="s">
        <v>666</v>
      </c>
      <c r="I2628" s="86">
        <v>24580</v>
      </c>
      <c r="J2628" s="86">
        <f>I2628/D2624</f>
        <v>2.41</v>
      </c>
      <c r="K2628" s="86">
        <v>2.41</v>
      </c>
      <c r="L2628" s="92"/>
      <c r="M2628" s="92"/>
      <c r="N2628" s="92"/>
      <c r="O2628" s="92"/>
      <c r="P2628" s="92"/>
      <c r="Q2628" s="92"/>
      <c r="R2628" s="92"/>
      <c r="S2628" s="92"/>
      <c r="T2628" s="92"/>
      <c r="U2628" s="92"/>
      <c r="V2628" s="92"/>
      <c r="W2628" s="92"/>
      <c r="X2628" s="92"/>
      <c r="Y2628" s="92"/>
      <c r="Z2628" s="92"/>
      <c r="AA2628" s="92"/>
      <c r="AB2628" s="92"/>
      <c r="AC2628" s="92"/>
      <c r="AD2628" s="92"/>
      <c r="AE2628" s="92"/>
      <c r="AF2628" s="92"/>
      <c r="AG2628" s="92"/>
      <c r="AH2628" s="92"/>
      <c r="AI2628" s="92"/>
      <c r="AJ2628" s="92"/>
      <c r="AK2628" s="92"/>
      <c r="AL2628" s="92"/>
      <c r="AM2628" s="92"/>
      <c r="AN2628" s="92"/>
      <c r="AO2628" s="92"/>
      <c r="AP2628" s="92"/>
      <c r="AQ2628" s="92"/>
      <c r="AR2628" s="92"/>
      <c r="AS2628" s="92"/>
      <c r="AT2628" s="92"/>
      <c r="AU2628" s="92"/>
      <c r="AV2628" s="92"/>
      <c r="AW2628" s="92"/>
      <c r="AX2628" s="92"/>
      <c r="AY2628" s="92"/>
      <c r="AZ2628" s="92"/>
      <c r="BA2628" s="92"/>
      <c r="BB2628" s="92"/>
      <c r="BC2628" s="92"/>
      <c r="BD2628" s="92"/>
      <c r="BE2628" s="92"/>
      <c r="BF2628" s="92"/>
      <c r="BG2628" s="92"/>
      <c r="BH2628" s="92"/>
      <c r="BI2628" s="92"/>
      <c r="BJ2628" s="92"/>
      <c r="BK2628" s="92"/>
      <c r="BL2628" s="92"/>
      <c r="BM2628" s="92"/>
      <c r="BN2628" s="92"/>
      <c r="BO2628" s="92"/>
      <c r="BP2628" s="92"/>
      <c r="BQ2628" s="92"/>
      <c r="BR2628" s="92"/>
      <c r="BS2628" s="92"/>
      <c r="BT2628" s="92"/>
      <c r="BU2628" s="92"/>
      <c r="BV2628" s="92"/>
      <c r="BW2628" s="92"/>
      <c r="BX2628" s="92"/>
      <c r="BY2628" s="92"/>
      <c r="BZ2628" s="92"/>
      <c r="CA2628" s="92"/>
      <c r="CB2628" s="92"/>
      <c r="CC2628" s="92"/>
      <c r="CD2628" s="92"/>
      <c r="CE2628" s="92"/>
      <c r="CF2628" s="92"/>
      <c r="CG2628" s="92"/>
      <c r="CH2628" s="92"/>
      <c r="CI2628" s="92"/>
      <c r="CJ2628" s="92"/>
      <c r="CK2628" s="92"/>
      <c r="CL2628" s="92"/>
      <c r="CM2628" s="92"/>
      <c r="CN2628" s="92"/>
      <c r="CO2628" s="92"/>
      <c r="CP2628" s="92"/>
      <c r="CQ2628" s="92"/>
      <c r="CR2628" s="92"/>
      <c r="CS2628" s="92"/>
      <c r="CT2628" s="92"/>
      <c r="CU2628" s="92"/>
      <c r="CV2628" s="92"/>
      <c r="CW2628" s="92"/>
      <c r="CX2628" s="92"/>
      <c r="CY2628" s="92"/>
      <c r="CZ2628" s="92"/>
      <c r="DA2628" s="92"/>
      <c r="DB2628" s="92"/>
      <c r="DC2628" s="92"/>
      <c r="DD2628" s="92"/>
      <c r="DE2628" s="92"/>
      <c r="DF2628" s="92"/>
      <c r="DG2628" s="92"/>
      <c r="DH2628" s="92"/>
      <c r="DI2628" s="92"/>
      <c r="DJ2628" s="92"/>
      <c r="DK2628" s="92"/>
      <c r="DL2628" s="92"/>
      <c r="DM2628" s="92"/>
      <c r="DN2628" s="92"/>
      <c r="DO2628" s="92"/>
      <c r="DP2628" s="92"/>
      <c r="DQ2628" s="92"/>
      <c r="DR2628" s="92"/>
      <c r="DS2628" s="92"/>
      <c r="DT2628" s="92"/>
      <c r="DU2628" s="92"/>
      <c r="DV2628" s="92"/>
      <c r="DW2628" s="92"/>
      <c r="DX2628" s="92"/>
      <c r="DY2628" s="92"/>
      <c r="DZ2628" s="92"/>
      <c r="EA2628" s="92"/>
      <c r="EB2628" s="92"/>
      <c r="EC2628" s="92"/>
      <c r="ED2628" s="92"/>
      <c r="EE2628" s="92"/>
      <c r="EF2628" s="92"/>
      <c r="EG2628" s="92"/>
      <c r="EH2628" s="92"/>
      <c r="EI2628" s="92"/>
      <c r="EJ2628" s="92"/>
      <c r="EK2628" s="92"/>
      <c r="EL2628" s="92"/>
      <c r="EM2628" s="92"/>
      <c r="EN2628" s="92"/>
      <c r="EO2628" s="92"/>
      <c r="EP2628" s="92"/>
      <c r="EQ2628" s="92"/>
      <c r="ER2628" s="92"/>
      <c r="ES2628" s="92"/>
      <c r="ET2628" s="92"/>
      <c r="EU2628" s="92"/>
      <c r="EV2628" s="92"/>
      <c r="EW2628" s="92"/>
      <c r="EX2628" s="92"/>
      <c r="EY2628" s="92"/>
      <c r="EZ2628" s="92"/>
      <c r="FA2628" s="92"/>
      <c r="FB2628" s="92"/>
      <c r="FC2628" s="92"/>
      <c r="FD2628" s="92"/>
      <c r="FE2628" s="92"/>
      <c r="FF2628" s="92"/>
      <c r="FG2628" s="92"/>
      <c r="FH2628" s="92"/>
      <c r="FI2628" s="92"/>
      <c r="FJ2628" s="92"/>
      <c r="FK2628" s="92"/>
      <c r="FL2628" s="92"/>
      <c r="FM2628" s="92"/>
      <c r="FN2628" s="92"/>
      <c r="FO2628" s="92"/>
      <c r="FP2628" s="92"/>
      <c r="FQ2628" s="92"/>
      <c r="FR2628" s="92"/>
      <c r="FS2628" s="92"/>
      <c r="FT2628" s="92"/>
      <c r="FU2628" s="92"/>
      <c r="FV2628" s="92"/>
      <c r="FW2628" s="92"/>
      <c r="FX2628" s="92"/>
      <c r="FY2628" s="92"/>
      <c r="FZ2628" s="92"/>
      <c r="GA2628" s="92"/>
      <c r="GB2628" s="92"/>
      <c r="GC2628" s="92"/>
      <c r="GD2628" s="92"/>
      <c r="GE2628" s="92"/>
      <c r="GF2628" s="92"/>
      <c r="GG2628" s="92"/>
      <c r="GH2628" s="92"/>
      <c r="GI2628" s="92"/>
      <c r="GJ2628" s="92"/>
      <c r="GK2628" s="92"/>
      <c r="GL2628" s="92"/>
      <c r="GM2628" s="92"/>
      <c r="GN2628" s="92"/>
      <c r="GO2628" s="92"/>
      <c r="GP2628" s="92"/>
      <c r="GQ2628" s="92"/>
      <c r="GR2628" s="92"/>
      <c r="GS2628" s="92"/>
      <c r="GT2628" s="92"/>
      <c r="GU2628" s="92"/>
      <c r="GV2628" s="92"/>
      <c r="GW2628" s="92"/>
      <c r="GX2628" s="92"/>
      <c r="GY2628" s="92"/>
      <c r="GZ2628" s="92"/>
      <c r="HA2628" s="92"/>
      <c r="HB2628" s="92"/>
      <c r="HC2628" s="92"/>
      <c r="HD2628" s="92"/>
      <c r="HE2628" s="92"/>
      <c r="HF2628" s="92"/>
      <c r="HG2628" s="92"/>
      <c r="HH2628" s="92"/>
      <c r="HI2628" s="92"/>
      <c r="HJ2628" s="92"/>
      <c r="HK2628" s="92"/>
      <c r="HL2628" s="92"/>
      <c r="HM2628" s="92"/>
      <c r="HN2628" s="92"/>
      <c r="HO2628" s="92"/>
      <c r="HP2628" s="92"/>
      <c r="HQ2628" s="92"/>
    </row>
    <row r="2629" spans="1:225" x14ac:dyDescent="0.35">
      <c r="A2629" s="336"/>
      <c r="B2629" s="336"/>
      <c r="C2629" s="349"/>
      <c r="D2629" s="280"/>
      <c r="E2629" s="336"/>
      <c r="F2629" s="336"/>
      <c r="G2629" s="286"/>
      <c r="H2629" s="116" t="s">
        <v>674</v>
      </c>
      <c r="I2629" s="86">
        <v>1708823</v>
      </c>
      <c r="J2629" s="86">
        <f>I2629/D2624</f>
        <v>167.25</v>
      </c>
      <c r="K2629" s="86">
        <v>167.25</v>
      </c>
      <c r="L2629" s="92"/>
      <c r="M2629" s="92"/>
      <c r="N2629" s="92"/>
      <c r="O2629" s="92"/>
      <c r="P2629" s="92"/>
      <c r="Q2629" s="92"/>
      <c r="R2629" s="92"/>
      <c r="S2629" s="92"/>
      <c r="T2629" s="92"/>
      <c r="U2629" s="92"/>
      <c r="V2629" s="92"/>
      <c r="W2629" s="92"/>
      <c r="X2629" s="92"/>
      <c r="Y2629" s="92"/>
      <c r="Z2629" s="92"/>
      <c r="AA2629" s="92"/>
      <c r="AB2629" s="92"/>
      <c r="AC2629" s="92"/>
      <c r="AD2629" s="92"/>
      <c r="AE2629" s="92"/>
      <c r="AF2629" s="92"/>
      <c r="AG2629" s="92"/>
      <c r="AH2629" s="92"/>
      <c r="AI2629" s="92"/>
      <c r="AJ2629" s="92"/>
      <c r="AK2629" s="92"/>
      <c r="AL2629" s="92"/>
      <c r="AM2629" s="92"/>
      <c r="AN2629" s="92"/>
      <c r="AO2629" s="92"/>
      <c r="AP2629" s="92"/>
      <c r="AQ2629" s="92"/>
      <c r="AR2629" s="92"/>
      <c r="AS2629" s="92"/>
      <c r="AT2629" s="92"/>
      <c r="AU2629" s="92"/>
      <c r="AV2629" s="92"/>
      <c r="AW2629" s="92"/>
      <c r="AX2629" s="92"/>
      <c r="AY2629" s="92"/>
      <c r="AZ2629" s="92"/>
      <c r="BA2629" s="92"/>
      <c r="BB2629" s="92"/>
      <c r="BC2629" s="92"/>
      <c r="BD2629" s="92"/>
      <c r="BE2629" s="92"/>
      <c r="BF2629" s="92"/>
      <c r="BG2629" s="92"/>
      <c r="BH2629" s="92"/>
      <c r="BI2629" s="92"/>
      <c r="BJ2629" s="92"/>
      <c r="BK2629" s="92"/>
      <c r="BL2629" s="92"/>
      <c r="BM2629" s="92"/>
      <c r="BN2629" s="92"/>
      <c r="BO2629" s="92"/>
      <c r="BP2629" s="92"/>
      <c r="BQ2629" s="92"/>
      <c r="BR2629" s="92"/>
      <c r="BS2629" s="92"/>
      <c r="BT2629" s="92"/>
      <c r="BU2629" s="92"/>
      <c r="BV2629" s="92"/>
      <c r="BW2629" s="92"/>
      <c r="BX2629" s="92"/>
      <c r="BY2629" s="92"/>
      <c r="BZ2629" s="92"/>
      <c r="CA2629" s="92"/>
      <c r="CB2629" s="92"/>
      <c r="CC2629" s="92"/>
      <c r="CD2629" s="92"/>
      <c r="CE2629" s="92"/>
      <c r="CF2629" s="92"/>
      <c r="CG2629" s="92"/>
      <c r="CH2629" s="92"/>
      <c r="CI2629" s="92"/>
      <c r="CJ2629" s="92"/>
      <c r="CK2629" s="92"/>
      <c r="CL2629" s="92"/>
      <c r="CM2629" s="92"/>
      <c r="CN2629" s="92"/>
      <c r="CO2629" s="92"/>
      <c r="CP2629" s="92"/>
      <c r="CQ2629" s="92"/>
      <c r="CR2629" s="92"/>
      <c r="CS2629" s="92"/>
      <c r="CT2629" s="92"/>
      <c r="CU2629" s="92"/>
      <c r="CV2629" s="92"/>
      <c r="CW2629" s="92"/>
      <c r="CX2629" s="92"/>
      <c r="CY2629" s="92"/>
      <c r="CZ2629" s="92"/>
      <c r="DA2629" s="92"/>
      <c r="DB2629" s="92"/>
      <c r="DC2629" s="92"/>
      <c r="DD2629" s="92"/>
      <c r="DE2629" s="92"/>
      <c r="DF2629" s="92"/>
      <c r="DG2629" s="92"/>
      <c r="DH2629" s="92"/>
      <c r="DI2629" s="92"/>
      <c r="DJ2629" s="92"/>
      <c r="DK2629" s="92"/>
      <c r="DL2629" s="92"/>
      <c r="DM2629" s="92"/>
      <c r="DN2629" s="92"/>
      <c r="DO2629" s="92"/>
      <c r="DP2629" s="92"/>
      <c r="DQ2629" s="92"/>
      <c r="DR2629" s="92"/>
      <c r="DS2629" s="92"/>
      <c r="DT2629" s="92"/>
      <c r="DU2629" s="92"/>
      <c r="DV2629" s="92"/>
      <c r="DW2629" s="92"/>
      <c r="DX2629" s="92"/>
      <c r="DY2629" s="92"/>
      <c r="DZ2629" s="92"/>
      <c r="EA2629" s="92"/>
      <c r="EB2629" s="92"/>
      <c r="EC2629" s="92"/>
      <c r="ED2629" s="92"/>
      <c r="EE2629" s="92"/>
      <c r="EF2629" s="92"/>
      <c r="EG2629" s="92"/>
      <c r="EH2629" s="92"/>
      <c r="EI2629" s="92"/>
      <c r="EJ2629" s="92"/>
      <c r="EK2629" s="92"/>
      <c r="EL2629" s="92"/>
      <c r="EM2629" s="92"/>
      <c r="EN2629" s="92"/>
      <c r="EO2629" s="92"/>
      <c r="EP2629" s="92"/>
      <c r="EQ2629" s="92"/>
      <c r="ER2629" s="92"/>
      <c r="ES2629" s="92"/>
      <c r="ET2629" s="92"/>
      <c r="EU2629" s="92"/>
      <c r="EV2629" s="92"/>
      <c r="EW2629" s="92"/>
      <c r="EX2629" s="92"/>
      <c r="EY2629" s="92"/>
      <c r="EZ2629" s="92"/>
      <c r="FA2629" s="92"/>
      <c r="FB2629" s="92"/>
      <c r="FC2629" s="92"/>
      <c r="FD2629" s="92"/>
      <c r="FE2629" s="92"/>
      <c r="FF2629" s="92"/>
      <c r="FG2629" s="92"/>
      <c r="FH2629" s="92"/>
      <c r="FI2629" s="92"/>
      <c r="FJ2629" s="92"/>
      <c r="FK2629" s="92"/>
      <c r="FL2629" s="92"/>
      <c r="FM2629" s="92"/>
      <c r="FN2629" s="92"/>
      <c r="FO2629" s="92"/>
      <c r="FP2629" s="92"/>
      <c r="FQ2629" s="92"/>
      <c r="FR2629" s="92"/>
      <c r="FS2629" s="92"/>
      <c r="FT2629" s="92"/>
      <c r="FU2629" s="92"/>
      <c r="FV2629" s="92"/>
      <c r="FW2629" s="92"/>
      <c r="FX2629" s="92"/>
      <c r="FY2629" s="92"/>
      <c r="FZ2629" s="92"/>
      <c r="GA2629" s="92"/>
      <c r="GB2629" s="92"/>
      <c r="GC2629" s="92"/>
      <c r="GD2629" s="92"/>
      <c r="GE2629" s="92"/>
      <c r="GF2629" s="92"/>
      <c r="GG2629" s="92"/>
      <c r="GH2629" s="92"/>
      <c r="GI2629" s="92"/>
      <c r="GJ2629" s="92"/>
      <c r="GK2629" s="92"/>
      <c r="GL2629" s="92"/>
      <c r="GM2629" s="92"/>
      <c r="GN2629" s="92"/>
      <c r="GO2629" s="92"/>
      <c r="GP2629" s="92"/>
      <c r="GQ2629" s="92"/>
      <c r="GR2629" s="92"/>
      <c r="GS2629" s="92"/>
      <c r="GT2629" s="92"/>
      <c r="GU2629" s="92"/>
      <c r="GV2629" s="92"/>
      <c r="GW2629" s="92"/>
      <c r="GX2629" s="92"/>
      <c r="GY2629" s="92"/>
      <c r="GZ2629" s="92"/>
      <c r="HA2629" s="92"/>
      <c r="HB2629" s="92"/>
      <c r="HC2629" s="92"/>
      <c r="HD2629" s="92"/>
      <c r="HE2629" s="92"/>
      <c r="HF2629" s="92"/>
      <c r="HG2629" s="92"/>
      <c r="HH2629" s="92"/>
      <c r="HI2629" s="92"/>
      <c r="HJ2629" s="92"/>
      <c r="HK2629" s="92"/>
      <c r="HL2629" s="92"/>
      <c r="HM2629" s="92"/>
      <c r="HN2629" s="92"/>
      <c r="HO2629" s="92"/>
      <c r="HP2629" s="92"/>
      <c r="HQ2629" s="92"/>
    </row>
    <row r="2630" spans="1:225" x14ac:dyDescent="0.35">
      <c r="A2630" s="336"/>
      <c r="B2630" s="336"/>
      <c r="C2630" s="349"/>
      <c r="D2630" s="280"/>
      <c r="E2630" s="336"/>
      <c r="F2630" s="336"/>
      <c r="G2630" s="287"/>
      <c r="H2630" s="116" t="s">
        <v>76</v>
      </c>
      <c r="I2630" s="86">
        <v>0</v>
      </c>
      <c r="J2630" s="86">
        <v>0</v>
      </c>
      <c r="K2630" s="86">
        <v>3.57</v>
      </c>
      <c r="L2630" s="92"/>
      <c r="M2630" s="92"/>
      <c r="N2630" s="92"/>
      <c r="O2630" s="92"/>
      <c r="P2630" s="92"/>
      <c r="Q2630" s="92"/>
      <c r="R2630" s="92"/>
      <c r="S2630" s="92"/>
      <c r="T2630" s="92"/>
      <c r="U2630" s="92"/>
      <c r="V2630" s="92"/>
      <c r="W2630" s="92"/>
      <c r="X2630" s="92"/>
      <c r="Y2630" s="92"/>
      <c r="Z2630" s="92"/>
      <c r="AA2630" s="92"/>
      <c r="AB2630" s="92"/>
      <c r="AC2630" s="92"/>
      <c r="AD2630" s="92"/>
      <c r="AE2630" s="92"/>
      <c r="AF2630" s="92"/>
      <c r="AG2630" s="92"/>
      <c r="AH2630" s="92"/>
      <c r="AI2630" s="92"/>
      <c r="AJ2630" s="92"/>
      <c r="AK2630" s="92"/>
      <c r="AL2630" s="92"/>
      <c r="AM2630" s="92"/>
      <c r="AN2630" s="92"/>
      <c r="AO2630" s="92"/>
      <c r="AP2630" s="92"/>
      <c r="AQ2630" s="92"/>
      <c r="AR2630" s="92"/>
      <c r="AS2630" s="92"/>
      <c r="AT2630" s="92"/>
      <c r="AU2630" s="92"/>
      <c r="AV2630" s="92"/>
      <c r="AW2630" s="92"/>
      <c r="AX2630" s="92"/>
      <c r="AY2630" s="92"/>
      <c r="AZ2630" s="92"/>
      <c r="BA2630" s="92"/>
      <c r="BB2630" s="92"/>
      <c r="BC2630" s="92"/>
      <c r="BD2630" s="92"/>
      <c r="BE2630" s="92"/>
      <c r="BF2630" s="92"/>
      <c r="BG2630" s="92"/>
      <c r="BH2630" s="92"/>
      <c r="BI2630" s="92"/>
      <c r="BJ2630" s="92"/>
      <c r="BK2630" s="92"/>
      <c r="BL2630" s="92"/>
      <c r="BM2630" s="92"/>
      <c r="BN2630" s="92"/>
      <c r="BO2630" s="92"/>
      <c r="BP2630" s="92"/>
      <c r="BQ2630" s="92"/>
      <c r="BR2630" s="92"/>
      <c r="BS2630" s="92"/>
      <c r="BT2630" s="92"/>
      <c r="BU2630" s="92"/>
      <c r="BV2630" s="92"/>
      <c r="BW2630" s="92"/>
      <c r="BX2630" s="92"/>
      <c r="BY2630" s="92"/>
      <c r="BZ2630" s="92"/>
      <c r="CA2630" s="92"/>
      <c r="CB2630" s="92"/>
      <c r="CC2630" s="92"/>
      <c r="CD2630" s="92"/>
      <c r="CE2630" s="92"/>
      <c r="CF2630" s="92"/>
      <c r="CG2630" s="92"/>
      <c r="CH2630" s="92"/>
      <c r="CI2630" s="92"/>
      <c r="CJ2630" s="92"/>
      <c r="CK2630" s="92"/>
      <c r="CL2630" s="92"/>
      <c r="CM2630" s="92"/>
      <c r="CN2630" s="92"/>
      <c r="CO2630" s="92"/>
      <c r="CP2630" s="92"/>
      <c r="CQ2630" s="92"/>
      <c r="CR2630" s="92"/>
      <c r="CS2630" s="92"/>
      <c r="CT2630" s="92"/>
      <c r="CU2630" s="92"/>
      <c r="CV2630" s="92"/>
      <c r="CW2630" s="92"/>
      <c r="CX2630" s="92"/>
      <c r="CY2630" s="92"/>
      <c r="CZ2630" s="92"/>
      <c r="DA2630" s="92"/>
      <c r="DB2630" s="92"/>
      <c r="DC2630" s="92"/>
      <c r="DD2630" s="92"/>
      <c r="DE2630" s="92"/>
      <c r="DF2630" s="92"/>
      <c r="DG2630" s="92"/>
      <c r="DH2630" s="92"/>
      <c r="DI2630" s="92"/>
      <c r="DJ2630" s="92"/>
      <c r="DK2630" s="92"/>
      <c r="DL2630" s="92"/>
      <c r="DM2630" s="92"/>
      <c r="DN2630" s="92"/>
      <c r="DO2630" s="92"/>
      <c r="DP2630" s="92"/>
      <c r="DQ2630" s="92"/>
      <c r="DR2630" s="92"/>
      <c r="DS2630" s="92"/>
      <c r="DT2630" s="92"/>
      <c r="DU2630" s="92"/>
      <c r="DV2630" s="92"/>
      <c r="DW2630" s="92"/>
      <c r="DX2630" s="92"/>
      <c r="DY2630" s="92"/>
      <c r="DZ2630" s="92"/>
      <c r="EA2630" s="92"/>
      <c r="EB2630" s="92"/>
      <c r="EC2630" s="92"/>
      <c r="ED2630" s="92"/>
      <c r="EE2630" s="92"/>
      <c r="EF2630" s="92"/>
      <c r="EG2630" s="92"/>
      <c r="EH2630" s="92"/>
      <c r="EI2630" s="92"/>
      <c r="EJ2630" s="92"/>
      <c r="EK2630" s="92"/>
      <c r="EL2630" s="92"/>
      <c r="EM2630" s="92"/>
      <c r="EN2630" s="92"/>
      <c r="EO2630" s="92"/>
      <c r="EP2630" s="92"/>
      <c r="EQ2630" s="92"/>
      <c r="ER2630" s="92"/>
      <c r="ES2630" s="92"/>
      <c r="ET2630" s="92"/>
      <c r="EU2630" s="92"/>
      <c r="EV2630" s="92"/>
      <c r="EW2630" s="92"/>
      <c r="EX2630" s="92"/>
      <c r="EY2630" s="92"/>
      <c r="EZ2630" s="92"/>
      <c r="FA2630" s="92"/>
      <c r="FB2630" s="92"/>
      <c r="FC2630" s="92"/>
      <c r="FD2630" s="92"/>
      <c r="FE2630" s="92"/>
      <c r="FF2630" s="92"/>
      <c r="FG2630" s="92"/>
      <c r="FH2630" s="92"/>
      <c r="FI2630" s="92"/>
      <c r="FJ2630" s="92"/>
      <c r="FK2630" s="92"/>
      <c r="FL2630" s="92"/>
      <c r="FM2630" s="92"/>
      <c r="FN2630" s="92"/>
      <c r="FO2630" s="92"/>
      <c r="FP2630" s="92"/>
      <c r="FQ2630" s="92"/>
      <c r="FR2630" s="92"/>
      <c r="FS2630" s="92"/>
      <c r="FT2630" s="92"/>
      <c r="FU2630" s="92"/>
      <c r="FV2630" s="92"/>
      <c r="FW2630" s="92"/>
      <c r="FX2630" s="92"/>
      <c r="FY2630" s="92"/>
      <c r="FZ2630" s="92"/>
      <c r="GA2630" s="92"/>
      <c r="GB2630" s="92"/>
      <c r="GC2630" s="92"/>
      <c r="GD2630" s="92"/>
      <c r="GE2630" s="92"/>
      <c r="GF2630" s="92"/>
      <c r="GG2630" s="92"/>
      <c r="GH2630" s="92"/>
      <c r="GI2630" s="92"/>
      <c r="GJ2630" s="92"/>
      <c r="GK2630" s="92"/>
      <c r="GL2630" s="92"/>
      <c r="GM2630" s="92"/>
      <c r="GN2630" s="92"/>
      <c r="GO2630" s="92"/>
      <c r="GP2630" s="92"/>
      <c r="GQ2630" s="92"/>
      <c r="GR2630" s="92"/>
      <c r="GS2630" s="92"/>
      <c r="GT2630" s="92"/>
      <c r="GU2630" s="92"/>
      <c r="GV2630" s="92"/>
      <c r="GW2630" s="92"/>
      <c r="GX2630" s="92"/>
      <c r="GY2630" s="92"/>
      <c r="GZ2630" s="92"/>
      <c r="HA2630" s="92"/>
      <c r="HB2630" s="92"/>
      <c r="HC2630" s="92"/>
      <c r="HD2630" s="92"/>
      <c r="HE2630" s="92"/>
      <c r="HF2630" s="92"/>
      <c r="HG2630" s="92"/>
      <c r="HH2630" s="92"/>
      <c r="HI2630" s="92"/>
      <c r="HJ2630" s="92"/>
      <c r="HK2630" s="92"/>
      <c r="HL2630" s="92"/>
      <c r="HM2630" s="92"/>
      <c r="HN2630" s="92"/>
      <c r="HO2630" s="92"/>
      <c r="HP2630" s="92"/>
      <c r="HQ2630" s="92"/>
    </row>
    <row r="2631" spans="1:225" ht="31" x14ac:dyDescent="0.35">
      <c r="A2631" s="336"/>
      <c r="B2631" s="336"/>
      <c r="C2631" s="349"/>
      <c r="D2631" s="280"/>
      <c r="E2631" s="336"/>
      <c r="F2631" s="336"/>
      <c r="G2631" s="285" t="s">
        <v>680</v>
      </c>
      <c r="H2631" s="116" t="s">
        <v>666</v>
      </c>
      <c r="I2631" s="86">
        <v>24580</v>
      </c>
      <c r="J2631" s="86">
        <f>I2631/D2624</f>
        <v>2.41</v>
      </c>
      <c r="K2631" s="86">
        <v>2.41</v>
      </c>
      <c r="L2631" s="92"/>
      <c r="M2631" s="92"/>
      <c r="N2631" s="92"/>
      <c r="O2631" s="92"/>
      <c r="P2631" s="92"/>
      <c r="Q2631" s="92"/>
      <c r="R2631" s="92"/>
      <c r="S2631" s="92"/>
      <c r="T2631" s="92"/>
      <c r="U2631" s="92"/>
      <c r="V2631" s="92"/>
      <c r="W2631" s="92"/>
      <c r="X2631" s="92"/>
      <c r="Y2631" s="92"/>
      <c r="Z2631" s="92"/>
      <c r="AA2631" s="92"/>
      <c r="AB2631" s="92"/>
      <c r="AC2631" s="92"/>
      <c r="AD2631" s="92"/>
      <c r="AE2631" s="92"/>
      <c r="AF2631" s="92"/>
      <c r="AG2631" s="92"/>
      <c r="AH2631" s="92"/>
      <c r="AI2631" s="92"/>
      <c r="AJ2631" s="92"/>
      <c r="AK2631" s="92"/>
      <c r="AL2631" s="92"/>
      <c r="AM2631" s="92"/>
      <c r="AN2631" s="92"/>
      <c r="AO2631" s="92"/>
      <c r="AP2631" s="92"/>
      <c r="AQ2631" s="92"/>
      <c r="AR2631" s="92"/>
      <c r="AS2631" s="92"/>
      <c r="AT2631" s="92"/>
      <c r="AU2631" s="92"/>
      <c r="AV2631" s="92"/>
      <c r="AW2631" s="92"/>
      <c r="AX2631" s="92"/>
      <c r="AY2631" s="92"/>
      <c r="AZ2631" s="92"/>
      <c r="BA2631" s="92"/>
      <c r="BB2631" s="92"/>
      <c r="BC2631" s="92"/>
      <c r="BD2631" s="92"/>
      <c r="BE2631" s="92"/>
      <c r="BF2631" s="92"/>
      <c r="BG2631" s="92"/>
      <c r="BH2631" s="92"/>
      <c r="BI2631" s="92"/>
      <c r="BJ2631" s="92"/>
      <c r="BK2631" s="92"/>
      <c r="BL2631" s="92"/>
      <c r="BM2631" s="92"/>
      <c r="BN2631" s="92"/>
      <c r="BO2631" s="92"/>
      <c r="BP2631" s="92"/>
      <c r="BQ2631" s="92"/>
      <c r="BR2631" s="92"/>
      <c r="BS2631" s="92"/>
      <c r="BT2631" s="92"/>
      <c r="BU2631" s="92"/>
      <c r="BV2631" s="92"/>
      <c r="BW2631" s="92"/>
      <c r="BX2631" s="92"/>
      <c r="BY2631" s="92"/>
      <c r="BZ2631" s="92"/>
      <c r="CA2631" s="92"/>
      <c r="CB2631" s="92"/>
      <c r="CC2631" s="92"/>
      <c r="CD2631" s="92"/>
      <c r="CE2631" s="92"/>
      <c r="CF2631" s="92"/>
      <c r="CG2631" s="92"/>
      <c r="CH2631" s="92"/>
      <c r="CI2631" s="92"/>
      <c r="CJ2631" s="92"/>
      <c r="CK2631" s="92"/>
      <c r="CL2631" s="92"/>
      <c r="CM2631" s="92"/>
      <c r="CN2631" s="92"/>
      <c r="CO2631" s="92"/>
      <c r="CP2631" s="92"/>
      <c r="CQ2631" s="92"/>
      <c r="CR2631" s="92"/>
      <c r="CS2631" s="92"/>
      <c r="CT2631" s="92"/>
      <c r="CU2631" s="92"/>
      <c r="CV2631" s="92"/>
      <c r="CW2631" s="92"/>
      <c r="CX2631" s="92"/>
      <c r="CY2631" s="92"/>
      <c r="CZ2631" s="92"/>
      <c r="DA2631" s="92"/>
      <c r="DB2631" s="92"/>
      <c r="DC2631" s="92"/>
      <c r="DD2631" s="92"/>
      <c r="DE2631" s="92"/>
      <c r="DF2631" s="92"/>
      <c r="DG2631" s="92"/>
      <c r="DH2631" s="92"/>
      <c r="DI2631" s="92"/>
      <c r="DJ2631" s="92"/>
      <c r="DK2631" s="92"/>
      <c r="DL2631" s="92"/>
      <c r="DM2631" s="92"/>
      <c r="DN2631" s="92"/>
      <c r="DO2631" s="92"/>
      <c r="DP2631" s="92"/>
      <c r="DQ2631" s="92"/>
      <c r="DR2631" s="92"/>
      <c r="DS2631" s="92"/>
      <c r="DT2631" s="92"/>
      <c r="DU2631" s="92"/>
      <c r="DV2631" s="92"/>
      <c r="DW2631" s="92"/>
      <c r="DX2631" s="92"/>
      <c r="DY2631" s="92"/>
      <c r="DZ2631" s="92"/>
      <c r="EA2631" s="92"/>
      <c r="EB2631" s="92"/>
      <c r="EC2631" s="92"/>
      <c r="ED2631" s="92"/>
      <c r="EE2631" s="92"/>
      <c r="EF2631" s="92"/>
      <c r="EG2631" s="92"/>
      <c r="EH2631" s="92"/>
      <c r="EI2631" s="92"/>
      <c r="EJ2631" s="92"/>
      <c r="EK2631" s="92"/>
      <c r="EL2631" s="92"/>
      <c r="EM2631" s="92"/>
      <c r="EN2631" s="92"/>
      <c r="EO2631" s="92"/>
      <c r="EP2631" s="92"/>
      <c r="EQ2631" s="92"/>
      <c r="ER2631" s="92"/>
      <c r="ES2631" s="92"/>
      <c r="ET2631" s="92"/>
      <c r="EU2631" s="92"/>
      <c r="EV2631" s="92"/>
      <c r="EW2631" s="92"/>
      <c r="EX2631" s="92"/>
      <c r="EY2631" s="92"/>
      <c r="EZ2631" s="92"/>
      <c r="FA2631" s="92"/>
      <c r="FB2631" s="92"/>
      <c r="FC2631" s="92"/>
      <c r="FD2631" s="92"/>
      <c r="FE2631" s="92"/>
      <c r="FF2631" s="92"/>
      <c r="FG2631" s="92"/>
      <c r="FH2631" s="92"/>
      <c r="FI2631" s="92"/>
      <c r="FJ2631" s="92"/>
      <c r="FK2631" s="92"/>
      <c r="FL2631" s="92"/>
      <c r="FM2631" s="92"/>
      <c r="FN2631" s="92"/>
      <c r="FO2631" s="92"/>
      <c r="FP2631" s="92"/>
      <c r="FQ2631" s="92"/>
      <c r="FR2631" s="92"/>
      <c r="FS2631" s="92"/>
      <c r="FT2631" s="92"/>
      <c r="FU2631" s="92"/>
      <c r="FV2631" s="92"/>
      <c r="FW2631" s="92"/>
      <c r="FX2631" s="92"/>
      <c r="FY2631" s="92"/>
      <c r="FZ2631" s="92"/>
      <c r="GA2631" s="92"/>
      <c r="GB2631" s="92"/>
      <c r="GC2631" s="92"/>
      <c r="GD2631" s="92"/>
      <c r="GE2631" s="92"/>
      <c r="GF2631" s="92"/>
      <c r="GG2631" s="92"/>
      <c r="GH2631" s="92"/>
      <c r="GI2631" s="92"/>
      <c r="GJ2631" s="92"/>
      <c r="GK2631" s="92"/>
      <c r="GL2631" s="92"/>
      <c r="GM2631" s="92"/>
      <c r="GN2631" s="92"/>
      <c r="GO2631" s="92"/>
      <c r="GP2631" s="92"/>
      <c r="GQ2631" s="92"/>
      <c r="GR2631" s="92"/>
      <c r="GS2631" s="92"/>
      <c r="GT2631" s="92"/>
      <c r="GU2631" s="92"/>
      <c r="GV2631" s="92"/>
      <c r="GW2631" s="92"/>
      <c r="GX2631" s="92"/>
      <c r="GY2631" s="92"/>
      <c r="GZ2631" s="92"/>
      <c r="HA2631" s="92"/>
      <c r="HB2631" s="92"/>
      <c r="HC2631" s="92"/>
      <c r="HD2631" s="92"/>
      <c r="HE2631" s="92"/>
      <c r="HF2631" s="92"/>
      <c r="HG2631" s="92"/>
      <c r="HH2631" s="92"/>
      <c r="HI2631" s="92"/>
      <c r="HJ2631" s="92"/>
      <c r="HK2631" s="92"/>
      <c r="HL2631" s="92"/>
      <c r="HM2631" s="92"/>
      <c r="HN2631" s="92"/>
      <c r="HO2631" s="92"/>
      <c r="HP2631" s="92"/>
      <c r="HQ2631" s="92"/>
    </row>
    <row r="2632" spans="1:225" x14ac:dyDescent="0.35">
      <c r="A2632" s="336"/>
      <c r="B2632" s="336"/>
      <c r="C2632" s="349"/>
      <c r="D2632" s="280"/>
      <c r="E2632" s="336"/>
      <c r="F2632" s="336"/>
      <c r="G2632" s="286"/>
      <c r="H2632" s="116" t="s">
        <v>674</v>
      </c>
      <c r="I2632" s="86">
        <v>1708823</v>
      </c>
      <c r="J2632" s="86">
        <f>I2632/D2624-0.01</f>
        <v>167.24</v>
      </c>
      <c r="K2632" s="86">
        <v>167.25</v>
      </c>
      <c r="L2632" s="92"/>
      <c r="M2632" s="92"/>
      <c r="N2632" s="92"/>
      <c r="O2632" s="92"/>
      <c r="P2632" s="92"/>
      <c r="Q2632" s="92"/>
      <c r="R2632" s="92"/>
      <c r="S2632" s="92"/>
      <c r="T2632" s="92"/>
      <c r="U2632" s="92"/>
      <c r="V2632" s="92"/>
      <c r="W2632" s="92"/>
      <c r="X2632" s="92"/>
      <c r="Y2632" s="92"/>
      <c r="Z2632" s="92"/>
      <c r="AA2632" s="92"/>
      <c r="AB2632" s="92"/>
      <c r="AC2632" s="92"/>
      <c r="AD2632" s="92"/>
      <c r="AE2632" s="92"/>
      <c r="AF2632" s="92"/>
      <c r="AG2632" s="92"/>
      <c r="AH2632" s="92"/>
      <c r="AI2632" s="92"/>
      <c r="AJ2632" s="92"/>
      <c r="AK2632" s="92"/>
      <c r="AL2632" s="92"/>
      <c r="AM2632" s="92"/>
      <c r="AN2632" s="92"/>
      <c r="AO2632" s="92"/>
      <c r="AP2632" s="92"/>
      <c r="AQ2632" s="92"/>
      <c r="AR2632" s="92"/>
      <c r="AS2632" s="92"/>
      <c r="AT2632" s="92"/>
      <c r="AU2632" s="92"/>
      <c r="AV2632" s="92"/>
      <c r="AW2632" s="92"/>
      <c r="AX2632" s="92"/>
      <c r="AY2632" s="92"/>
      <c r="AZ2632" s="92"/>
      <c r="BA2632" s="92"/>
      <c r="BB2632" s="92"/>
      <c r="BC2632" s="92"/>
      <c r="BD2632" s="92"/>
      <c r="BE2632" s="92"/>
      <c r="BF2632" s="92"/>
      <c r="BG2632" s="92"/>
      <c r="BH2632" s="92"/>
      <c r="BI2632" s="92"/>
      <c r="BJ2632" s="92"/>
      <c r="BK2632" s="92"/>
      <c r="BL2632" s="92"/>
      <c r="BM2632" s="92"/>
      <c r="BN2632" s="92"/>
      <c r="BO2632" s="92"/>
      <c r="BP2632" s="92"/>
      <c r="BQ2632" s="92"/>
      <c r="BR2632" s="92"/>
      <c r="BS2632" s="92"/>
      <c r="BT2632" s="92"/>
      <c r="BU2632" s="92"/>
      <c r="BV2632" s="92"/>
      <c r="BW2632" s="92"/>
      <c r="BX2632" s="92"/>
      <c r="BY2632" s="92"/>
      <c r="BZ2632" s="92"/>
      <c r="CA2632" s="92"/>
      <c r="CB2632" s="92"/>
      <c r="CC2632" s="92"/>
      <c r="CD2632" s="92"/>
      <c r="CE2632" s="92"/>
      <c r="CF2632" s="92"/>
      <c r="CG2632" s="92"/>
      <c r="CH2632" s="92"/>
      <c r="CI2632" s="92"/>
      <c r="CJ2632" s="92"/>
      <c r="CK2632" s="92"/>
      <c r="CL2632" s="92"/>
      <c r="CM2632" s="92"/>
      <c r="CN2632" s="92"/>
      <c r="CO2632" s="92"/>
      <c r="CP2632" s="92"/>
      <c r="CQ2632" s="92"/>
      <c r="CR2632" s="92"/>
      <c r="CS2632" s="92"/>
      <c r="CT2632" s="92"/>
      <c r="CU2632" s="92"/>
      <c r="CV2632" s="92"/>
      <c r="CW2632" s="92"/>
      <c r="CX2632" s="92"/>
      <c r="CY2632" s="92"/>
      <c r="CZ2632" s="92"/>
      <c r="DA2632" s="92"/>
      <c r="DB2632" s="92"/>
      <c r="DC2632" s="92"/>
      <c r="DD2632" s="92"/>
      <c r="DE2632" s="92"/>
      <c r="DF2632" s="92"/>
      <c r="DG2632" s="92"/>
      <c r="DH2632" s="92"/>
      <c r="DI2632" s="92"/>
      <c r="DJ2632" s="92"/>
      <c r="DK2632" s="92"/>
      <c r="DL2632" s="92"/>
      <c r="DM2632" s="92"/>
      <c r="DN2632" s="92"/>
      <c r="DO2632" s="92"/>
      <c r="DP2632" s="92"/>
      <c r="DQ2632" s="92"/>
      <c r="DR2632" s="92"/>
      <c r="DS2632" s="92"/>
      <c r="DT2632" s="92"/>
      <c r="DU2632" s="92"/>
      <c r="DV2632" s="92"/>
      <c r="DW2632" s="92"/>
      <c r="DX2632" s="92"/>
      <c r="DY2632" s="92"/>
      <c r="DZ2632" s="92"/>
      <c r="EA2632" s="92"/>
      <c r="EB2632" s="92"/>
      <c r="EC2632" s="92"/>
      <c r="ED2632" s="92"/>
      <c r="EE2632" s="92"/>
      <c r="EF2632" s="92"/>
      <c r="EG2632" s="92"/>
      <c r="EH2632" s="92"/>
      <c r="EI2632" s="92"/>
      <c r="EJ2632" s="92"/>
      <c r="EK2632" s="92"/>
      <c r="EL2632" s="92"/>
      <c r="EM2632" s="92"/>
      <c r="EN2632" s="92"/>
      <c r="EO2632" s="92"/>
      <c r="EP2632" s="92"/>
      <c r="EQ2632" s="92"/>
      <c r="ER2632" s="92"/>
      <c r="ES2632" s="92"/>
      <c r="ET2632" s="92"/>
      <c r="EU2632" s="92"/>
      <c r="EV2632" s="92"/>
      <c r="EW2632" s="92"/>
      <c r="EX2632" s="92"/>
      <c r="EY2632" s="92"/>
      <c r="EZ2632" s="92"/>
      <c r="FA2632" s="92"/>
      <c r="FB2632" s="92"/>
      <c r="FC2632" s="92"/>
      <c r="FD2632" s="92"/>
      <c r="FE2632" s="92"/>
      <c r="FF2632" s="92"/>
      <c r="FG2632" s="92"/>
      <c r="FH2632" s="92"/>
      <c r="FI2632" s="92"/>
      <c r="FJ2632" s="92"/>
      <c r="FK2632" s="92"/>
      <c r="FL2632" s="92"/>
      <c r="FM2632" s="92"/>
      <c r="FN2632" s="92"/>
      <c r="FO2632" s="92"/>
      <c r="FP2632" s="92"/>
      <c r="FQ2632" s="92"/>
      <c r="FR2632" s="92"/>
      <c r="FS2632" s="92"/>
      <c r="FT2632" s="92"/>
      <c r="FU2632" s="92"/>
      <c r="FV2632" s="92"/>
      <c r="FW2632" s="92"/>
      <c r="FX2632" s="92"/>
      <c r="FY2632" s="92"/>
      <c r="FZ2632" s="92"/>
      <c r="GA2632" s="92"/>
      <c r="GB2632" s="92"/>
      <c r="GC2632" s="92"/>
      <c r="GD2632" s="92"/>
      <c r="GE2632" s="92"/>
      <c r="GF2632" s="92"/>
      <c r="GG2632" s="92"/>
      <c r="GH2632" s="92"/>
      <c r="GI2632" s="92"/>
      <c r="GJ2632" s="92"/>
      <c r="GK2632" s="92"/>
      <c r="GL2632" s="92"/>
      <c r="GM2632" s="92"/>
      <c r="GN2632" s="92"/>
      <c r="GO2632" s="92"/>
      <c r="GP2632" s="92"/>
      <c r="GQ2632" s="92"/>
      <c r="GR2632" s="92"/>
      <c r="GS2632" s="92"/>
      <c r="GT2632" s="92"/>
      <c r="GU2632" s="92"/>
      <c r="GV2632" s="92"/>
      <c r="GW2632" s="92"/>
      <c r="GX2632" s="92"/>
      <c r="GY2632" s="92"/>
      <c r="GZ2632" s="92"/>
      <c r="HA2632" s="92"/>
      <c r="HB2632" s="92"/>
      <c r="HC2632" s="92"/>
      <c r="HD2632" s="92"/>
      <c r="HE2632" s="92"/>
      <c r="HF2632" s="92"/>
      <c r="HG2632" s="92"/>
      <c r="HH2632" s="92"/>
      <c r="HI2632" s="92"/>
      <c r="HJ2632" s="92"/>
      <c r="HK2632" s="92"/>
      <c r="HL2632" s="92"/>
      <c r="HM2632" s="92"/>
      <c r="HN2632" s="92"/>
      <c r="HO2632" s="92"/>
      <c r="HP2632" s="92"/>
      <c r="HQ2632" s="92"/>
    </row>
    <row r="2633" spans="1:225" x14ac:dyDescent="0.35">
      <c r="A2633" s="337"/>
      <c r="B2633" s="337"/>
      <c r="C2633" s="350"/>
      <c r="D2633" s="281"/>
      <c r="E2633" s="337"/>
      <c r="F2633" s="337"/>
      <c r="G2633" s="287"/>
      <c r="H2633" s="116" t="s">
        <v>76</v>
      </c>
      <c r="I2633" s="86">
        <v>0</v>
      </c>
      <c r="J2633" s="86">
        <v>0</v>
      </c>
      <c r="K2633" s="86">
        <v>3.57</v>
      </c>
      <c r="L2633" s="92"/>
      <c r="M2633" s="92"/>
      <c r="N2633" s="92"/>
      <c r="O2633" s="92"/>
      <c r="P2633" s="92"/>
      <c r="Q2633" s="92"/>
      <c r="R2633" s="92"/>
      <c r="S2633" s="92"/>
      <c r="T2633" s="92"/>
      <c r="U2633" s="92"/>
      <c r="V2633" s="92"/>
      <c r="W2633" s="92"/>
      <c r="X2633" s="92"/>
      <c r="Y2633" s="92"/>
      <c r="Z2633" s="92"/>
      <c r="AA2633" s="92"/>
      <c r="AB2633" s="92"/>
      <c r="AC2633" s="92"/>
      <c r="AD2633" s="92"/>
      <c r="AE2633" s="92"/>
      <c r="AF2633" s="92"/>
      <c r="AG2633" s="92"/>
      <c r="AH2633" s="92"/>
      <c r="AI2633" s="92"/>
      <c r="AJ2633" s="92"/>
      <c r="AK2633" s="92"/>
      <c r="AL2633" s="92"/>
      <c r="AM2633" s="92"/>
      <c r="AN2633" s="92"/>
      <c r="AO2633" s="92"/>
      <c r="AP2633" s="92"/>
      <c r="AQ2633" s="92"/>
      <c r="AR2633" s="92"/>
      <c r="AS2633" s="92"/>
      <c r="AT2633" s="92"/>
      <c r="AU2633" s="92"/>
      <c r="AV2633" s="92"/>
      <c r="AW2633" s="92"/>
      <c r="AX2633" s="92"/>
      <c r="AY2633" s="92"/>
      <c r="AZ2633" s="92"/>
      <c r="BA2633" s="92"/>
      <c r="BB2633" s="92"/>
      <c r="BC2633" s="92"/>
      <c r="BD2633" s="92"/>
      <c r="BE2633" s="92"/>
      <c r="BF2633" s="92"/>
      <c r="BG2633" s="92"/>
      <c r="BH2633" s="92"/>
      <c r="BI2633" s="92"/>
      <c r="BJ2633" s="92"/>
      <c r="BK2633" s="92"/>
      <c r="BL2633" s="92"/>
      <c r="BM2633" s="92"/>
      <c r="BN2633" s="92"/>
      <c r="BO2633" s="92"/>
      <c r="BP2633" s="92"/>
      <c r="BQ2633" s="92"/>
      <c r="BR2633" s="92"/>
      <c r="BS2633" s="92"/>
      <c r="BT2633" s="92"/>
      <c r="BU2633" s="92"/>
      <c r="BV2633" s="92"/>
      <c r="BW2633" s="92"/>
      <c r="BX2633" s="92"/>
      <c r="BY2633" s="92"/>
      <c r="BZ2633" s="92"/>
      <c r="CA2633" s="92"/>
      <c r="CB2633" s="92"/>
      <c r="CC2633" s="92"/>
      <c r="CD2633" s="92"/>
      <c r="CE2633" s="92"/>
      <c r="CF2633" s="92"/>
      <c r="CG2633" s="92"/>
      <c r="CH2633" s="92"/>
      <c r="CI2633" s="92"/>
      <c r="CJ2633" s="92"/>
      <c r="CK2633" s="92"/>
      <c r="CL2633" s="92"/>
      <c r="CM2633" s="92"/>
      <c r="CN2633" s="92"/>
      <c r="CO2633" s="92"/>
      <c r="CP2633" s="92"/>
      <c r="CQ2633" s="92"/>
      <c r="CR2633" s="92"/>
      <c r="CS2633" s="92"/>
      <c r="CT2633" s="92"/>
      <c r="CU2633" s="92"/>
      <c r="CV2633" s="92"/>
      <c r="CW2633" s="92"/>
      <c r="CX2633" s="92"/>
      <c r="CY2633" s="92"/>
      <c r="CZ2633" s="92"/>
      <c r="DA2633" s="92"/>
      <c r="DB2633" s="92"/>
      <c r="DC2633" s="92"/>
      <c r="DD2633" s="92"/>
      <c r="DE2633" s="92"/>
      <c r="DF2633" s="92"/>
      <c r="DG2633" s="92"/>
      <c r="DH2633" s="92"/>
      <c r="DI2633" s="92"/>
      <c r="DJ2633" s="92"/>
      <c r="DK2633" s="92"/>
      <c r="DL2633" s="92"/>
      <c r="DM2633" s="92"/>
      <c r="DN2633" s="92"/>
      <c r="DO2633" s="92"/>
      <c r="DP2633" s="92"/>
      <c r="DQ2633" s="92"/>
      <c r="DR2633" s="92"/>
      <c r="DS2633" s="92"/>
      <c r="DT2633" s="92"/>
      <c r="DU2633" s="92"/>
      <c r="DV2633" s="92"/>
      <c r="DW2633" s="92"/>
      <c r="DX2633" s="92"/>
      <c r="DY2633" s="92"/>
      <c r="DZ2633" s="92"/>
      <c r="EA2633" s="92"/>
      <c r="EB2633" s="92"/>
      <c r="EC2633" s="92"/>
      <c r="ED2633" s="92"/>
      <c r="EE2633" s="92"/>
      <c r="EF2633" s="92"/>
      <c r="EG2633" s="92"/>
      <c r="EH2633" s="92"/>
      <c r="EI2633" s="92"/>
      <c r="EJ2633" s="92"/>
      <c r="EK2633" s="92"/>
      <c r="EL2633" s="92"/>
      <c r="EM2633" s="92"/>
      <c r="EN2633" s="92"/>
      <c r="EO2633" s="92"/>
      <c r="EP2633" s="92"/>
      <c r="EQ2633" s="92"/>
      <c r="ER2633" s="92"/>
      <c r="ES2633" s="92"/>
      <c r="ET2633" s="92"/>
      <c r="EU2633" s="92"/>
      <c r="EV2633" s="92"/>
      <c r="EW2633" s="92"/>
      <c r="EX2633" s="92"/>
      <c r="EY2633" s="92"/>
      <c r="EZ2633" s="92"/>
      <c r="FA2633" s="92"/>
      <c r="FB2633" s="92"/>
      <c r="FC2633" s="92"/>
      <c r="FD2633" s="92"/>
      <c r="FE2633" s="92"/>
      <c r="FF2633" s="92"/>
      <c r="FG2633" s="92"/>
      <c r="FH2633" s="92"/>
      <c r="FI2633" s="92"/>
      <c r="FJ2633" s="92"/>
      <c r="FK2633" s="92"/>
      <c r="FL2633" s="92"/>
      <c r="FM2633" s="92"/>
      <c r="FN2633" s="92"/>
      <c r="FO2633" s="92"/>
      <c r="FP2633" s="92"/>
      <c r="FQ2633" s="92"/>
      <c r="FR2633" s="92"/>
      <c r="FS2633" s="92"/>
      <c r="FT2633" s="92"/>
      <c r="FU2633" s="92"/>
      <c r="FV2633" s="92"/>
      <c r="FW2633" s="92"/>
      <c r="FX2633" s="92"/>
      <c r="FY2633" s="92"/>
      <c r="FZ2633" s="92"/>
      <c r="GA2633" s="92"/>
      <c r="GB2633" s="92"/>
      <c r="GC2633" s="92"/>
      <c r="GD2633" s="92"/>
      <c r="GE2633" s="92"/>
      <c r="GF2633" s="92"/>
      <c r="GG2633" s="92"/>
      <c r="GH2633" s="92"/>
      <c r="GI2633" s="92"/>
      <c r="GJ2633" s="92"/>
      <c r="GK2633" s="92"/>
      <c r="GL2633" s="92"/>
      <c r="GM2633" s="92"/>
      <c r="GN2633" s="92"/>
      <c r="GO2633" s="92"/>
      <c r="GP2633" s="92"/>
      <c r="GQ2633" s="92"/>
      <c r="GR2633" s="92"/>
      <c r="GS2633" s="92"/>
      <c r="GT2633" s="92"/>
      <c r="GU2633" s="92"/>
      <c r="GV2633" s="92"/>
      <c r="GW2633" s="92"/>
      <c r="GX2633" s="92"/>
      <c r="GY2633" s="92"/>
      <c r="GZ2633" s="92"/>
      <c r="HA2633" s="92"/>
      <c r="HB2633" s="92"/>
      <c r="HC2633" s="92"/>
      <c r="HD2633" s="92"/>
      <c r="HE2633" s="92"/>
      <c r="HF2633" s="92"/>
      <c r="HG2633" s="92"/>
      <c r="HH2633" s="92"/>
      <c r="HI2633" s="92"/>
      <c r="HJ2633" s="92"/>
      <c r="HK2633" s="92"/>
      <c r="HL2633" s="92"/>
      <c r="HM2633" s="92"/>
      <c r="HN2633" s="92"/>
      <c r="HO2633" s="92"/>
      <c r="HP2633" s="92"/>
      <c r="HQ2633" s="92"/>
    </row>
    <row r="2634" spans="1:225" s="92" customFormat="1" ht="15.75" customHeight="1" x14ac:dyDescent="0.3">
      <c r="A2634" s="285">
        <f>A2624+1</f>
        <v>6</v>
      </c>
      <c r="B2634" s="285">
        <v>5941</v>
      </c>
      <c r="C2634" s="295" t="s">
        <v>197</v>
      </c>
      <c r="D2634" s="279">
        <v>527.29999999999995</v>
      </c>
      <c r="E2634" s="279" t="s">
        <v>665</v>
      </c>
      <c r="F2634" s="335">
        <v>2</v>
      </c>
      <c r="G2634" s="285" t="s">
        <v>72</v>
      </c>
      <c r="H2634" s="116" t="s">
        <v>73</v>
      </c>
      <c r="I2634" s="86">
        <f>I2635+I2636</f>
        <v>3647861.4</v>
      </c>
      <c r="J2634" s="86">
        <f>J2635+J2636</f>
        <v>6918</v>
      </c>
      <c r="K2634" s="86">
        <f>K2635+K2636</f>
        <v>7066</v>
      </c>
    </row>
    <row r="2635" spans="1:225" s="92" customFormat="1" x14ac:dyDescent="0.3">
      <c r="A2635" s="286">
        <v>65</v>
      </c>
      <c r="B2635" s="286"/>
      <c r="C2635" s="296"/>
      <c r="D2635" s="280"/>
      <c r="E2635" s="280"/>
      <c r="F2635" s="336"/>
      <c r="G2635" s="286"/>
      <c r="H2635" s="116" t="s">
        <v>667</v>
      </c>
      <c r="I2635" s="86">
        <f>D2634*K2635</f>
        <v>3647861.4</v>
      </c>
      <c r="J2635" s="86">
        <f>I2635/D2634</f>
        <v>6918</v>
      </c>
      <c r="K2635" s="86">
        <v>6918</v>
      </c>
    </row>
    <row r="2636" spans="1:225" s="92" customFormat="1" x14ac:dyDescent="0.3">
      <c r="A2636" s="287"/>
      <c r="B2636" s="287"/>
      <c r="C2636" s="297"/>
      <c r="D2636" s="281"/>
      <c r="E2636" s="281"/>
      <c r="F2636" s="337"/>
      <c r="G2636" s="287"/>
      <c r="H2636" s="116" t="s">
        <v>76</v>
      </c>
      <c r="I2636" s="86">
        <v>0</v>
      </c>
      <c r="J2636" s="86">
        <v>0</v>
      </c>
      <c r="K2636" s="86">
        <v>148</v>
      </c>
    </row>
    <row r="2637" spans="1:225" x14ac:dyDescent="0.35">
      <c r="A2637" s="308">
        <f>A2634+1</f>
        <v>7</v>
      </c>
      <c r="B2637" s="308">
        <v>6143</v>
      </c>
      <c r="C2637" s="301" t="s">
        <v>654</v>
      </c>
      <c r="D2637" s="279">
        <v>1897.7</v>
      </c>
      <c r="E2637" s="279" t="s">
        <v>75</v>
      </c>
      <c r="F2637" s="335">
        <v>3</v>
      </c>
      <c r="G2637" s="308" t="s">
        <v>72</v>
      </c>
      <c r="H2637" s="116" t="s">
        <v>73</v>
      </c>
      <c r="I2637" s="86">
        <f>I2638+I2639</f>
        <v>540844.5</v>
      </c>
      <c r="J2637" s="86">
        <f>J2638+J2639</f>
        <v>285</v>
      </c>
      <c r="K2637" s="86">
        <f>K2638+K2639</f>
        <v>285</v>
      </c>
      <c r="L2637" s="92"/>
      <c r="M2637" s="92"/>
      <c r="N2637" s="92"/>
      <c r="O2637" s="92"/>
      <c r="P2637" s="92"/>
      <c r="Q2637" s="92"/>
      <c r="R2637" s="92"/>
      <c r="S2637" s="92"/>
      <c r="T2637" s="92"/>
      <c r="U2637" s="92"/>
      <c r="V2637" s="92"/>
      <c r="W2637" s="92"/>
      <c r="X2637" s="92"/>
      <c r="Y2637" s="92"/>
      <c r="Z2637" s="92"/>
      <c r="AA2637" s="92"/>
      <c r="AB2637" s="92"/>
      <c r="AC2637" s="92"/>
      <c r="AD2637" s="92"/>
      <c r="AE2637" s="92"/>
      <c r="AF2637" s="92"/>
      <c r="AG2637" s="92"/>
      <c r="AH2637" s="92"/>
      <c r="AI2637" s="92"/>
      <c r="AJ2637" s="92"/>
      <c r="AK2637" s="92"/>
      <c r="AL2637" s="92"/>
      <c r="AM2637" s="92"/>
      <c r="AN2637" s="92"/>
      <c r="AO2637" s="92"/>
      <c r="AP2637" s="92"/>
      <c r="AQ2637" s="92"/>
      <c r="AR2637" s="92"/>
      <c r="AS2637" s="92"/>
      <c r="AT2637" s="92"/>
      <c r="AU2637" s="92"/>
      <c r="AV2637" s="92"/>
      <c r="AW2637" s="92"/>
      <c r="AX2637" s="92"/>
      <c r="AY2637" s="92"/>
      <c r="AZ2637" s="92"/>
      <c r="BA2637" s="92"/>
      <c r="BB2637" s="92"/>
      <c r="BC2637" s="92"/>
      <c r="BD2637" s="92"/>
      <c r="BE2637" s="92"/>
      <c r="BF2637" s="92"/>
      <c r="BG2637" s="92"/>
      <c r="BH2637" s="92"/>
      <c r="BI2637" s="92"/>
      <c r="BJ2637" s="92"/>
      <c r="BK2637" s="92"/>
      <c r="BL2637" s="92"/>
      <c r="BM2637" s="92"/>
      <c r="BN2637" s="92"/>
      <c r="BO2637" s="92"/>
      <c r="BP2637" s="92"/>
      <c r="BQ2637" s="92"/>
      <c r="BR2637" s="92"/>
      <c r="BS2637" s="92"/>
      <c r="BT2637" s="92"/>
      <c r="BU2637" s="92"/>
      <c r="BV2637" s="92"/>
      <c r="BW2637" s="92"/>
      <c r="BX2637" s="92"/>
      <c r="BY2637" s="92"/>
      <c r="BZ2637" s="92"/>
      <c r="CA2637" s="92"/>
      <c r="CB2637" s="92"/>
      <c r="CC2637" s="92"/>
      <c r="CD2637" s="92"/>
      <c r="CE2637" s="92"/>
      <c r="CF2637" s="92"/>
      <c r="CG2637" s="92"/>
      <c r="CH2637" s="92"/>
      <c r="CI2637" s="92"/>
      <c r="CJ2637" s="92"/>
      <c r="CK2637" s="92"/>
      <c r="CL2637" s="92"/>
      <c r="CM2637" s="92"/>
      <c r="CN2637" s="92"/>
      <c r="CO2637" s="92"/>
      <c r="CP2637" s="92"/>
      <c r="CQ2637" s="92"/>
      <c r="CR2637" s="92"/>
      <c r="CS2637" s="92"/>
      <c r="CT2637" s="92"/>
      <c r="CU2637" s="92"/>
      <c r="CV2637" s="92"/>
      <c r="CW2637" s="92"/>
      <c r="CX2637" s="92"/>
      <c r="CY2637" s="92"/>
      <c r="CZ2637" s="92"/>
      <c r="DA2637" s="92"/>
      <c r="DB2637" s="92"/>
      <c r="DC2637" s="92"/>
      <c r="DD2637" s="92"/>
      <c r="DE2637" s="92"/>
      <c r="DF2637" s="92"/>
      <c r="DG2637" s="92"/>
      <c r="DH2637" s="92"/>
      <c r="DI2637" s="92"/>
      <c r="DJ2637" s="92"/>
      <c r="DK2637" s="92"/>
      <c r="DL2637" s="92"/>
      <c r="DM2637" s="92"/>
      <c r="DN2637" s="92"/>
      <c r="DO2637" s="92"/>
      <c r="DP2637" s="92"/>
      <c r="DQ2637" s="92"/>
      <c r="DR2637" s="92"/>
      <c r="DS2637" s="92"/>
      <c r="DT2637" s="92"/>
      <c r="DU2637" s="92"/>
      <c r="DV2637" s="92"/>
      <c r="DW2637" s="92"/>
      <c r="DX2637" s="92"/>
      <c r="DY2637" s="92"/>
      <c r="DZ2637" s="92"/>
      <c r="EA2637" s="92"/>
      <c r="EB2637" s="92"/>
      <c r="EC2637" s="92"/>
      <c r="ED2637" s="92"/>
      <c r="EE2637" s="92"/>
      <c r="EF2637" s="92"/>
      <c r="EG2637" s="92"/>
      <c r="EH2637" s="92"/>
      <c r="EI2637" s="92"/>
      <c r="EJ2637" s="92"/>
      <c r="EK2637" s="92"/>
      <c r="EL2637" s="92"/>
      <c r="EM2637" s="92"/>
      <c r="EN2637" s="92"/>
      <c r="EO2637" s="92"/>
      <c r="EP2637" s="92"/>
      <c r="EQ2637" s="92"/>
      <c r="ER2637" s="92"/>
      <c r="ES2637" s="92"/>
      <c r="ET2637" s="92"/>
      <c r="EU2637" s="92"/>
      <c r="EV2637" s="92"/>
      <c r="EW2637" s="92"/>
      <c r="EX2637" s="92"/>
      <c r="EY2637" s="92"/>
      <c r="EZ2637" s="92"/>
      <c r="FA2637" s="92"/>
      <c r="FB2637" s="92"/>
      <c r="FC2637" s="92"/>
      <c r="FD2637" s="92"/>
      <c r="FE2637" s="92"/>
      <c r="FF2637" s="92"/>
      <c r="FG2637" s="92"/>
      <c r="FH2637" s="92"/>
      <c r="FI2637" s="92"/>
      <c r="FJ2637" s="92"/>
      <c r="FK2637" s="92"/>
      <c r="FL2637" s="92"/>
      <c r="FM2637" s="92"/>
      <c r="FN2637" s="92"/>
      <c r="FO2637" s="92"/>
      <c r="FP2637" s="92"/>
      <c r="FQ2637" s="92"/>
      <c r="FR2637" s="92"/>
      <c r="FS2637" s="92"/>
      <c r="FT2637" s="92"/>
      <c r="FU2637" s="92"/>
      <c r="FV2637" s="92"/>
      <c r="FW2637" s="92"/>
      <c r="FX2637" s="92"/>
      <c r="FY2637" s="92"/>
      <c r="FZ2637" s="92"/>
      <c r="GA2637" s="92"/>
      <c r="GB2637" s="92"/>
      <c r="GC2637" s="92"/>
      <c r="GD2637" s="92"/>
      <c r="GE2637" s="92"/>
      <c r="GF2637" s="92"/>
      <c r="GG2637" s="92"/>
      <c r="GH2637" s="92"/>
      <c r="GI2637" s="92"/>
      <c r="GJ2637" s="92"/>
      <c r="GK2637" s="92"/>
      <c r="GL2637" s="92"/>
      <c r="GM2637" s="92"/>
      <c r="GN2637" s="92"/>
      <c r="GO2637" s="92"/>
      <c r="GP2637" s="92"/>
      <c r="GQ2637" s="92"/>
      <c r="GR2637" s="92"/>
      <c r="GS2637" s="92"/>
      <c r="GT2637" s="92"/>
      <c r="GU2637" s="92"/>
      <c r="GV2637" s="92"/>
      <c r="GW2637" s="92"/>
      <c r="GX2637" s="92"/>
      <c r="GY2637" s="92"/>
      <c r="GZ2637" s="92"/>
      <c r="HA2637" s="92"/>
      <c r="HB2637" s="92"/>
      <c r="HC2637" s="92"/>
      <c r="HD2637" s="92"/>
      <c r="HE2637" s="92"/>
      <c r="HF2637" s="92"/>
      <c r="HG2637" s="92"/>
      <c r="HH2637" s="92"/>
      <c r="HI2637" s="92"/>
      <c r="HJ2637" s="92"/>
      <c r="HK2637" s="92"/>
      <c r="HL2637" s="92"/>
      <c r="HM2637" s="92"/>
      <c r="HN2637" s="92"/>
      <c r="HO2637" s="92"/>
      <c r="HP2637" s="92"/>
      <c r="HQ2637" s="92"/>
    </row>
    <row r="2638" spans="1:225" ht="46.5" x14ac:dyDescent="0.35">
      <c r="A2638" s="308"/>
      <c r="B2638" s="308"/>
      <c r="C2638" s="301"/>
      <c r="D2638" s="280"/>
      <c r="E2638" s="280"/>
      <c r="F2638" s="336"/>
      <c r="G2638" s="308"/>
      <c r="H2638" s="159" t="s">
        <v>705</v>
      </c>
      <c r="I2638" s="86">
        <f>D2637*K2638</f>
        <v>311222.8</v>
      </c>
      <c r="J2638" s="86">
        <f>I2638/D2637</f>
        <v>164</v>
      </c>
      <c r="K2638" s="86">
        <v>164</v>
      </c>
      <c r="L2638" s="92"/>
      <c r="M2638" s="92"/>
      <c r="N2638" s="92"/>
      <c r="O2638" s="92"/>
      <c r="P2638" s="92"/>
      <c r="Q2638" s="92"/>
      <c r="R2638" s="92"/>
      <c r="S2638" s="92"/>
      <c r="T2638" s="92"/>
      <c r="U2638" s="92"/>
      <c r="V2638" s="92"/>
      <c r="W2638" s="92"/>
      <c r="X2638" s="92"/>
      <c r="Y2638" s="92"/>
      <c r="Z2638" s="92"/>
      <c r="AA2638" s="92"/>
      <c r="AB2638" s="92"/>
      <c r="AC2638" s="92"/>
      <c r="AD2638" s="92"/>
      <c r="AE2638" s="92"/>
      <c r="AF2638" s="92"/>
      <c r="AG2638" s="92"/>
      <c r="AH2638" s="92"/>
      <c r="AI2638" s="92"/>
      <c r="AJ2638" s="92"/>
      <c r="AK2638" s="92"/>
      <c r="AL2638" s="92"/>
      <c r="AM2638" s="92"/>
      <c r="AN2638" s="92"/>
      <c r="AO2638" s="92"/>
      <c r="AP2638" s="92"/>
      <c r="AQ2638" s="92"/>
      <c r="AR2638" s="92"/>
      <c r="AS2638" s="92"/>
      <c r="AT2638" s="92"/>
      <c r="AU2638" s="92"/>
      <c r="AV2638" s="92"/>
      <c r="AW2638" s="92"/>
      <c r="AX2638" s="92"/>
      <c r="AY2638" s="92"/>
      <c r="AZ2638" s="92"/>
      <c r="BA2638" s="92"/>
      <c r="BB2638" s="92"/>
      <c r="BC2638" s="92"/>
      <c r="BD2638" s="92"/>
      <c r="BE2638" s="92"/>
      <c r="BF2638" s="92"/>
      <c r="BG2638" s="92"/>
      <c r="BH2638" s="92"/>
      <c r="BI2638" s="92"/>
      <c r="BJ2638" s="92"/>
      <c r="BK2638" s="92"/>
      <c r="BL2638" s="92"/>
      <c r="BM2638" s="92"/>
      <c r="BN2638" s="92"/>
      <c r="BO2638" s="92"/>
      <c r="BP2638" s="92"/>
      <c r="BQ2638" s="92"/>
      <c r="BR2638" s="92"/>
      <c r="BS2638" s="92"/>
      <c r="BT2638" s="92"/>
      <c r="BU2638" s="92"/>
      <c r="BV2638" s="92"/>
      <c r="BW2638" s="92"/>
      <c r="BX2638" s="92"/>
      <c r="BY2638" s="92"/>
      <c r="BZ2638" s="92"/>
      <c r="CA2638" s="92"/>
      <c r="CB2638" s="92"/>
      <c r="CC2638" s="92"/>
      <c r="CD2638" s="92"/>
      <c r="CE2638" s="92"/>
      <c r="CF2638" s="92"/>
      <c r="CG2638" s="92"/>
      <c r="CH2638" s="92"/>
      <c r="CI2638" s="92"/>
      <c r="CJ2638" s="92"/>
      <c r="CK2638" s="92"/>
      <c r="CL2638" s="92"/>
      <c r="CM2638" s="92"/>
      <c r="CN2638" s="92"/>
      <c r="CO2638" s="92"/>
      <c r="CP2638" s="92"/>
      <c r="CQ2638" s="92"/>
      <c r="CR2638" s="92"/>
      <c r="CS2638" s="92"/>
      <c r="CT2638" s="92"/>
      <c r="CU2638" s="92"/>
      <c r="CV2638" s="92"/>
      <c r="CW2638" s="92"/>
      <c r="CX2638" s="92"/>
      <c r="CY2638" s="92"/>
      <c r="CZ2638" s="92"/>
      <c r="DA2638" s="92"/>
      <c r="DB2638" s="92"/>
      <c r="DC2638" s="92"/>
      <c r="DD2638" s="92"/>
      <c r="DE2638" s="92"/>
      <c r="DF2638" s="92"/>
      <c r="DG2638" s="92"/>
      <c r="DH2638" s="92"/>
      <c r="DI2638" s="92"/>
      <c r="DJ2638" s="92"/>
      <c r="DK2638" s="92"/>
      <c r="DL2638" s="92"/>
      <c r="DM2638" s="92"/>
      <c r="DN2638" s="92"/>
      <c r="DO2638" s="92"/>
      <c r="DP2638" s="92"/>
      <c r="DQ2638" s="92"/>
      <c r="DR2638" s="92"/>
      <c r="DS2638" s="92"/>
      <c r="DT2638" s="92"/>
      <c r="DU2638" s="92"/>
      <c r="DV2638" s="92"/>
      <c r="DW2638" s="92"/>
      <c r="DX2638" s="92"/>
      <c r="DY2638" s="92"/>
      <c r="DZ2638" s="92"/>
      <c r="EA2638" s="92"/>
      <c r="EB2638" s="92"/>
      <c r="EC2638" s="92"/>
      <c r="ED2638" s="92"/>
      <c r="EE2638" s="92"/>
      <c r="EF2638" s="92"/>
      <c r="EG2638" s="92"/>
      <c r="EH2638" s="92"/>
      <c r="EI2638" s="92"/>
      <c r="EJ2638" s="92"/>
      <c r="EK2638" s="92"/>
      <c r="EL2638" s="92"/>
      <c r="EM2638" s="92"/>
      <c r="EN2638" s="92"/>
      <c r="EO2638" s="92"/>
      <c r="EP2638" s="92"/>
      <c r="EQ2638" s="92"/>
      <c r="ER2638" s="92"/>
      <c r="ES2638" s="92"/>
      <c r="ET2638" s="92"/>
      <c r="EU2638" s="92"/>
      <c r="EV2638" s="92"/>
      <c r="EW2638" s="92"/>
      <c r="EX2638" s="92"/>
      <c r="EY2638" s="92"/>
      <c r="EZ2638" s="92"/>
      <c r="FA2638" s="92"/>
      <c r="FB2638" s="92"/>
      <c r="FC2638" s="92"/>
      <c r="FD2638" s="92"/>
      <c r="FE2638" s="92"/>
      <c r="FF2638" s="92"/>
      <c r="FG2638" s="92"/>
      <c r="FH2638" s="92"/>
      <c r="FI2638" s="92"/>
      <c r="FJ2638" s="92"/>
      <c r="FK2638" s="92"/>
      <c r="FL2638" s="92"/>
      <c r="FM2638" s="92"/>
      <c r="FN2638" s="92"/>
      <c r="FO2638" s="92"/>
      <c r="FP2638" s="92"/>
      <c r="FQ2638" s="92"/>
      <c r="FR2638" s="92"/>
      <c r="FS2638" s="92"/>
      <c r="FT2638" s="92"/>
      <c r="FU2638" s="92"/>
      <c r="FV2638" s="92"/>
      <c r="FW2638" s="92"/>
      <c r="FX2638" s="92"/>
      <c r="FY2638" s="92"/>
      <c r="FZ2638" s="92"/>
      <c r="GA2638" s="92"/>
      <c r="GB2638" s="92"/>
      <c r="GC2638" s="92"/>
      <c r="GD2638" s="92"/>
      <c r="GE2638" s="92"/>
      <c r="GF2638" s="92"/>
      <c r="GG2638" s="92"/>
      <c r="GH2638" s="92"/>
      <c r="GI2638" s="92"/>
      <c r="GJ2638" s="92"/>
      <c r="GK2638" s="92"/>
      <c r="GL2638" s="92"/>
      <c r="GM2638" s="92"/>
      <c r="GN2638" s="92"/>
      <c r="GO2638" s="92"/>
      <c r="GP2638" s="92"/>
      <c r="GQ2638" s="92"/>
      <c r="GR2638" s="92"/>
      <c r="GS2638" s="92"/>
      <c r="GT2638" s="92"/>
      <c r="GU2638" s="92"/>
      <c r="GV2638" s="92"/>
      <c r="GW2638" s="92"/>
      <c r="GX2638" s="92"/>
      <c r="GY2638" s="92"/>
      <c r="GZ2638" s="92"/>
      <c r="HA2638" s="92"/>
      <c r="HB2638" s="92"/>
      <c r="HC2638" s="92"/>
      <c r="HD2638" s="92"/>
      <c r="HE2638" s="92"/>
      <c r="HF2638" s="92"/>
      <c r="HG2638" s="92"/>
      <c r="HH2638" s="92"/>
      <c r="HI2638" s="92"/>
      <c r="HJ2638" s="92"/>
      <c r="HK2638" s="92"/>
      <c r="HL2638" s="92"/>
      <c r="HM2638" s="92"/>
      <c r="HN2638" s="92"/>
      <c r="HO2638" s="92"/>
      <c r="HP2638" s="92"/>
      <c r="HQ2638" s="92"/>
    </row>
    <row r="2639" spans="1:225" ht="108.5" x14ac:dyDescent="0.35">
      <c r="A2639" s="308"/>
      <c r="B2639" s="308"/>
      <c r="C2639" s="301"/>
      <c r="D2639" s="281"/>
      <c r="E2639" s="281"/>
      <c r="F2639" s="337"/>
      <c r="G2639" s="124" t="s">
        <v>109</v>
      </c>
      <c r="H2639" s="116" t="s">
        <v>666</v>
      </c>
      <c r="I2639" s="86">
        <f>D2637*K2639</f>
        <v>229621.7</v>
      </c>
      <c r="J2639" s="86">
        <f>I2639/D2637</f>
        <v>121</v>
      </c>
      <c r="K2639" s="86">
        <v>121</v>
      </c>
      <c r="L2639" s="92"/>
      <c r="M2639" s="92"/>
      <c r="N2639" s="92"/>
      <c r="O2639" s="92"/>
      <c r="P2639" s="92"/>
      <c r="Q2639" s="92"/>
      <c r="R2639" s="92"/>
      <c r="S2639" s="92"/>
      <c r="T2639" s="92"/>
      <c r="U2639" s="92"/>
      <c r="V2639" s="92"/>
      <c r="W2639" s="92"/>
      <c r="X2639" s="92"/>
      <c r="Y2639" s="92"/>
      <c r="Z2639" s="92"/>
      <c r="AA2639" s="92"/>
      <c r="AB2639" s="92"/>
      <c r="AC2639" s="92"/>
      <c r="AD2639" s="92"/>
      <c r="AE2639" s="92"/>
      <c r="AF2639" s="92"/>
      <c r="AG2639" s="92"/>
      <c r="AH2639" s="92"/>
      <c r="AI2639" s="92"/>
      <c r="AJ2639" s="92"/>
      <c r="AK2639" s="92"/>
      <c r="AL2639" s="92"/>
      <c r="AM2639" s="92"/>
      <c r="AN2639" s="92"/>
      <c r="AO2639" s="92"/>
      <c r="AP2639" s="92"/>
      <c r="AQ2639" s="92"/>
      <c r="AR2639" s="92"/>
      <c r="AS2639" s="92"/>
      <c r="AT2639" s="92"/>
      <c r="AU2639" s="92"/>
      <c r="AV2639" s="92"/>
      <c r="AW2639" s="92"/>
      <c r="AX2639" s="92"/>
      <c r="AY2639" s="92"/>
      <c r="AZ2639" s="92"/>
      <c r="BA2639" s="92"/>
      <c r="BB2639" s="92"/>
      <c r="BC2639" s="92"/>
      <c r="BD2639" s="92"/>
      <c r="BE2639" s="92"/>
      <c r="BF2639" s="92"/>
      <c r="BG2639" s="92"/>
      <c r="BH2639" s="92"/>
      <c r="BI2639" s="92"/>
      <c r="BJ2639" s="92"/>
      <c r="BK2639" s="92"/>
      <c r="BL2639" s="92"/>
      <c r="BM2639" s="92"/>
      <c r="BN2639" s="92"/>
      <c r="BO2639" s="92"/>
      <c r="BP2639" s="92"/>
      <c r="BQ2639" s="92"/>
      <c r="BR2639" s="92"/>
      <c r="BS2639" s="92"/>
      <c r="BT2639" s="92"/>
      <c r="BU2639" s="92"/>
      <c r="BV2639" s="92"/>
      <c r="BW2639" s="92"/>
      <c r="BX2639" s="92"/>
      <c r="BY2639" s="92"/>
      <c r="BZ2639" s="92"/>
      <c r="CA2639" s="92"/>
      <c r="CB2639" s="92"/>
      <c r="CC2639" s="92"/>
      <c r="CD2639" s="92"/>
      <c r="CE2639" s="92"/>
      <c r="CF2639" s="92"/>
      <c r="CG2639" s="92"/>
      <c r="CH2639" s="92"/>
      <c r="CI2639" s="92"/>
      <c r="CJ2639" s="92"/>
      <c r="CK2639" s="92"/>
      <c r="CL2639" s="92"/>
      <c r="CM2639" s="92"/>
      <c r="CN2639" s="92"/>
      <c r="CO2639" s="92"/>
      <c r="CP2639" s="92"/>
      <c r="CQ2639" s="92"/>
      <c r="CR2639" s="92"/>
      <c r="CS2639" s="92"/>
      <c r="CT2639" s="92"/>
      <c r="CU2639" s="92"/>
      <c r="CV2639" s="92"/>
      <c r="CW2639" s="92"/>
      <c r="CX2639" s="92"/>
      <c r="CY2639" s="92"/>
      <c r="CZ2639" s="92"/>
      <c r="DA2639" s="92"/>
      <c r="DB2639" s="92"/>
      <c r="DC2639" s="92"/>
      <c r="DD2639" s="92"/>
      <c r="DE2639" s="92"/>
      <c r="DF2639" s="92"/>
      <c r="DG2639" s="92"/>
      <c r="DH2639" s="92"/>
      <c r="DI2639" s="92"/>
      <c r="DJ2639" s="92"/>
      <c r="DK2639" s="92"/>
      <c r="DL2639" s="92"/>
      <c r="DM2639" s="92"/>
      <c r="DN2639" s="92"/>
      <c r="DO2639" s="92"/>
      <c r="DP2639" s="92"/>
      <c r="DQ2639" s="92"/>
      <c r="DR2639" s="92"/>
      <c r="DS2639" s="92"/>
      <c r="DT2639" s="92"/>
      <c r="DU2639" s="92"/>
      <c r="DV2639" s="92"/>
      <c r="DW2639" s="92"/>
      <c r="DX2639" s="92"/>
      <c r="DY2639" s="92"/>
      <c r="DZ2639" s="92"/>
      <c r="EA2639" s="92"/>
      <c r="EB2639" s="92"/>
      <c r="EC2639" s="92"/>
      <c r="ED2639" s="92"/>
      <c r="EE2639" s="92"/>
      <c r="EF2639" s="92"/>
      <c r="EG2639" s="92"/>
      <c r="EH2639" s="92"/>
      <c r="EI2639" s="92"/>
      <c r="EJ2639" s="92"/>
      <c r="EK2639" s="92"/>
      <c r="EL2639" s="92"/>
      <c r="EM2639" s="92"/>
      <c r="EN2639" s="92"/>
      <c r="EO2639" s="92"/>
      <c r="EP2639" s="92"/>
      <c r="EQ2639" s="92"/>
      <c r="ER2639" s="92"/>
      <c r="ES2639" s="92"/>
      <c r="ET2639" s="92"/>
      <c r="EU2639" s="92"/>
      <c r="EV2639" s="92"/>
      <c r="EW2639" s="92"/>
      <c r="EX2639" s="92"/>
      <c r="EY2639" s="92"/>
      <c r="EZ2639" s="92"/>
      <c r="FA2639" s="92"/>
      <c r="FB2639" s="92"/>
      <c r="FC2639" s="92"/>
      <c r="FD2639" s="92"/>
      <c r="FE2639" s="92"/>
      <c r="FF2639" s="92"/>
      <c r="FG2639" s="92"/>
      <c r="FH2639" s="92"/>
      <c r="FI2639" s="92"/>
      <c r="FJ2639" s="92"/>
      <c r="FK2639" s="92"/>
      <c r="FL2639" s="92"/>
      <c r="FM2639" s="92"/>
      <c r="FN2639" s="92"/>
      <c r="FO2639" s="92"/>
      <c r="FP2639" s="92"/>
      <c r="FQ2639" s="92"/>
      <c r="FR2639" s="92"/>
      <c r="FS2639" s="92"/>
      <c r="FT2639" s="92"/>
      <c r="FU2639" s="92"/>
      <c r="FV2639" s="92"/>
      <c r="FW2639" s="92"/>
      <c r="FX2639" s="92"/>
      <c r="FY2639" s="92"/>
      <c r="FZ2639" s="92"/>
      <c r="GA2639" s="92"/>
      <c r="GB2639" s="92"/>
      <c r="GC2639" s="92"/>
      <c r="GD2639" s="92"/>
      <c r="GE2639" s="92"/>
      <c r="GF2639" s="92"/>
      <c r="GG2639" s="92"/>
      <c r="GH2639" s="92"/>
      <c r="GI2639" s="92"/>
      <c r="GJ2639" s="92"/>
      <c r="GK2639" s="92"/>
      <c r="GL2639" s="92"/>
      <c r="GM2639" s="92"/>
      <c r="GN2639" s="92"/>
      <c r="GO2639" s="92"/>
      <c r="GP2639" s="92"/>
      <c r="GQ2639" s="92"/>
      <c r="GR2639" s="92"/>
      <c r="GS2639" s="92"/>
      <c r="GT2639" s="92"/>
      <c r="GU2639" s="92"/>
      <c r="GV2639" s="92"/>
      <c r="GW2639" s="92"/>
      <c r="GX2639" s="92"/>
      <c r="GY2639" s="92"/>
      <c r="GZ2639" s="92"/>
      <c r="HA2639" s="92"/>
      <c r="HB2639" s="92"/>
      <c r="HC2639" s="92"/>
      <c r="HD2639" s="92"/>
      <c r="HE2639" s="92"/>
      <c r="HF2639" s="92"/>
      <c r="HG2639" s="92"/>
      <c r="HH2639" s="92"/>
      <c r="HI2639" s="92"/>
      <c r="HJ2639" s="92"/>
      <c r="HK2639" s="92"/>
      <c r="HL2639" s="92"/>
      <c r="HM2639" s="92"/>
      <c r="HN2639" s="92"/>
      <c r="HO2639" s="92"/>
      <c r="HP2639" s="92"/>
      <c r="HQ2639" s="92"/>
    </row>
    <row r="2640" spans="1:225" ht="15.75" customHeight="1" x14ac:dyDescent="0.35">
      <c r="A2640" s="285">
        <f>A2637+1</f>
        <v>8</v>
      </c>
      <c r="B2640" s="285">
        <v>6248</v>
      </c>
      <c r="C2640" s="295" t="s">
        <v>510</v>
      </c>
      <c r="D2640" s="279">
        <v>526.4</v>
      </c>
      <c r="E2640" s="285" t="s">
        <v>80</v>
      </c>
      <c r="F2640" s="285">
        <v>2</v>
      </c>
      <c r="G2640" s="285" t="s">
        <v>72</v>
      </c>
      <c r="H2640" s="116" t="s">
        <v>73</v>
      </c>
      <c r="I2640" s="86">
        <f>I2641+I2642</f>
        <v>3641635.2</v>
      </c>
      <c r="J2640" s="86">
        <f>J2641+J2642</f>
        <v>6918</v>
      </c>
      <c r="K2640" s="86">
        <f>K2641+K2642</f>
        <v>7066</v>
      </c>
      <c r="L2640" s="92"/>
      <c r="M2640" s="92"/>
      <c r="N2640" s="92"/>
      <c r="O2640" s="92"/>
      <c r="P2640" s="92"/>
      <c r="Q2640" s="92"/>
      <c r="R2640" s="92"/>
      <c r="S2640" s="92"/>
      <c r="T2640" s="92"/>
      <c r="U2640" s="92"/>
      <c r="V2640" s="92"/>
      <c r="W2640" s="92"/>
      <c r="X2640" s="92"/>
      <c r="Y2640" s="92"/>
      <c r="Z2640" s="92"/>
      <c r="AA2640" s="92"/>
      <c r="AB2640" s="92"/>
      <c r="AC2640" s="92"/>
      <c r="AD2640" s="92"/>
      <c r="AE2640" s="92"/>
      <c r="AF2640" s="92"/>
      <c r="AG2640" s="92"/>
      <c r="AH2640" s="92"/>
      <c r="AI2640" s="92"/>
      <c r="AJ2640" s="92"/>
      <c r="AK2640" s="92"/>
      <c r="AL2640" s="92"/>
      <c r="AM2640" s="92"/>
      <c r="AN2640" s="92"/>
      <c r="AO2640" s="92"/>
      <c r="AP2640" s="92"/>
      <c r="AQ2640" s="92"/>
      <c r="AR2640" s="92"/>
      <c r="AS2640" s="92"/>
      <c r="AT2640" s="92"/>
      <c r="AU2640" s="92"/>
      <c r="AV2640" s="92"/>
      <c r="AW2640" s="92"/>
      <c r="AX2640" s="92"/>
      <c r="AY2640" s="92"/>
      <c r="AZ2640" s="92"/>
      <c r="BA2640" s="92"/>
      <c r="BB2640" s="92"/>
      <c r="BC2640" s="92"/>
      <c r="BD2640" s="92"/>
      <c r="BE2640" s="92"/>
      <c r="BF2640" s="92"/>
      <c r="BG2640" s="92"/>
      <c r="BH2640" s="92"/>
      <c r="BI2640" s="92"/>
      <c r="BJ2640" s="92"/>
      <c r="BK2640" s="92"/>
      <c r="BL2640" s="92"/>
      <c r="BM2640" s="92"/>
      <c r="BN2640" s="92"/>
      <c r="BO2640" s="92"/>
      <c r="BP2640" s="92"/>
      <c r="BQ2640" s="92"/>
      <c r="BR2640" s="92"/>
      <c r="BS2640" s="92"/>
      <c r="BT2640" s="92"/>
      <c r="BU2640" s="92"/>
      <c r="BV2640" s="92"/>
      <c r="BW2640" s="92"/>
      <c r="BX2640" s="92"/>
      <c r="BY2640" s="92"/>
      <c r="BZ2640" s="92"/>
      <c r="CA2640" s="92"/>
      <c r="CB2640" s="92"/>
      <c r="CC2640" s="92"/>
      <c r="CD2640" s="92"/>
      <c r="CE2640" s="92"/>
      <c r="CF2640" s="92"/>
      <c r="CG2640" s="92"/>
      <c r="CH2640" s="92"/>
      <c r="CI2640" s="92"/>
      <c r="CJ2640" s="92"/>
      <c r="CK2640" s="92"/>
      <c r="CL2640" s="92"/>
      <c r="CM2640" s="92"/>
      <c r="CN2640" s="92"/>
      <c r="CO2640" s="92"/>
      <c r="CP2640" s="92"/>
      <c r="CQ2640" s="92"/>
      <c r="CR2640" s="92"/>
      <c r="CS2640" s="92"/>
      <c r="CT2640" s="92"/>
      <c r="CU2640" s="92"/>
      <c r="CV2640" s="92"/>
      <c r="CW2640" s="92"/>
      <c r="CX2640" s="92"/>
      <c r="CY2640" s="92"/>
      <c r="CZ2640" s="92"/>
      <c r="DA2640" s="92"/>
      <c r="DB2640" s="92"/>
      <c r="DC2640" s="92"/>
      <c r="DD2640" s="92"/>
      <c r="DE2640" s="92"/>
      <c r="DF2640" s="92"/>
      <c r="DG2640" s="92"/>
      <c r="DH2640" s="92"/>
      <c r="DI2640" s="92"/>
      <c r="DJ2640" s="92"/>
      <c r="DK2640" s="92"/>
      <c r="DL2640" s="92"/>
      <c r="DM2640" s="92"/>
      <c r="DN2640" s="92"/>
      <c r="DO2640" s="92"/>
      <c r="DP2640" s="92"/>
      <c r="DQ2640" s="92"/>
      <c r="DR2640" s="92"/>
      <c r="DS2640" s="92"/>
      <c r="DT2640" s="92"/>
      <c r="DU2640" s="92"/>
      <c r="DV2640" s="92"/>
      <c r="DW2640" s="92"/>
      <c r="DX2640" s="92"/>
      <c r="DY2640" s="92"/>
      <c r="DZ2640" s="92"/>
      <c r="EA2640" s="92"/>
      <c r="EB2640" s="92"/>
      <c r="EC2640" s="92"/>
      <c r="ED2640" s="92"/>
      <c r="EE2640" s="92"/>
      <c r="EF2640" s="92"/>
      <c r="EG2640" s="92"/>
      <c r="EH2640" s="92"/>
      <c r="EI2640" s="92"/>
      <c r="EJ2640" s="92"/>
      <c r="EK2640" s="92"/>
      <c r="EL2640" s="92"/>
      <c r="EM2640" s="92"/>
      <c r="EN2640" s="92"/>
      <c r="EO2640" s="92"/>
      <c r="EP2640" s="92"/>
      <c r="EQ2640" s="92"/>
      <c r="ER2640" s="92"/>
      <c r="ES2640" s="92"/>
      <c r="ET2640" s="92"/>
      <c r="EU2640" s="92"/>
      <c r="EV2640" s="92"/>
      <c r="EW2640" s="92"/>
      <c r="EX2640" s="92"/>
      <c r="EY2640" s="92"/>
      <c r="EZ2640" s="92"/>
      <c r="FA2640" s="92"/>
      <c r="FB2640" s="92"/>
      <c r="FC2640" s="92"/>
      <c r="FD2640" s="92"/>
      <c r="FE2640" s="92"/>
      <c r="FF2640" s="92"/>
      <c r="FG2640" s="92"/>
      <c r="FH2640" s="92"/>
      <c r="FI2640" s="92"/>
      <c r="FJ2640" s="92"/>
      <c r="FK2640" s="92"/>
      <c r="FL2640" s="92"/>
      <c r="FM2640" s="92"/>
      <c r="FN2640" s="92"/>
      <c r="FO2640" s="92"/>
      <c r="FP2640" s="92"/>
      <c r="FQ2640" s="92"/>
      <c r="FR2640" s="92"/>
      <c r="FS2640" s="92"/>
      <c r="FT2640" s="92"/>
      <c r="FU2640" s="92"/>
      <c r="FV2640" s="92"/>
      <c r="FW2640" s="92"/>
      <c r="FX2640" s="92"/>
      <c r="FY2640" s="92"/>
      <c r="FZ2640" s="92"/>
      <c r="GA2640" s="92"/>
      <c r="GB2640" s="92"/>
      <c r="GC2640" s="92"/>
      <c r="GD2640" s="92"/>
      <c r="GE2640" s="92"/>
      <c r="GF2640" s="92"/>
      <c r="GG2640" s="92"/>
      <c r="GH2640" s="92"/>
      <c r="GI2640" s="92"/>
      <c r="GJ2640" s="92"/>
      <c r="GK2640" s="92"/>
      <c r="GL2640" s="92"/>
      <c r="GM2640" s="92"/>
      <c r="GN2640" s="92"/>
      <c r="GO2640" s="92"/>
      <c r="GP2640" s="92"/>
      <c r="GQ2640" s="92"/>
      <c r="GR2640" s="92"/>
      <c r="GS2640" s="92"/>
      <c r="GT2640" s="92"/>
      <c r="GU2640" s="92"/>
      <c r="GV2640" s="92"/>
      <c r="GW2640" s="92"/>
      <c r="GX2640" s="92"/>
      <c r="GY2640" s="92"/>
      <c r="GZ2640" s="92"/>
      <c r="HA2640" s="92"/>
      <c r="HB2640" s="92"/>
      <c r="HC2640" s="92"/>
      <c r="HD2640" s="92"/>
      <c r="HE2640" s="92"/>
      <c r="HF2640" s="92"/>
      <c r="HG2640" s="92"/>
      <c r="HH2640" s="92"/>
      <c r="HI2640" s="92"/>
      <c r="HJ2640" s="92"/>
      <c r="HK2640" s="92"/>
      <c r="HL2640" s="92"/>
      <c r="HM2640" s="92"/>
      <c r="HN2640" s="92"/>
      <c r="HO2640" s="92"/>
      <c r="HP2640" s="92"/>
      <c r="HQ2640" s="92"/>
    </row>
    <row r="2641" spans="1:225" x14ac:dyDescent="0.35">
      <c r="A2641" s="286"/>
      <c r="B2641" s="286"/>
      <c r="C2641" s="296"/>
      <c r="D2641" s="280"/>
      <c r="E2641" s="286"/>
      <c r="F2641" s="286"/>
      <c r="G2641" s="286"/>
      <c r="H2641" s="116" t="s">
        <v>667</v>
      </c>
      <c r="I2641" s="86">
        <f>D2640*K2641</f>
        <v>3641635.2</v>
      </c>
      <c r="J2641" s="86">
        <f>I2641/D2640</f>
        <v>6918</v>
      </c>
      <c r="K2641" s="86">
        <v>6918</v>
      </c>
      <c r="L2641" s="92"/>
      <c r="M2641" s="92"/>
      <c r="N2641" s="92"/>
      <c r="O2641" s="92"/>
      <c r="P2641" s="92"/>
      <c r="Q2641" s="92"/>
      <c r="R2641" s="92"/>
      <c r="S2641" s="92"/>
      <c r="T2641" s="92"/>
      <c r="U2641" s="92"/>
      <c r="V2641" s="92"/>
      <c r="W2641" s="92"/>
      <c r="X2641" s="92"/>
      <c r="Y2641" s="92"/>
      <c r="Z2641" s="92"/>
      <c r="AA2641" s="92"/>
      <c r="AB2641" s="92"/>
      <c r="AC2641" s="92"/>
      <c r="AD2641" s="92"/>
      <c r="AE2641" s="92"/>
      <c r="AF2641" s="92"/>
      <c r="AG2641" s="92"/>
      <c r="AH2641" s="92"/>
      <c r="AI2641" s="92"/>
      <c r="AJ2641" s="92"/>
      <c r="AK2641" s="92"/>
      <c r="AL2641" s="92"/>
      <c r="AM2641" s="92"/>
      <c r="AN2641" s="92"/>
      <c r="AO2641" s="92"/>
      <c r="AP2641" s="92"/>
      <c r="AQ2641" s="92"/>
      <c r="AR2641" s="92"/>
      <c r="AS2641" s="92"/>
      <c r="AT2641" s="92"/>
      <c r="AU2641" s="92"/>
      <c r="AV2641" s="92"/>
      <c r="AW2641" s="92"/>
      <c r="AX2641" s="92"/>
      <c r="AY2641" s="92"/>
      <c r="AZ2641" s="92"/>
      <c r="BA2641" s="92"/>
      <c r="BB2641" s="92"/>
      <c r="BC2641" s="92"/>
      <c r="BD2641" s="92"/>
      <c r="BE2641" s="92"/>
      <c r="BF2641" s="92"/>
      <c r="BG2641" s="92"/>
      <c r="BH2641" s="92"/>
      <c r="BI2641" s="92"/>
      <c r="BJ2641" s="92"/>
      <c r="BK2641" s="92"/>
      <c r="BL2641" s="92"/>
      <c r="BM2641" s="92"/>
      <c r="BN2641" s="92"/>
      <c r="BO2641" s="92"/>
      <c r="BP2641" s="92"/>
      <c r="BQ2641" s="92"/>
      <c r="BR2641" s="92"/>
      <c r="BS2641" s="92"/>
      <c r="BT2641" s="92"/>
      <c r="BU2641" s="92"/>
      <c r="BV2641" s="92"/>
      <c r="BW2641" s="92"/>
      <c r="BX2641" s="92"/>
      <c r="BY2641" s="92"/>
      <c r="BZ2641" s="92"/>
      <c r="CA2641" s="92"/>
      <c r="CB2641" s="92"/>
      <c r="CC2641" s="92"/>
      <c r="CD2641" s="92"/>
      <c r="CE2641" s="92"/>
      <c r="CF2641" s="92"/>
      <c r="CG2641" s="92"/>
      <c r="CH2641" s="92"/>
      <c r="CI2641" s="92"/>
      <c r="CJ2641" s="92"/>
      <c r="CK2641" s="92"/>
      <c r="CL2641" s="92"/>
      <c r="CM2641" s="92"/>
      <c r="CN2641" s="92"/>
      <c r="CO2641" s="92"/>
      <c r="CP2641" s="92"/>
      <c r="CQ2641" s="92"/>
      <c r="CR2641" s="92"/>
      <c r="CS2641" s="92"/>
      <c r="CT2641" s="92"/>
      <c r="CU2641" s="92"/>
      <c r="CV2641" s="92"/>
      <c r="CW2641" s="92"/>
      <c r="CX2641" s="92"/>
      <c r="CY2641" s="92"/>
      <c r="CZ2641" s="92"/>
      <c r="DA2641" s="92"/>
      <c r="DB2641" s="92"/>
      <c r="DC2641" s="92"/>
      <c r="DD2641" s="92"/>
      <c r="DE2641" s="92"/>
      <c r="DF2641" s="92"/>
      <c r="DG2641" s="92"/>
      <c r="DH2641" s="92"/>
      <c r="DI2641" s="92"/>
      <c r="DJ2641" s="92"/>
      <c r="DK2641" s="92"/>
      <c r="DL2641" s="92"/>
      <c r="DM2641" s="92"/>
      <c r="DN2641" s="92"/>
      <c r="DO2641" s="92"/>
      <c r="DP2641" s="92"/>
      <c r="DQ2641" s="92"/>
      <c r="DR2641" s="92"/>
      <c r="DS2641" s="92"/>
      <c r="DT2641" s="92"/>
      <c r="DU2641" s="92"/>
      <c r="DV2641" s="92"/>
      <c r="DW2641" s="92"/>
      <c r="DX2641" s="92"/>
      <c r="DY2641" s="92"/>
      <c r="DZ2641" s="92"/>
      <c r="EA2641" s="92"/>
      <c r="EB2641" s="92"/>
      <c r="EC2641" s="92"/>
      <c r="ED2641" s="92"/>
      <c r="EE2641" s="92"/>
      <c r="EF2641" s="92"/>
      <c r="EG2641" s="92"/>
      <c r="EH2641" s="92"/>
      <c r="EI2641" s="92"/>
      <c r="EJ2641" s="92"/>
      <c r="EK2641" s="92"/>
      <c r="EL2641" s="92"/>
      <c r="EM2641" s="92"/>
      <c r="EN2641" s="92"/>
      <c r="EO2641" s="92"/>
      <c r="EP2641" s="92"/>
      <c r="EQ2641" s="92"/>
      <c r="ER2641" s="92"/>
      <c r="ES2641" s="92"/>
      <c r="ET2641" s="92"/>
      <c r="EU2641" s="92"/>
      <c r="EV2641" s="92"/>
      <c r="EW2641" s="92"/>
      <c r="EX2641" s="92"/>
      <c r="EY2641" s="92"/>
      <c r="EZ2641" s="92"/>
      <c r="FA2641" s="92"/>
      <c r="FB2641" s="92"/>
      <c r="FC2641" s="92"/>
      <c r="FD2641" s="92"/>
      <c r="FE2641" s="92"/>
      <c r="FF2641" s="92"/>
      <c r="FG2641" s="92"/>
      <c r="FH2641" s="92"/>
      <c r="FI2641" s="92"/>
      <c r="FJ2641" s="92"/>
      <c r="FK2641" s="92"/>
      <c r="FL2641" s="92"/>
      <c r="FM2641" s="92"/>
      <c r="FN2641" s="92"/>
      <c r="FO2641" s="92"/>
      <c r="FP2641" s="92"/>
      <c r="FQ2641" s="92"/>
      <c r="FR2641" s="92"/>
      <c r="FS2641" s="92"/>
      <c r="FT2641" s="92"/>
      <c r="FU2641" s="92"/>
      <c r="FV2641" s="92"/>
      <c r="FW2641" s="92"/>
      <c r="FX2641" s="92"/>
      <c r="FY2641" s="92"/>
      <c r="FZ2641" s="92"/>
      <c r="GA2641" s="92"/>
      <c r="GB2641" s="92"/>
      <c r="GC2641" s="92"/>
      <c r="GD2641" s="92"/>
      <c r="GE2641" s="92"/>
      <c r="GF2641" s="92"/>
      <c r="GG2641" s="92"/>
      <c r="GH2641" s="92"/>
      <c r="GI2641" s="92"/>
      <c r="GJ2641" s="92"/>
      <c r="GK2641" s="92"/>
      <c r="GL2641" s="92"/>
      <c r="GM2641" s="92"/>
      <c r="GN2641" s="92"/>
      <c r="GO2641" s="92"/>
      <c r="GP2641" s="92"/>
      <c r="GQ2641" s="92"/>
      <c r="GR2641" s="92"/>
      <c r="GS2641" s="92"/>
      <c r="GT2641" s="92"/>
      <c r="GU2641" s="92"/>
      <c r="GV2641" s="92"/>
      <c r="GW2641" s="92"/>
      <c r="GX2641" s="92"/>
      <c r="GY2641" s="92"/>
      <c r="GZ2641" s="92"/>
      <c r="HA2641" s="92"/>
      <c r="HB2641" s="92"/>
      <c r="HC2641" s="92"/>
      <c r="HD2641" s="92"/>
      <c r="HE2641" s="92"/>
      <c r="HF2641" s="92"/>
      <c r="HG2641" s="92"/>
      <c r="HH2641" s="92"/>
      <c r="HI2641" s="92"/>
      <c r="HJ2641" s="92"/>
      <c r="HK2641" s="92"/>
      <c r="HL2641" s="92"/>
      <c r="HM2641" s="92"/>
      <c r="HN2641" s="92"/>
      <c r="HO2641" s="92"/>
      <c r="HP2641" s="92"/>
      <c r="HQ2641" s="92"/>
    </row>
    <row r="2642" spans="1:225" x14ac:dyDescent="0.35">
      <c r="A2642" s="287"/>
      <c r="B2642" s="287"/>
      <c r="C2642" s="297"/>
      <c r="D2642" s="281"/>
      <c r="E2642" s="287"/>
      <c r="F2642" s="287"/>
      <c r="G2642" s="287"/>
      <c r="H2642" s="116" t="s">
        <v>76</v>
      </c>
      <c r="I2642" s="86">
        <v>0</v>
      </c>
      <c r="J2642" s="86">
        <v>0</v>
      </c>
      <c r="K2642" s="86">
        <v>148</v>
      </c>
      <c r="L2642" s="92"/>
      <c r="M2642" s="92"/>
      <c r="N2642" s="92"/>
      <c r="O2642" s="92"/>
      <c r="P2642" s="92"/>
      <c r="Q2642" s="92"/>
      <c r="R2642" s="92"/>
      <c r="S2642" s="92"/>
      <c r="T2642" s="92"/>
      <c r="U2642" s="92"/>
      <c r="V2642" s="92"/>
      <c r="W2642" s="92"/>
      <c r="X2642" s="92"/>
      <c r="Y2642" s="92"/>
      <c r="Z2642" s="92"/>
      <c r="AA2642" s="92"/>
      <c r="AB2642" s="92"/>
      <c r="AC2642" s="92"/>
      <c r="AD2642" s="92"/>
      <c r="AE2642" s="92"/>
      <c r="AF2642" s="92"/>
      <c r="AG2642" s="92"/>
      <c r="AH2642" s="92"/>
      <c r="AI2642" s="92"/>
      <c r="AJ2642" s="92"/>
      <c r="AK2642" s="92"/>
      <c r="AL2642" s="92"/>
      <c r="AM2642" s="92"/>
      <c r="AN2642" s="92"/>
      <c r="AO2642" s="92"/>
      <c r="AP2642" s="92"/>
      <c r="AQ2642" s="92"/>
      <c r="AR2642" s="92"/>
      <c r="AS2642" s="92"/>
      <c r="AT2642" s="92"/>
      <c r="AU2642" s="92"/>
      <c r="AV2642" s="92"/>
      <c r="AW2642" s="92"/>
      <c r="AX2642" s="92"/>
      <c r="AY2642" s="92"/>
      <c r="AZ2642" s="92"/>
      <c r="BA2642" s="92"/>
      <c r="BB2642" s="92"/>
      <c r="BC2642" s="92"/>
      <c r="BD2642" s="92"/>
      <c r="BE2642" s="92"/>
      <c r="BF2642" s="92"/>
      <c r="BG2642" s="92"/>
      <c r="BH2642" s="92"/>
      <c r="BI2642" s="92"/>
      <c r="BJ2642" s="92"/>
      <c r="BK2642" s="92"/>
      <c r="BL2642" s="92"/>
      <c r="BM2642" s="92"/>
      <c r="BN2642" s="92"/>
      <c r="BO2642" s="92"/>
      <c r="BP2642" s="92"/>
      <c r="BQ2642" s="92"/>
      <c r="BR2642" s="92"/>
      <c r="BS2642" s="92"/>
      <c r="BT2642" s="92"/>
      <c r="BU2642" s="92"/>
      <c r="BV2642" s="92"/>
      <c r="BW2642" s="92"/>
      <c r="BX2642" s="92"/>
      <c r="BY2642" s="92"/>
      <c r="BZ2642" s="92"/>
      <c r="CA2642" s="92"/>
      <c r="CB2642" s="92"/>
      <c r="CC2642" s="92"/>
      <c r="CD2642" s="92"/>
      <c r="CE2642" s="92"/>
      <c r="CF2642" s="92"/>
      <c r="CG2642" s="92"/>
      <c r="CH2642" s="92"/>
      <c r="CI2642" s="92"/>
      <c r="CJ2642" s="92"/>
      <c r="CK2642" s="92"/>
      <c r="CL2642" s="92"/>
      <c r="CM2642" s="92"/>
      <c r="CN2642" s="92"/>
      <c r="CO2642" s="92"/>
      <c r="CP2642" s="92"/>
      <c r="CQ2642" s="92"/>
      <c r="CR2642" s="92"/>
      <c r="CS2642" s="92"/>
      <c r="CT2642" s="92"/>
      <c r="CU2642" s="92"/>
      <c r="CV2642" s="92"/>
      <c r="CW2642" s="92"/>
      <c r="CX2642" s="92"/>
      <c r="CY2642" s="92"/>
      <c r="CZ2642" s="92"/>
      <c r="DA2642" s="92"/>
      <c r="DB2642" s="92"/>
      <c r="DC2642" s="92"/>
      <c r="DD2642" s="92"/>
      <c r="DE2642" s="92"/>
      <c r="DF2642" s="92"/>
      <c r="DG2642" s="92"/>
      <c r="DH2642" s="92"/>
      <c r="DI2642" s="92"/>
      <c r="DJ2642" s="92"/>
      <c r="DK2642" s="92"/>
      <c r="DL2642" s="92"/>
      <c r="DM2642" s="92"/>
      <c r="DN2642" s="92"/>
      <c r="DO2642" s="92"/>
      <c r="DP2642" s="92"/>
      <c r="DQ2642" s="92"/>
      <c r="DR2642" s="92"/>
      <c r="DS2642" s="92"/>
      <c r="DT2642" s="92"/>
      <c r="DU2642" s="92"/>
      <c r="DV2642" s="92"/>
      <c r="DW2642" s="92"/>
      <c r="DX2642" s="92"/>
      <c r="DY2642" s="92"/>
      <c r="DZ2642" s="92"/>
      <c r="EA2642" s="92"/>
      <c r="EB2642" s="92"/>
      <c r="EC2642" s="92"/>
      <c r="ED2642" s="92"/>
      <c r="EE2642" s="92"/>
      <c r="EF2642" s="92"/>
      <c r="EG2642" s="92"/>
      <c r="EH2642" s="92"/>
      <c r="EI2642" s="92"/>
      <c r="EJ2642" s="92"/>
      <c r="EK2642" s="92"/>
      <c r="EL2642" s="92"/>
      <c r="EM2642" s="92"/>
      <c r="EN2642" s="92"/>
      <c r="EO2642" s="92"/>
      <c r="EP2642" s="92"/>
      <c r="EQ2642" s="92"/>
      <c r="ER2642" s="92"/>
      <c r="ES2642" s="92"/>
      <c r="ET2642" s="92"/>
      <c r="EU2642" s="92"/>
      <c r="EV2642" s="92"/>
      <c r="EW2642" s="92"/>
      <c r="EX2642" s="92"/>
      <c r="EY2642" s="92"/>
      <c r="EZ2642" s="92"/>
      <c r="FA2642" s="92"/>
      <c r="FB2642" s="92"/>
      <c r="FC2642" s="92"/>
      <c r="FD2642" s="92"/>
      <c r="FE2642" s="92"/>
      <c r="FF2642" s="92"/>
      <c r="FG2642" s="92"/>
      <c r="FH2642" s="92"/>
      <c r="FI2642" s="92"/>
      <c r="FJ2642" s="92"/>
      <c r="FK2642" s="92"/>
      <c r="FL2642" s="92"/>
      <c r="FM2642" s="92"/>
      <c r="FN2642" s="92"/>
      <c r="FO2642" s="92"/>
      <c r="FP2642" s="92"/>
      <c r="FQ2642" s="92"/>
      <c r="FR2642" s="92"/>
      <c r="FS2642" s="92"/>
      <c r="FT2642" s="92"/>
      <c r="FU2642" s="92"/>
      <c r="FV2642" s="92"/>
      <c r="FW2642" s="92"/>
      <c r="FX2642" s="92"/>
      <c r="FY2642" s="92"/>
      <c r="FZ2642" s="92"/>
      <c r="GA2642" s="92"/>
      <c r="GB2642" s="92"/>
      <c r="GC2642" s="92"/>
      <c r="GD2642" s="92"/>
      <c r="GE2642" s="92"/>
      <c r="GF2642" s="92"/>
      <c r="GG2642" s="92"/>
      <c r="GH2642" s="92"/>
      <c r="GI2642" s="92"/>
      <c r="GJ2642" s="92"/>
      <c r="GK2642" s="92"/>
      <c r="GL2642" s="92"/>
      <c r="GM2642" s="92"/>
      <c r="GN2642" s="92"/>
      <c r="GO2642" s="92"/>
      <c r="GP2642" s="92"/>
      <c r="GQ2642" s="92"/>
      <c r="GR2642" s="92"/>
      <c r="GS2642" s="92"/>
      <c r="GT2642" s="92"/>
      <c r="GU2642" s="92"/>
      <c r="GV2642" s="92"/>
      <c r="GW2642" s="92"/>
      <c r="GX2642" s="92"/>
      <c r="GY2642" s="92"/>
      <c r="GZ2642" s="92"/>
      <c r="HA2642" s="92"/>
      <c r="HB2642" s="92"/>
      <c r="HC2642" s="92"/>
      <c r="HD2642" s="92"/>
      <c r="HE2642" s="92"/>
      <c r="HF2642" s="92"/>
      <c r="HG2642" s="92"/>
      <c r="HH2642" s="92"/>
      <c r="HI2642" s="92"/>
      <c r="HJ2642" s="92"/>
      <c r="HK2642" s="92"/>
      <c r="HL2642" s="92"/>
      <c r="HM2642" s="92"/>
      <c r="HN2642" s="92"/>
      <c r="HO2642" s="92"/>
      <c r="HP2642" s="92"/>
      <c r="HQ2642" s="92"/>
    </row>
    <row r="2643" spans="1:225" ht="15.75" customHeight="1" x14ac:dyDescent="0.35">
      <c r="A2643" s="285">
        <f>A2640+1</f>
        <v>9</v>
      </c>
      <c r="B2643" s="285">
        <v>6250</v>
      </c>
      <c r="C2643" s="295" t="s">
        <v>511</v>
      </c>
      <c r="D2643" s="279">
        <v>520.9</v>
      </c>
      <c r="E2643" s="285" t="s">
        <v>80</v>
      </c>
      <c r="F2643" s="285">
        <v>2</v>
      </c>
      <c r="G2643" s="285" t="s">
        <v>72</v>
      </c>
      <c r="H2643" s="116" t="s">
        <v>73</v>
      </c>
      <c r="I2643" s="86">
        <f>I2644+I2645</f>
        <v>3603586.2</v>
      </c>
      <c r="J2643" s="86">
        <f>J2644+J2645</f>
        <v>6918</v>
      </c>
      <c r="K2643" s="86">
        <f>K2644+K2645</f>
        <v>7066</v>
      </c>
      <c r="L2643" s="92"/>
      <c r="M2643" s="92"/>
      <c r="N2643" s="92"/>
      <c r="O2643" s="92"/>
      <c r="P2643" s="92"/>
      <c r="Q2643" s="92"/>
      <c r="R2643" s="92"/>
      <c r="S2643" s="92"/>
      <c r="T2643" s="92"/>
      <c r="U2643" s="92"/>
      <c r="V2643" s="92"/>
      <c r="W2643" s="92"/>
      <c r="X2643" s="92"/>
      <c r="Y2643" s="92"/>
      <c r="Z2643" s="92"/>
      <c r="AA2643" s="92"/>
      <c r="AB2643" s="92"/>
      <c r="AC2643" s="92"/>
      <c r="AD2643" s="92"/>
      <c r="AE2643" s="92"/>
      <c r="AF2643" s="92"/>
      <c r="AG2643" s="92"/>
      <c r="AH2643" s="92"/>
      <c r="AI2643" s="92"/>
      <c r="AJ2643" s="92"/>
      <c r="AK2643" s="92"/>
      <c r="AL2643" s="92"/>
      <c r="AM2643" s="92"/>
      <c r="AN2643" s="92"/>
      <c r="AO2643" s="92"/>
      <c r="AP2643" s="92"/>
      <c r="AQ2643" s="92"/>
      <c r="AR2643" s="92"/>
      <c r="AS2643" s="92"/>
      <c r="AT2643" s="92"/>
      <c r="AU2643" s="92"/>
      <c r="AV2643" s="92"/>
      <c r="AW2643" s="92"/>
      <c r="AX2643" s="92"/>
      <c r="AY2643" s="92"/>
      <c r="AZ2643" s="92"/>
      <c r="BA2643" s="92"/>
      <c r="BB2643" s="92"/>
      <c r="BC2643" s="92"/>
      <c r="BD2643" s="92"/>
      <c r="BE2643" s="92"/>
      <c r="BF2643" s="92"/>
      <c r="BG2643" s="92"/>
      <c r="BH2643" s="92"/>
      <c r="BI2643" s="92"/>
      <c r="BJ2643" s="92"/>
      <c r="BK2643" s="92"/>
      <c r="BL2643" s="92"/>
      <c r="BM2643" s="92"/>
      <c r="BN2643" s="92"/>
      <c r="BO2643" s="92"/>
      <c r="BP2643" s="92"/>
      <c r="BQ2643" s="92"/>
      <c r="BR2643" s="92"/>
      <c r="BS2643" s="92"/>
      <c r="BT2643" s="92"/>
      <c r="BU2643" s="92"/>
      <c r="BV2643" s="92"/>
      <c r="BW2643" s="92"/>
      <c r="BX2643" s="92"/>
      <c r="BY2643" s="92"/>
      <c r="BZ2643" s="92"/>
      <c r="CA2643" s="92"/>
      <c r="CB2643" s="92"/>
      <c r="CC2643" s="92"/>
      <c r="CD2643" s="92"/>
      <c r="CE2643" s="92"/>
      <c r="CF2643" s="92"/>
      <c r="CG2643" s="92"/>
      <c r="CH2643" s="92"/>
      <c r="CI2643" s="92"/>
      <c r="CJ2643" s="92"/>
      <c r="CK2643" s="92"/>
      <c r="CL2643" s="92"/>
      <c r="CM2643" s="92"/>
      <c r="CN2643" s="92"/>
      <c r="CO2643" s="92"/>
      <c r="CP2643" s="92"/>
      <c r="CQ2643" s="92"/>
      <c r="CR2643" s="92"/>
      <c r="CS2643" s="92"/>
      <c r="CT2643" s="92"/>
      <c r="CU2643" s="92"/>
      <c r="CV2643" s="92"/>
      <c r="CW2643" s="92"/>
      <c r="CX2643" s="92"/>
      <c r="CY2643" s="92"/>
      <c r="CZ2643" s="92"/>
      <c r="DA2643" s="92"/>
      <c r="DB2643" s="92"/>
      <c r="DC2643" s="92"/>
      <c r="DD2643" s="92"/>
      <c r="DE2643" s="92"/>
      <c r="DF2643" s="92"/>
      <c r="DG2643" s="92"/>
      <c r="DH2643" s="92"/>
      <c r="DI2643" s="92"/>
      <c r="DJ2643" s="92"/>
      <c r="DK2643" s="92"/>
      <c r="DL2643" s="92"/>
      <c r="DM2643" s="92"/>
      <c r="DN2643" s="92"/>
      <c r="DO2643" s="92"/>
      <c r="DP2643" s="92"/>
      <c r="DQ2643" s="92"/>
      <c r="DR2643" s="92"/>
      <c r="DS2643" s="92"/>
      <c r="DT2643" s="92"/>
      <c r="DU2643" s="92"/>
      <c r="DV2643" s="92"/>
      <c r="DW2643" s="92"/>
      <c r="DX2643" s="92"/>
      <c r="DY2643" s="92"/>
      <c r="DZ2643" s="92"/>
      <c r="EA2643" s="92"/>
      <c r="EB2643" s="92"/>
      <c r="EC2643" s="92"/>
      <c r="ED2643" s="92"/>
      <c r="EE2643" s="92"/>
      <c r="EF2643" s="92"/>
      <c r="EG2643" s="92"/>
      <c r="EH2643" s="92"/>
      <c r="EI2643" s="92"/>
      <c r="EJ2643" s="92"/>
      <c r="EK2643" s="92"/>
      <c r="EL2643" s="92"/>
      <c r="EM2643" s="92"/>
      <c r="EN2643" s="92"/>
      <c r="EO2643" s="92"/>
      <c r="EP2643" s="92"/>
      <c r="EQ2643" s="92"/>
      <c r="ER2643" s="92"/>
      <c r="ES2643" s="92"/>
      <c r="ET2643" s="92"/>
      <c r="EU2643" s="92"/>
      <c r="EV2643" s="92"/>
      <c r="EW2643" s="92"/>
      <c r="EX2643" s="92"/>
      <c r="EY2643" s="92"/>
      <c r="EZ2643" s="92"/>
      <c r="FA2643" s="92"/>
      <c r="FB2643" s="92"/>
      <c r="FC2643" s="92"/>
      <c r="FD2643" s="92"/>
      <c r="FE2643" s="92"/>
      <c r="FF2643" s="92"/>
      <c r="FG2643" s="92"/>
      <c r="FH2643" s="92"/>
      <c r="FI2643" s="92"/>
      <c r="FJ2643" s="92"/>
      <c r="FK2643" s="92"/>
      <c r="FL2643" s="92"/>
      <c r="FM2643" s="92"/>
      <c r="FN2643" s="92"/>
      <c r="FO2643" s="92"/>
      <c r="FP2643" s="92"/>
      <c r="FQ2643" s="92"/>
      <c r="FR2643" s="92"/>
      <c r="FS2643" s="92"/>
      <c r="FT2643" s="92"/>
      <c r="FU2643" s="92"/>
      <c r="FV2643" s="92"/>
      <c r="FW2643" s="92"/>
      <c r="FX2643" s="92"/>
      <c r="FY2643" s="92"/>
      <c r="FZ2643" s="92"/>
      <c r="GA2643" s="92"/>
      <c r="GB2643" s="92"/>
      <c r="GC2643" s="92"/>
      <c r="GD2643" s="92"/>
      <c r="GE2643" s="92"/>
      <c r="GF2643" s="92"/>
      <c r="GG2643" s="92"/>
      <c r="GH2643" s="92"/>
      <c r="GI2643" s="92"/>
      <c r="GJ2643" s="92"/>
      <c r="GK2643" s="92"/>
      <c r="GL2643" s="92"/>
      <c r="GM2643" s="92"/>
      <c r="GN2643" s="92"/>
      <c r="GO2643" s="92"/>
      <c r="GP2643" s="92"/>
      <c r="GQ2643" s="92"/>
      <c r="GR2643" s="92"/>
      <c r="GS2643" s="92"/>
      <c r="GT2643" s="92"/>
      <c r="GU2643" s="92"/>
      <c r="GV2643" s="92"/>
      <c r="GW2643" s="92"/>
      <c r="GX2643" s="92"/>
      <c r="GY2643" s="92"/>
      <c r="GZ2643" s="92"/>
      <c r="HA2643" s="92"/>
      <c r="HB2643" s="92"/>
      <c r="HC2643" s="92"/>
      <c r="HD2643" s="92"/>
      <c r="HE2643" s="92"/>
      <c r="HF2643" s="92"/>
      <c r="HG2643" s="92"/>
      <c r="HH2643" s="92"/>
      <c r="HI2643" s="92"/>
      <c r="HJ2643" s="92"/>
      <c r="HK2643" s="92"/>
      <c r="HL2643" s="92"/>
      <c r="HM2643" s="92"/>
      <c r="HN2643" s="92"/>
      <c r="HO2643" s="92"/>
      <c r="HP2643" s="92"/>
      <c r="HQ2643" s="92"/>
    </row>
    <row r="2644" spans="1:225" x14ac:dyDescent="0.35">
      <c r="A2644" s="286"/>
      <c r="B2644" s="286"/>
      <c r="C2644" s="296"/>
      <c r="D2644" s="280"/>
      <c r="E2644" s="286"/>
      <c r="F2644" s="286"/>
      <c r="G2644" s="286"/>
      <c r="H2644" s="116" t="s">
        <v>667</v>
      </c>
      <c r="I2644" s="86">
        <f>D2643*K2644</f>
        <v>3603586.2</v>
      </c>
      <c r="J2644" s="86">
        <f>I2644/D2643</f>
        <v>6918</v>
      </c>
      <c r="K2644" s="86">
        <v>6918</v>
      </c>
      <c r="L2644" s="92"/>
      <c r="M2644" s="92"/>
      <c r="N2644" s="92"/>
      <c r="O2644" s="92"/>
      <c r="P2644" s="92"/>
      <c r="Q2644" s="92"/>
      <c r="R2644" s="92"/>
      <c r="S2644" s="92"/>
      <c r="T2644" s="92"/>
      <c r="U2644" s="92"/>
      <c r="V2644" s="92"/>
      <c r="W2644" s="92"/>
      <c r="X2644" s="92"/>
      <c r="Y2644" s="92"/>
      <c r="Z2644" s="92"/>
      <c r="AA2644" s="92"/>
      <c r="AB2644" s="92"/>
      <c r="AC2644" s="92"/>
      <c r="AD2644" s="92"/>
      <c r="AE2644" s="92"/>
      <c r="AF2644" s="92"/>
      <c r="AG2644" s="92"/>
      <c r="AH2644" s="92"/>
      <c r="AI2644" s="92"/>
      <c r="AJ2644" s="92"/>
      <c r="AK2644" s="92"/>
      <c r="AL2644" s="92"/>
      <c r="AM2644" s="92"/>
      <c r="AN2644" s="92"/>
      <c r="AO2644" s="92"/>
      <c r="AP2644" s="92"/>
      <c r="AQ2644" s="92"/>
      <c r="AR2644" s="92"/>
      <c r="AS2644" s="92"/>
      <c r="AT2644" s="92"/>
      <c r="AU2644" s="92"/>
      <c r="AV2644" s="92"/>
      <c r="AW2644" s="92"/>
      <c r="AX2644" s="92"/>
      <c r="AY2644" s="92"/>
      <c r="AZ2644" s="92"/>
      <c r="BA2644" s="92"/>
      <c r="BB2644" s="92"/>
      <c r="BC2644" s="92"/>
      <c r="BD2644" s="92"/>
      <c r="BE2644" s="92"/>
      <c r="BF2644" s="92"/>
      <c r="BG2644" s="92"/>
      <c r="BH2644" s="92"/>
      <c r="BI2644" s="92"/>
      <c r="BJ2644" s="92"/>
      <c r="BK2644" s="92"/>
      <c r="BL2644" s="92"/>
      <c r="BM2644" s="92"/>
      <c r="BN2644" s="92"/>
      <c r="BO2644" s="92"/>
      <c r="BP2644" s="92"/>
      <c r="BQ2644" s="92"/>
      <c r="BR2644" s="92"/>
      <c r="BS2644" s="92"/>
      <c r="BT2644" s="92"/>
      <c r="BU2644" s="92"/>
      <c r="BV2644" s="92"/>
      <c r="BW2644" s="92"/>
      <c r="BX2644" s="92"/>
      <c r="BY2644" s="92"/>
      <c r="BZ2644" s="92"/>
      <c r="CA2644" s="92"/>
      <c r="CB2644" s="92"/>
      <c r="CC2644" s="92"/>
      <c r="CD2644" s="92"/>
      <c r="CE2644" s="92"/>
      <c r="CF2644" s="92"/>
      <c r="CG2644" s="92"/>
      <c r="CH2644" s="92"/>
      <c r="CI2644" s="92"/>
      <c r="CJ2644" s="92"/>
      <c r="CK2644" s="92"/>
      <c r="CL2644" s="92"/>
      <c r="CM2644" s="92"/>
      <c r="CN2644" s="92"/>
      <c r="CO2644" s="92"/>
      <c r="CP2644" s="92"/>
      <c r="CQ2644" s="92"/>
      <c r="CR2644" s="92"/>
      <c r="CS2644" s="92"/>
      <c r="CT2644" s="92"/>
      <c r="CU2644" s="92"/>
      <c r="CV2644" s="92"/>
      <c r="CW2644" s="92"/>
      <c r="CX2644" s="92"/>
      <c r="CY2644" s="92"/>
      <c r="CZ2644" s="92"/>
      <c r="DA2644" s="92"/>
      <c r="DB2644" s="92"/>
      <c r="DC2644" s="92"/>
      <c r="DD2644" s="92"/>
      <c r="DE2644" s="92"/>
      <c r="DF2644" s="92"/>
      <c r="DG2644" s="92"/>
      <c r="DH2644" s="92"/>
      <c r="DI2644" s="92"/>
      <c r="DJ2644" s="92"/>
      <c r="DK2644" s="92"/>
      <c r="DL2644" s="92"/>
      <c r="DM2644" s="92"/>
      <c r="DN2644" s="92"/>
      <c r="DO2644" s="92"/>
      <c r="DP2644" s="92"/>
      <c r="DQ2644" s="92"/>
      <c r="DR2644" s="92"/>
      <c r="DS2644" s="92"/>
      <c r="DT2644" s="92"/>
      <c r="DU2644" s="92"/>
      <c r="DV2644" s="92"/>
      <c r="DW2644" s="92"/>
      <c r="DX2644" s="92"/>
      <c r="DY2644" s="92"/>
      <c r="DZ2644" s="92"/>
      <c r="EA2644" s="92"/>
      <c r="EB2644" s="92"/>
      <c r="EC2644" s="92"/>
      <c r="ED2644" s="92"/>
      <c r="EE2644" s="92"/>
      <c r="EF2644" s="92"/>
      <c r="EG2644" s="92"/>
      <c r="EH2644" s="92"/>
      <c r="EI2644" s="92"/>
      <c r="EJ2644" s="92"/>
      <c r="EK2644" s="92"/>
      <c r="EL2644" s="92"/>
      <c r="EM2644" s="92"/>
      <c r="EN2644" s="92"/>
      <c r="EO2644" s="92"/>
      <c r="EP2644" s="92"/>
      <c r="EQ2644" s="92"/>
      <c r="ER2644" s="92"/>
      <c r="ES2644" s="92"/>
      <c r="ET2644" s="92"/>
      <c r="EU2644" s="92"/>
      <c r="EV2644" s="92"/>
      <c r="EW2644" s="92"/>
      <c r="EX2644" s="92"/>
      <c r="EY2644" s="92"/>
      <c r="EZ2644" s="92"/>
      <c r="FA2644" s="92"/>
      <c r="FB2644" s="92"/>
      <c r="FC2644" s="92"/>
      <c r="FD2644" s="92"/>
      <c r="FE2644" s="92"/>
      <c r="FF2644" s="92"/>
      <c r="FG2644" s="92"/>
      <c r="FH2644" s="92"/>
      <c r="FI2644" s="92"/>
      <c r="FJ2644" s="92"/>
      <c r="FK2644" s="92"/>
      <c r="FL2644" s="92"/>
      <c r="FM2644" s="92"/>
      <c r="FN2644" s="92"/>
      <c r="FO2644" s="92"/>
      <c r="FP2644" s="92"/>
      <c r="FQ2644" s="92"/>
      <c r="FR2644" s="92"/>
      <c r="FS2644" s="92"/>
      <c r="FT2644" s="92"/>
      <c r="FU2644" s="92"/>
      <c r="FV2644" s="92"/>
      <c r="FW2644" s="92"/>
      <c r="FX2644" s="92"/>
      <c r="FY2644" s="92"/>
      <c r="FZ2644" s="92"/>
      <c r="GA2644" s="92"/>
      <c r="GB2644" s="92"/>
      <c r="GC2644" s="92"/>
      <c r="GD2644" s="92"/>
      <c r="GE2644" s="92"/>
      <c r="GF2644" s="92"/>
      <c r="GG2644" s="92"/>
      <c r="GH2644" s="92"/>
      <c r="GI2644" s="92"/>
      <c r="GJ2644" s="92"/>
      <c r="GK2644" s="92"/>
      <c r="GL2644" s="92"/>
      <c r="GM2644" s="92"/>
      <c r="GN2644" s="92"/>
      <c r="GO2644" s="92"/>
      <c r="GP2644" s="92"/>
      <c r="GQ2644" s="92"/>
      <c r="GR2644" s="92"/>
      <c r="GS2644" s="92"/>
      <c r="GT2644" s="92"/>
      <c r="GU2644" s="92"/>
      <c r="GV2644" s="92"/>
      <c r="GW2644" s="92"/>
      <c r="GX2644" s="92"/>
      <c r="GY2644" s="92"/>
      <c r="GZ2644" s="92"/>
      <c r="HA2644" s="92"/>
      <c r="HB2644" s="92"/>
      <c r="HC2644" s="92"/>
      <c r="HD2644" s="92"/>
      <c r="HE2644" s="92"/>
      <c r="HF2644" s="92"/>
      <c r="HG2644" s="92"/>
      <c r="HH2644" s="92"/>
      <c r="HI2644" s="92"/>
      <c r="HJ2644" s="92"/>
      <c r="HK2644" s="92"/>
      <c r="HL2644" s="92"/>
      <c r="HM2644" s="92"/>
      <c r="HN2644" s="92"/>
      <c r="HO2644" s="92"/>
      <c r="HP2644" s="92"/>
      <c r="HQ2644" s="92"/>
    </row>
    <row r="2645" spans="1:225" x14ac:dyDescent="0.35">
      <c r="A2645" s="287"/>
      <c r="B2645" s="287"/>
      <c r="C2645" s="297"/>
      <c r="D2645" s="281"/>
      <c r="E2645" s="287"/>
      <c r="F2645" s="287"/>
      <c r="G2645" s="287"/>
      <c r="H2645" s="116" t="s">
        <v>76</v>
      </c>
      <c r="I2645" s="86">
        <v>0</v>
      </c>
      <c r="J2645" s="86">
        <v>0</v>
      </c>
      <c r="K2645" s="86">
        <v>148</v>
      </c>
      <c r="L2645" s="92"/>
      <c r="M2645" s="92"/>
      <c r="N2645" s="92"/>
      <c r="O2645" s="92"/>
      <c r="P2645" s="92"/>
      <c r="Q2645" s="92"/>
      <c r="R2645" s="92"/>
      <c r="S2645" s="92"/>
      <c r="T2645" s="92"/>
      <c r="U2645" s="92"/>
      <c r="V2645" s="92"/>
      <c r="W2645" s="92"/>
      <c r="X2645" s="92"/>
      <c r="Y2645" s="92"/>
      <c r="Z2645" s="92"/>
      <c r="AA2645" s="92"/>
      <c r="AB2645" s="92"/>
      <c r="AC2645" s="92"/>
      <c r="AD2645" s="92"/>
      <c r="AE2645" s="92"/>
      <c r="AF2645" s="92"/>
      <c r="AG2645" s="92"/>
      <c r="AH2645" s="92"/>
      <c r="AI2645" s="92"/>
      <c r="AJ2645" s="92"/>
      <c r="AK2645" s="92"/>
      <c r="AL2645" s="92"/>
      <c r="AM2645" s="92"/>
      <c r="AN2645" s="92"/>
      <c r="AO2645" s="92"/>
      <c r="AP2645" s="92"/>
      <c r="AQ2645" s="92"/>
      <c r="AR2645" s="92"/>
      <c r="AS2645" s="92"/>
      <c r="AT2645" s="92"/>
      <c r="AU2645" s="92"/>
      <c r="AV2645" s="92"/>
      <c r="AW2645" s="92"/>
      <c r="AX2645" s="92"/>
      <c r="AY2645" s="92"/>
      <c r="AZ2645" s="92"/>
      <c r="BA2645" s="92"/>
      <c r="BB2645" s="92"/>
      <c r="BC2645" s="92"/>
      <c r="BD2645" s="92"/>
      <c r="BE2645" s="92"/>
      <c r="BF2645" s="92"/>
      <c r="BG2645" s="92"/>
      <c r="BH2645" s="92"/>
      <c r="BI2645" s="92"/>
      <c r="BJ2645" s="92"/>
      <c r="BK2645" s="92"/>
      <c r="BL2645" s="92"/>
      <c r="BM2645" s="92"/>
      <c r="BN2645" s="92"/>
      <c r="BO2645" s="92"/>
      <c r="BP2645" s="92"/>
      <c r="BQ2645" s="92"/>
      <c r="BR2645" s="92"/>
      <c r="BS2645" s="92"/>
      <c r="BT2645" s="92"/>
      <c r="BU2645" s="92"/>
      <c r="BV2645" s="92"/>
      <c r="BW2645" s="92"/>
      <c r="BX2645" s="92"/>
      <c r="BY2645" s="92"/>
      <c r="BZ2645" s="92"/>
      <c r="CA2645" s="92"/>
      <c r="CB2645" s="92"/>
      <c r="CC2645" s="92"/>
      <c r="CD2645" s="92"/>
      <c r="CE2645" s="92"/>
      <c r="CF2645" s="92"/>
      <c r="CG2645" s="92"/>
      <c r="CH2645" s="92"/>
      <c r="CI2645" s="92"/>
      <c r="CJ2645" s="92"/>
      <c r="CK2645" s="92"/>
      <c r="CL2645" s="92"/>
      <c r="CM2645" s="92"/>
      <c r="CN2645" s="92"/>
      <c r="CO2645" s="92"/>
      <c r="CP2645" s="92"/>
      <c r="CQ2645" s="92"/>
      <c r="CR2645" s="92"/>
      <c r="CS2645" s="92"/>
      <c r="CT2645" s="92"/>
      <c r="CU2645" s="92"/>
      <c r="CV2645" s="92"/>
      <c r="CW2645" s="92"/>
      <c r="CX2645" s="92"/>
      <c r="CY2645" s="92"/>
      <c r="CZ2645" s="92"/>
      <c r="DA2645" s="92"/>
      <c r="DB2645" s="92"/>
      <c r="DC2645" s="92"/>
      <c r="DD2645" s="92"/>
      <c r="DE2645" s="92"/>
      <c r="DF2645" s="92"/>
      <c r="DG2645" s="92"/>
      <c r="DH2645" s="92"/>
      <c r="DI2645" s="92"/>
      <c r="DJ2645" s="92"/>
      <c r="DK2645" s="92"/>
      <c r="DL2645" s="92"/>
      <c r="DM2645" s="92"/>
      <c r="DN2645" s="92"/>
      <c r="DO2645" s="92"/>
      <c r="DP2645" s="92"/>
      <c r="DQ2645" s="92"/>
      <c r="DR2645" s="92"/>
      <c r="DS2645" s="92"/>
      <c r="DT2645" s="92"/>
      <c r="DU2645" s="92"/>
      <c r="DV2645" s="92"/>
      <c r="DW2645" s="92"/>
      <c r="DX2645" s="92"/>
      <c r="DY2645" s="92"/>
      <c r="DZ2645" s="92"/>
      <c r="EA2645" s="92"/>
      <c r="EB2645" s="92"/>
      <c r="EC2645" s="92"/>
      <c r="ED2645" s="92"/>
      <c r="EE2645" s="92"/>
      <c r="EF2645" s="92"/>
      <c r="EG2645" s="92"/>
      <c r="EH2645" s="92"/>
      <c r="EI2645" s="92"/>
      <c r="EJ2645" s="92"/>
      <c r="EK2645" s="92"/>
      <c r="EL2645" s="92"/>
      <c r="EM2645" s="92"/>
      <c r="EN2645" s="92"/>
      <c r="EO2645" s="92"/>
      <c r="EP2645" s="92"/>
      <c r="EQ2645" s="92"/>
      <c r="ER2645" s="92"/>
      <c r="ES2645" s="92"/>
      <c r="ET2645" s="92"/>
      <c r="EU2645" s="92"/>
      <c r="EV2645" s="92"/>
      <c r="EW2645" s="92"/>
      <c r="EX2645" s="92"/>
      <c r="EY2645" s="92"/>
      <c r="EZ2645" s="92"/>
      <c r="FA2645" s="92"/>
      <c r="FB2645" s="92"/>
      <c r="FC2645" s="92"/>
      <c r="FD2645" s="92"/>
      <c r="FE2645" s="92"/>
      <c r="FF2645" s="92"/>
      <c r="FG2645" s="92"/>
      <c r="FH2645" s="92"/>
      <c r="FI2645" s="92"/>
      <c r="FJ2645" s="92"/>
      <c r="FK2645" s="92"/>
      <c r="FL2645" s="92"/>
      <c r="FM2645" s="92"/>
      <c r="FN2645" s="92"/>
      <c r="FO2645" s="92"/>
      <c r="FP2645" s="92"/>
      <c r="FQ2645" s="92"/>
      <c r="FR2645" s="92"/>
      <c r="FS2645" s="92"/>
      <c r="FT2645" s="92"/>
      <c r="FU2645" s="92"/>
      <c r="FV2645" s="92"/>
      <c r="FW2645" s="92"/>
      <c r="FX2645" s="92"/>
      <c r="FY2645" s="92"/>
      <c r="FZ2645" s="92"/>
      <c r="GA2645" s="92"/>
      <c r="GB2645" s="92"/>
      <c r="GC2645" s="92"/>
      <c r="GD2645" s="92"/>
      <c r="GE2645" s="92"/>
      <c r="GF2645" s="92"/>
      <c r="GG2645" s="92"/>
      <c r="GH2645" s="92"/>
      <c r="GI2645" s="92"/>
      <c r="GJ2645" s="92"/>
      <c r="GK2645" s="92"/>
      <c r="GL2645" s="92"/>
      <c r="GM2645" s="92"/>
      <c r="GN2645" s="92"/>
      <c r="GO2645" s="92"/>
      <c r="GP2645" s="92"/>
      <c r="GQ2645" s="92"/>
      <c r="GR2645" s="92"/>
      <c r="GS2645" s="92"/>
      <c r="GT2645" s="92"/>
      <c r="GU2645" s="92"/>
      <c r="GV2645" s="92"/>
      <c r="GW2645" s="92"/>
      <c r="GX2645" s="92"/>
      <c r="GY2645" s="92"/>
      <c r="GZ2645" s="92"/>
      <c r="HA2645" s="92"/>
      <c r="HB2645" s="92"/>
      <c r="HC2645" s="92"/>
      <c r="HD2645" s="92"/>
      <c r="HE2645" s="92"/>
      <c r="HF2645" s="92"/>
      <c r="HG2645" s="92"/>
      <c r="HH2645" s="92"/>
      <c r="HI2645" s="92"/>
      <c r="HJ2645" s="92"/>
      <c r="HK2645" s="92"/>
      <c r="HL2645" s="92"/>
      <c r="HM2645" s="92"/>
      <c r="HN2645" s="92"/>
      <c r="HO2645" s="92"/>
      <c r="HP2645" s="92"/>
      <c r="HQ2645" s="92"/>
    </row>
    <row r="2646" spans="1:225" ht="15.75" customHeight="1" x14ac:dyDescent="0.35">
      <c r="A2646" s="285">
        <f>A2643+1</f>
        <v>10</v>
      </c>
      <c r="B2646" s="285">
        <v>6271</v>
      </c>
      <c r="C2646" s="295" t="s">
        <v>512</v>
      </c>
      <c r="D2646" s="279">
        <v>1461</v>
      </c>
      <c r="E2646" s="285" t="s">
        <v>80</v>
      </c>
      <c r="F2646" s="285">
        <v>3</v>
      </c>
      <c r="G2646" s="285" t="s">
        <v>72</v>
      </c>
      <c r="H2646" s="116" t="s">
        <v>73</v>
      </c>
      <c r="I2646" s="86">
        <f>I2647+I2648</f>
        <v>6762969</v>
      </c>
      <c r="J2646" s="86">
        <f>J2647+J2648</f>
        <v>4629</v>
      </c>
      <c r="K2646" s="86">
        <f>K2647+K2648</f>
        <v>4728</v>
      </c>
      <c r="L2646" s="92"/>
      <c r="M2646" s="92"/>
      <c r="N2646" s="92"/>
      <c r="O2646" s="92"/>
      <c r="P2646" s="92"/>
      <c r="Q2646" s="92"/>
      <c r="R2646" s="92"/>
      <c r="S2646" s="92"/>
      <c r="T2646" s="92"/>
      <c r="U2646" s="92"/>
      <c r="V2646" s="92"/>
      <c r="W2646" s="92"/>
      <c r="X2646" s="92"/>
      <c r="Y2646" s="92"/>
      <c r="Z2646" s="92"/>
      <c r="AA2646" s="92"/>
      <c r="AB2646" s="92"/>
      <c r="AC2646" s="92"/>
      <c r="AD2646" s="92"/>
      <c r="AE2646" s="92"/>
      <c r="AF2646" s="92"/>
      <c r="AG2646" s="92"/>
      <c r="AH2646" s="92"/>
      <c r="AI2646" s="92"/>
      <c r="AJ2646" s="92"/>
      <c r="AK2646" s="92"/>
      <c r="AL2646" s="92"/>
      <c r="AM2646" s="92"/>
      <c r="AN2646" s="92"/>
      <c r="AO2646" s="92"/>
      <c r="AP2646" s="92"/>
      <c r="AQ2646" s="92"/>
      <c r="AR2646" s="92"/>
      <c r="AS2646" s="92"/>
      <c r="AT2646" s="92"/>
      <c r="AU2646" s="92"/>
      <c r="AV2646" s="92"/>
      <c r="AW2646" s="92"/>
      <c r="AX2646" s="92"/>
      <c r="AY2646" s="92"/>
      <c r="AZ2646" s="92"/>
      <c r="BA2646" s="92"/>
      <c r="BB2646" s="92"/>
      <c r="BC2646" s="92"/>
      <c r="BD2646" s="92"/>
      <c r="BE2646" s="92"/>
      <c r="BF2646" s="92"/>
      <c r="BG2646" s="92"/>
      <c r="BH2646" s="92"/>
      <c r="BI2646" s="92"/>
      <c r="BJ2646" s="92"/>
      <c r="BK2646" s="92"/>
      <c r="BL2646" s="92"/>
      <c r="BM2646" s="92"/>
      <c r="BN2646" s="92"/>
      <c r="BO2646" s="92"/>
      <c r="BP2646" s="92"/>
      <c r="BQ2646" s="92"/>
      <c r="BR2646" s="92"/>
      <c r="BS2646" s="92"/>
      <c r="BT2646" s="92"/>
      <c r="BU2646" s="92"/>
      <c r="BV2646" s="92"/>
      <c r="BW2646" s="92"/>
      <c r="BX2646" s="92"/>
      <c r="BY2646" s="92"/>
      <c r="BZ2646" s="92"/>
      <c r="CA2646" s="92"/>
      <c r="CB2646" s="92"/>
      <c r="CC2646" s="92"/>
      <c r="CD2646" s="92"/>
      <c r="CE2646" s="92"/>
      <c r="CF2646" s="92"/>
      <c r="CG2646" s="92"/>
      <c r="CH2646" s="92"/>
      <c r="CI2646" s="92"/>
      <c r="CJ2646" s="92"/>
      <c r="CK2646" s="92"/>
      <c r="CL2646" s="92"/>
      <c r="CM2646" s="92"/>
      <c r="CN2646" s="92"/>
      <c r="CO2646" s="92"/>
      <c r="CP2646" s="92"/>
      <c r="CQ2646" s="92"/>
      <c r="CR2646" s="92"/>
      <c r="CS2646" s="92"/>
      <c r="CT2646" s="92"/>
      <c r="CU2646" s="92"/>
      <c r="CV2646" s="92"/>
      <c r="CW2646" s="92"/>
      <c r="CX2646" s="92"/>
      <c r="CY2646" s="92"/>
      <c r="CZ2646" s="92"/>
      <c r="DA2646" s="92"/>
      <c r="DB2646" s="92"/>
      <c r="DC2646" s="92"/>
      <c r="DD2646" s="92"/>
      <c r="DE2646" s="92"/>
      <c r="DF2646" s="92"/>
      <c r="DG2646" s="92"/>
      <c r="DH2646" s="92"/>
      <c r="DI2646" s="92"/>
      <c r="DJ2646" s="92"/>
      <c r="DK2646" s="92"/>
      <c r="DL2646" s="92"/>
      <c r="DM2646" s="92"/>
      <c r="DN2646" s="92"/>
      <c r="DO2646" s="92"/>
      <c r="DP2646" s="92"/>
      <c r="DQ2646" s="92"/>
      <c r="DR2646" s="92"/>
      <c r="DS2646" s="92"/>
      <c r="DT2646" s="92"/>
      <c r="DU2646" s="92"/>
      <c r="DV2646" s="92"/>
      <c r="DW2646" s="92"/>
      <c r="DX2646" s="92"/>
      <c r="DY2646" s="92"/>
      <c r="DZ2646" s="92"/>
      <c r="EA2646" s="92"/>
      <c r="EB2646" s="92"/>
      <c r="EC2646" s="92"/>
      <c r="ED2646" s="92"/>
      <c r="EE2646" s="92"/>
      <c r="EF2646" s="92"/>
      <c r="EG2646" s="92"/>
      <c r="EH2646" s="92"/>
      <c r="EI2646" s="92"/>
      <c r="EJ2646" s="92"/>
      <c r="EK2646" s="92"/>
      <c r="EL2646" s="92"/>
      <c r="EM2646" s="92"/>
      <c r="EN2646" s="92"/>
      <c r="EO2646" s="92"/>
      <c r="EP2646" s="92"/>
      <c r="EQ2646" s="92"/>
      <c r="ER2646" s="92"/>
      <c r="ES2646" s="92"/>
      <c r="ET2646" s="92"/>
      <c r="EU2646" s="92"/>
      <c r="EV2646" s="92"/>
      <c r="EW2646" s="92"/>
      <c r="EX2646" s="92"/>
      <c r="EY2646" s="92"/>
      <c r="EZ2646" s="92"/>
      <c r="FA2646" s="92"/>
      <c r="FB2646" s="92"/>
      <c r="FC2646" s="92"/>
      <c r="FD2646" s="92"/>
      <c r="FE2646" s="92"/>
      <c r="FF2646" s="92"/>
      <c r="FG2646" s="92"/>
      <c r="FH2646" s="92"/>
      <c r="FI2646" s="92"/>
      <c r="FJ2646" s="92"/>
      <c r="FK2646" s="92"/>
      <c r="FL2646" s="92"/>
      <c r="FM2646" s="92"/>
      <c r="FN2646" s="92"/>
      <c r="FO2646" s="92"/>
      <c r="FP2646" s="92"/>
      <c r="FQ2646" s="92"/>
      <c r="FR2646" s="92"/>
      <c r="FS2646" s="92"/>
      <c r="FT2646" s="92"/>
      <c r="FU2646" s="92"/>
      <c r="FV2646" s="92"/>
      <c r="FW2646" s="92"/>
      <c r="FX2646" s="92"/>
      <c r="FY2646" s="92"/>
      <c r="FZ2646" s="92"/>
      <c r="GA2646" s="92"/>
      <c r="GB2646" s="92"/>
      <c r="GC2646" s="92"/>
      <c r="GD2646" s="92"/>
      <c r="GE2646" s="92"/>
      <c r="GF2646" s="92"/>
      <c r="GG2646" s="92"/>
      <c r="GH2646" s="92"/>
      <c r="GI2646" s="92"/>
      <c r="GJ2646" s="92"/>
      <c r="GK2646" s="92"/>
      <c r="GL2646" s="92"/>
      <c r="GM2646" s="92"/>
      <c r="GN2646" s="92"/>
      <c r="GO2646" s="92"/>
      <c r="GP2646" s="92"/>
      <c r="GQ2646" s="92"/>
      <c r="GR2646" s="92"/>
      <c r="GS2646" s="92"/>
      <c r="GT2646" s="92"/>
      <c r="GU2646" s="92"/>
      <c r="GV2646" s="92"/>
      <c r="GW2646" s="92"/>
      <c r="GX2646" s="92"/>
      <c r="GY2646" s="92"/>
      <c r="GZ2646" s="92"/>
      <c r="HA2646" s="92"/>
      <c r="HB2646" s="92"/>
      <c r="HC2646" s="92"/>
      <c r="HD2646" s="92"/>
      <c r="HE2646" s="92"/>
      <c r="HF2646" s="92"/>
      <c r="HG2646" s="92"/>
      <c r="HH2646" s="92"/>
      <c r="HI2646" s="92"/>
      <c r="HJ2646" s="92"/>
      <c r="HK2646" s="92"/>
      <c r="HL2646" s="92"/>
      <c r="HM2646" s="92"/>
      <c r="HN2646" s="92"/>
      <c r="HO2646" s="92"/>
      <c r="HP2646" s="92"/>
      <c r="HQ2646" s="92"/>
    </row>
    <row r="2647" spans="1:225" x14ac:dyDescent="0.35">
      <c r="A2647" s="286"/>
      <c r="B2647" s="286"/>
      <c r="C2647" s="296"/>
      <c r="D2647" s="280"/>
      <c r="E2647" s="286"/>
      <c r="F2647" s="286"/>
      <c r="G2647" s="286"/>
      <c r="H2647" s="116" t="s">
        <v>667</v>
      </c>
      <c r="I2647" s="86">
        <f>D2646*K2647</f>
        <v>6762969</v>
      </c>
      <c r="J2647" s="86">
        <f>I2647/D2646</f>
        <v>4629</v>
      </c>
      <c r="K2647" s="86">
        <v>4629</v>
      </c>
      <c r="L2647" s="92"/>
      <c r="M2647" s="92"/>
      <c r="N2647" s="92"/>
      <c r="O2647" s="92"/>
      <c r="P2647" s="92"/>
      <c r="Q2647" s="92"/>
      <c r="R2647" s="92"/>
      <c r="S2647" s="92"/>
      <c r="T2647" s="92"/>
      <c r="U2647" s="92"/>
      <c r="V2647" s="92"/>
      <c r="W2647" s="92"/>
      <c r="X2647" s="92"/>
      <c r="Y2647" s="92"/>
      <c r="Z2647" s="92"/>
      <c r="AA2647" s="92"/>
      <c r="AB2647" s="92"/>
      <c r="AC2647" s="92"/>
      <c r="AD2647" s="92"/>
      <c r="AE2647" s="92"/>
      <c r="AF2647" s="92"/>
      <c r="AG2647" s="92"/>
      <c r="AH2647" s="92"/>
      <c r="AI2647" s="92"/>
      <c r="AJ2647" s="92"/>
      <c r="AK2647" s="92"/>
      <c r="AL2647" s="92"/>
      <c r="AM2647" s="92"/>
      <c r="AN2647" s="92"/>
      <c r="AO2647" s="92"/>
      <c r="AP2647" s="92"/>
      <c r="AQ2647" s="92"/>
      <c r="AR2647" s="92"/>
      <c r="AS2647" s="92"/>
      <c r="AT2647" s="92"/>
      <c r="AU2647" s="92"/>
      <c r="AV2647" s="92"/>
      <c r="AW2647" s="92"/>
      <c r="AX2647" s="92"/>
      <c r="AY2647" s="92"/>
      <c r="AZ2647" s="92"/>
      <c r="BA2647" s="92"/>
      <c r="BB2647" s="92"/>
      <c r="BC2647" s="92"/>
      <c r="BD2647" s="92"/>
      <c r="BE2647" s="92"/>
      <c r="BF2647" s="92"/>
      <c r="BG2647" s="92"/>
      <c r="BH2647" s="92"/>
      <c r="BI2647" s="92"/>
      <c r="BJ2647" s="92"/>
      <c r="BK2647" s="92"/>
      <c r="BL2647" s="92"/>
      <c r="BM2647" s="92"/>
      <c r="BN2647" s="92"/>
      <c r="BO2647" s="92"/>
      <c r="BP2647" s="92"/>
      <c r="BQ2647" s="92"/>
      <c r="BR2647" s="92"/>
      <c r="BS2647" s="92"/>
      <c r="BT2647" s="92"/>
      <c r="BU2647" s="92"/>
      <c r="BV2647" s="92"/>
      <c r="BW2647" s="92"/>
      <c r="BX2647" s="92"/>
      <c r="BY2647" s="92"/>
      <c r="BZ2647" s="92"/>
      <c r="CA2647" s="92"/>
      <c r="CB2647" s="92"/>
      <c r="CC2647" s="92"/>
      <c r="CD2647" s="92"/>
      <c r="CE2647" s="92"/>
      <c r="CF2647" s="92"/>
      <c r="CG2647" s="92"/>
      <c r="CH2647" s="92"/>
      <c r="CI2647" s="92"/>
      <c r="CJ2647" s="92"/>
      <c r="CK2647" s="92"/>
      <c r="CL2647" s="92"/>
      <c r="CM2647" s="92"/>
      <c r="CN2647" s="92"/>
      <c r="CO2647" s="92"/>
      <c r="CP2647" s="92"/>
      <c r="CQ2647" s="92"/>
      <c r="CR2647" s="92"/>
      <c r="CS2647" s="92"/>
      <c r="CT2647" s="92"/>
      <c r="CU2647" s="92"/>
      <c r="CV2647" s="92"/>
      <c r="CW2647" s="92"/>
      <c r="CX2647" s="92"/>
      <c r="CY2647" s="92"/>
      <c r="CZ2647" s="92"/>
      <c r="DA2647" s="92"/>
      <c r="DB2647" s="92"/>
      <c r="DC2647" s="92"/>
      <c r="DD2647" s="92"/>
      <c r="DE2647" s="92"/>
      <c r="DF2647" s="92"/>
      <c r="DG2647" s="92"/>
      <c r="DH2647" s="92"/>
      <c r="DI2647" s="92"/>
      <c r="DJ2647" s="92"/>
      <c r="DK2647" s="92"/>
      <c r="DL2647" s="92"/>
      <c r="DM2647" s="92"/>
      <c r="DN2647" s="92"/>
      <c r="DO2647" s="92"/>
      <c r="DP2647" s="92"/>
      <c r="DQ2647" s="92"/>
      <c r="DR2647" s="92"/>
      <c r="DS2647" s="92"/>
      <c r="DT2647" s="92"/>
      <c r="DU2647" s="92"/>
      <c r="DV2647" s="92"/>
      <c r="DW2647" s="92"/>
      <c r="DX2647" s="92"/>
      <c r="DY2647" s="92"/>
      <c r="DZ2647" s="92"/>
      <c r="EA2647" s="92"/>
      <c r="EB2647" s="92"/>
      <c r="EC2647" s="92"/>
      <c r="ED2647" s="92"/>
      <c r="EE2647" s="92"/>
      <c r="EF2647" s="92"/>
      <c r="EG2647" s="92"/>
      <c r="EH2647" s="92"/>
      <c r="EI2647" s="92"/>
      <c r="EJ2647" s="92"/>
      <c r="EK2647" s="92"/>
      <c r="EL2647" s="92"/>
      <c r="EM2647" s="92"/>
      <c r="EN2647" s="92"/>
      <c r="EO2647" s="92"/>
      <c r="EP2647" s="92"/>
      <c r="EQ2647" s="92"/>
      <c r="ER2647" s="92"/>
      <c r="ES2647" s="92"/>
      <c r="ET2647" s="92"/>
      <c r="EU2647" s="92"/>
      <c r="EV2647" s="92"/>
      <c r="EW2647" s="92"/>
      <c r="EX2647" s="92"/>
      <c r="EY2647" s="92"/>
      <c r="EZ2647" s="92"/>
      <c r="FA2647" s="92"/>
      <c r="FB2647" s="92"/>
      <c r="FC2647" s="92"/>
      <c r="FD2647" s="92"/>
      <c r="FE2647" s="92"/>
      <c r="FF2647" s="92"/>
      <c r="FG2647" s="92"/>
      <c r="FH2647" s="92"/>
      <c r="FI2647" s="92"/>
      <c r="FJ2647" s="92"/>
      <c r="FK2647" s="92"/>
      <c r="FL2647" s="92"/>
      <c r="FM2647" s="92"/>
      <c r="FN2647" s="92"/>
      <c r="FO2647" s="92"/>
      <c r="FP2647" s="92"/>
      <c r="FQ2647" s="92"/>
      <c r="FR2647" s="92"/>
      <c r="FS2647" s="92"/>
      <c r="FT2647" s="92"/>
      <c r="FU2647" s="92"/>
      <c r="FV2647" s="92"/>
      <c r="FW2647" s="92"/>
      <c r="FX2647" s="92"/>
      <c r="FY2647" s="92"/>
      <c r="FZ2647" s="92"/>
      <c r="GA2647" s="92"/>
      <c r="GB2647" s="92"/>
      <c r="GC2647" s="92"/>
      <c r="GD2647" s="92"/>
      <c r="GE2647" s="92"/>
      <c r="GF2647" s="92"/>
      <c r="GG2647" s="92"/>
      <c r="GH2647" s="92"/>
      <c r="GI2647" s="92"/>
      <c r="GJ2647" s="92"/>
      <c r="GK2647" s="92"/>
      <c r="GL2647" s="92"/>
      <c r="GM2647" s="92"/>
      <c r="GN2647" s="92"/>
      <c r="GO2647" s="92"/>
      <c r="GP2647" s="92"/>
      <c r="GQ2647" s="92"/>
      <c r="GR2647" s="92"/>
      <c r="GS2647" s="92"/>
      <c r="GT2647" s="92"/>
      <c r="GU2647" s="92"/>
      <c r="GV2647" s="92"/>
      <c r="GW2647" s="92"/>
      <c r="GX2647" s="92"/>
      <c r="GY2647" s="92"/>
      <c r="GZ2647" s="92"/>
      <c r="HA2647" s="92"/>
      <c r="HB2647" s="92"/>
      <c r="HC2647" s="92"/>
      <c r="HD2647" s="92"/>
      <c r="HE2647" s="92"/>
      <c r="HF2647" s="92"/>
      <c r="HG2647" s="92"/>
      <c r="HH2647" s="92"/>
      <c r="HI2647" s="92"/>
      <c r="HJ2647" s="92"/>
      <c r="HK2647" s="92"/>
      <c r="HL2647" s="92"/>
      <c r="HM2647" s="92"/>
      <c r="HN2647" s="92"/>
      <c r="HO2647" s="92"/>
      <c r="HP2647" s="92"/>
      <c r="HQ2647" s="92"/>
    </row>
    <row r="2648" spans="1:225" x14ac:dyDescent="0.35">
      <c r="A2648" s="287"/>
      <c r="B2648" s="287"/>
      <c r="C2648" s="297"/>
      <c r="D2648" s="281"/>
      <c r="E2648" s="287"/>
      <c r="F2648" s="287"/>
      <c r="G2648" s="287"/>
      <c r="H2648" s="116" t="s">
        <v>76</v>
      </c>
      <c r="I2648" s="86">
        <v>0</v>
      </c>
      <c r="J2648" s="86">
        <v>0</v>
      </c>
      <c r="K2648" s="86">
        <v>99</v>
      </c>
      <c r="L2648" s="92"/>
      <c r="M2648" s="92"/>
      <c r="N2648" s="92"/>
      <c r="O2648" s="92"/>
      <c r="P2648" s="92"/>
      <c r="Q2648" s="92"/>
      <c r="R2648" s="92"/>
      <c r="S2648" s="92"/>
      <c r="T2648" s="92"/>
      <c r="U2648" s="92"/>
      <c r="V2648" s="92"/>
      <c r="W2648" s="92"/>
      <c r="X2648" s="92"/>
      <c r="Y2648" s="92"/>
      <c r="Z2648" s="92"/>
      <c r="AA2648" s="92"/>
      <c r="AB2648" s="92"/>
      <c r="AC2648" s="92"/>
      <c r="AD2648" s="92"/>
      <c r="AE2648" s="92"/>
      <c r="AF2648" s="92"/>
      <c r="AG2648" s="92"/>
      <c r="AH2648" s="92"/>
      <c r="AI2648" s="92"/>
      <c r="AJ2648" s="92"/>
      <c r="AK2648" s="92"/>
      <c r="AL2648" s="92"/>
      <c r="AM2648" s="92"/>
      <c r="AN2648" s="92"/>
      <c r="AO2648" s="92"/>
      <c r="AP2648" s="92"/>
      <c r="AQ2648" s="92"/>
      <c r="AR2648" s="92"/>
      <c r="AS2648" s="92"/>
      <c r="AT2648" s="92"/>
      <c r="AU2648" s="92"/>
      <c r="AV2648" s="92"/>
      <c r="AW2648" s="92"/>
      <c r="AX2648" s="92"/>
      <c r="AY2648" s="92"/>
      <c r="AZ2648" s="92"/>
      <c r="BA2648" s="92"/>
      <c r="BB2648" s="92"/>
      <c r="BC2648" s="92"/>
      <c r="BD2648" s="92"/>
      <c r="BE2648" s="92"/>
      <c r="BF2648" s="92"/>
      <c r="BG2648" s="92"/>
      <c r="BH2648" s="92"/>
      <c r="BI2648" s="92"/>
      <c r="BJ2648" s="92"/>
      <c r="BK2648" s="92"/>
      <c r="BL2648" s="92"/>
      <c r="BM2648" s="92"/>
      <c r="BN2648" s="92"/>
      <c r="BO2648" s="92"/>
      <c r="BP2648" s="92"/>
      <c r="BQ2648" s="92"/>
      <c r="BR2648" s="92"/>
      <c r="BS2648" s="92"/>
      <c r="BT2648" s="92"/>
      <c r="BU2648" s="92"/>
      <c r="BV2648" s="92"/>
      <c r="BW2648" s="92"/>
      <c r="BX2648" s="92"/>
      <c r="BY2648" s="92"/>
      <c r="BZ2648" s="92"/>
      <c r="CA2648" s="92"/>
      <c r="CB2648" s="92"/>
      <c r="CC2648" s="92"/>
      <c r="CD2648" s="92"/>
      <c r="CE2648" s="92"/>
      <c r="CF2648" s="92"/>
      <c r="CG2648" s="92"/>
      <c r="CH2648" s="92"/>
      <c r="CI2648" s="92"/>
      <c r="CJ2648" s="92"/>
      <c r="CK2648" s="92"/>
      <c r="CL2648" s="92"/>
      <c r="CM2648" s="92"/>
      <c r="CN2648" s="92"/>
      <c r="CO2648" s="92"/>
      <c r="CP2648" s="92"/>
      <c r="CQ2648" s="92"/>
      <c r="CR2648" s="92"/>
      <c r="CS2648" s="92"/>
      <c r="CT2648" s="92"/>
      <c r="CU2648" s="92"/>
      <c r="CV2648" s="92"/>
      <c r="CW2648" s="92"/>
      <c r="CX2648" s="92"/>
      <c r="CY2648" s="92"/>
      <c r="CZ2648" s="92"/>
      <c r="DA2648" s="92"/>
      <c r="DB2648" s="92"/>
      <c r="DC2648" s="92"/>
      <c r="DD2648" s="92"/>
      <c r="DE2648" s="92"/>
      <c r="DF2648" s="92"/>
      <c r="DG2648" s="92"/>
      <c r="DH2648" s="92"/>
      <c r="DI2648" s="92"/>
      <c r="DJ2648" s="92"/>
      <c r="DK2648" s="92"/>
      <c r="DL2648" s="92"/>
      <c r="DM2648" s="92"/>
      <c r="DN2648" s="92"/>
      <c r="DO2648" s="92"/>
      <c r="DP2648" s="92"/>
      <c r="DQ2648" s="92"/>
      <c r="DR2648" s="92"/>
      <c r="DS2648" s="92"/>
      <c r="DT2648" s="92"/>
      <c r="DU2648" s="92"/>
      <c r="DV2648" s="92"/>
      <c r="DW2648" s="92"/>
      <c r="DX2648" s="92"/>
      <c r="DY2648" s="92"/>
      <c r="DZ2648" s="92"/>
      <c r="EA2648" s="92"/>
      <c r="EB2648" s="92"/>
      <c r="EC2648" s="92"/>
      <c r="ED2648" s="92"/>
      <c r="EE2648" s="92"/>
      <c r="EF2648" s="92"/>
      <c r="EG2648" s="92"/>
      <c r="EH2648" s="92"/>
      <c r="EI2648" s="92"/>
      <c r="EJ2648" s="92"/>
      <c r="EK2648" s="92"/>
      <c r="EL2648" s="92"/>
      <c r="EM2648" s="92"/>
      <c r="EN2648" s="92"/>
      <c r="EO2648" s="92"/>
      <c r="EP2648" s="92"/>
      <c r="EQ2648" s="92"/>
      <c r="ER2648" s="92"/>
      <c r="ES2648" s="92"/>
      <c r="ET2648" s="92"/>
      <c r="EU2648" s="92"/>
      <c r="EV2648" s="92"/>
      <c r="EW2648" s="92"/>
      <c r="EX2648" s="92"/>
      <c r="EY2648" s="92"/>
      <c r="EZ2648" s="92"/>
      <c r="FA2648" s="92"/>
      <c r="FB2648" s="92"/>
      <c r="FC2648" s="92"/>
      <c r="FD2648" s="92"/>
      <c r="FE2648" s="92"/>
      <c r="FF2648" s="92"/>
      <c r="FG2648" s="92"/>
      <c r="FH2648" s="92"/>
      <c r="FI2648" s="92"/>
      <c r="FJ2648" s="92"/>
      <c r="FK2648" s="92"/>
      <c r="FL2648" s="92"/>
      <c r="FM2648" s="92"/>
      <c r="FN2648" s="92"/>
      <c r="FO2648" s="92"/>
      <c r="FP2648" s="92"/>
      <c r="FQ2648" s="92"/>
      <c r="FR2648" s="92"/>
      <c r="FS2648" s="92"/>
      <c r="FT2648" s="92"/>
      <c r="FU2648" s="92"/>
      <c r="FV2648" s="92"/>
      <c r="FW2648" s="92"/>
      <c r="FX2648" s="92"/>
      <c r="FY2648" s="92"/>
      <c r="FZ2648" s="92"/>
      <c r="GA2648" s="92"/>
      <c r="GB2648" s="92"/>
      <c r="GC2648" s="92"/>
      <c r="GD2648" s="92"/>
      <c r="GE2648" s="92"/>
      <c r="GF2648" s="92"/>
      <c r="GG2648" s="92"/>
      <c r="GH2648" s="92"/>
      <c r="GI2648" s="92"/>
      <c r="GJ2648" s="92"/>
      <c r="GK2648" s="92"/>
      <c r="GL2648" s="92"/>
      <c r="GM2648" s="92"/>
      <c r="GN2648" s="92"/>
      <c r="GO2648" s="92"/>
      <c r="GP2648" s="92"/>
      <c r="GQ2648" s="92"/>
      <c r="GR2648" s="92"/>
      <c r="GS2648" s="92"/>
      <c r="GT2648" s="92"/>
      <c r="GU2648" s="92"/>
      <c r="GV2648" s="92"/>
      <c r="GW2648" s="92"/>
      <c r="GX2648" s="92"/>
      <c r="GY2648" s="92"/>
      <c r="GZ2648" s="92"/>
      <c r="HA2648" s="92"/>
      <c r="HB2648" s="92"/>
      <c r="HC2648" s="92"/>
      <c r="HD2648" s="92"/>
      <c r="HE2648" s="92"/>
      <c r="HF2648" s="92"/>
      <c r="HG2648" s="92"/>
      <c r="HH2648" s="92"/>
      <c r="HI2648" s="92"/>
      <c r="HJ2648" s="92"/>
      <c r="HK2648" s="92"/>
      <c r="HL2648" s="92"/>
      <c r="HM2648" s="92"/>
      <c r="HN2648" s="92"/>
      <c r="HO2648" s="92"/>
      <c r="HP2648" s="92"/>
      <c r="HQ2648" s="92"/>
    </row>
    <row r="2649" spans="1:225" x14ac:dyDescent="0.35">
      <c r="A2649" s="308">
        <f>A2646+1</f>
        <v>11</v>
      </c>
      <c r="B2649" s="308">
        <v>6273</v>
      </c>
      <c r="C2649" s="301" t="s">
        <v>655</v>
      </c>
      <c r="D2649" s="274">
        <v>1500.8</v>
      </c>
      <c r="E2649" s="274" t="s">
        <v>80</v>
      </c>
      <c r="F2649" s="334">
        <v>3</v>
      </c>
      <c r="G2649" s="308" t="s">
        <v>72</v>
      </c>
      <c r="H2649" s="116" t="s">
        <v>73</v>
      </c>
      <c r="I2649" s="86">
        <f>I2650</f>
        <v>267142.40000000002</v>
      </c>
      <c r="J2649" s="86">
        <f>J2650</f>
        <v>178</v>
      </c>
      <c r="K2649" s="86">
        <f>K2650</f>
        <v>178</v>
      </c>
      <c r="L2649" s="92"/>
      <c r="M2649" s="92"/>
      <c r="N2649" s="92"/>
      <c r="O2649" s="92"/>
      <c r="P2649" s="92"/>
      <c r="Q2649" s="92"/>
      <c r="R2649" s="92"/>
      <c r="S2649" s="92"/>
      <c r="T2649" s="92"/>
      <c r="U2649" s="92"/>
      <c r="V2649" s="92"/>
      <c r="W2649" s="92"/>
      <c r="X2649" s="92"/>
      <c r="Y2649" s="92"/>
      <c r="Z2649" s="92"/>
      <c r="AA2649" s="92"/>
      <c r="AB2649" s="92"/>
      <c r="AC2649" s="92"/>
      <c r="AD2649" s="92"/>
      <c r="AE2649" s="92"/>
      <c r="AF2649" s="92"/>
      <c r="AG2649" s="92"/>
      <c r="AH2649" s="92"/>
      <c r="AI2649" s="92"/>
      <c r="AJ2649" s="92"/>
      <c r="AK2649" s="92"/>
      <c r="AL2649" s="92"/>
      <c r="AM2649" s="92"/>
      <c r="AN2649" s="92"/>
      <c r="AO2649" s="92"/>
      <c r="AP2649" s="92"/>
      <c r="AQ2649" s="92"/>
      <c r="AR2649" s="92"/>
      <c r="AS2649" s="92"/>
      <c r="AT2649" s="92"/>
      <c r="AU2649" s="92"/>
      <c r="AV2649" s="92"/>
      <c r="AW2649" s="92"/>
      <c r="AX2649" s="92"/>
      <c r="AY2649" s="92"/>
      <c r="AZ2649" s="92"/>
      <c r="BA2649" s="92"/>
      <c r="BB2649" s="92"/>
      <c r="BC2649" s="92"/>
      <c r="BD2649" s="92"/>
      <c r="BE2649" s="92"/>
      <c r="BF2649" s="92"/>
      <c r="BG2649" s="92"/>
      <c r="BH2649" s="92"/>
      <c r="BI2649" s="92"/>
      <c r="BJ2649" s="92"/>
      <c r="BK2649" s="92"/>
      <c r="BL2649" s="92"/>
      <c r="BM2649" s="92"/>
      <c r="BN2649" s="92"/>
      <c r="BO2649" s="92"/>
      <c r="BP2649" s="92"/>
      <c r="BQ2649" s="92"/>
      <c r="BR2649" s="92"/>
      <c r="BS2649" s="92"/>
      <c r="BT2649" s="92"/>
      <c r="BU2649" s="92"/>
      <c r="BV2649" s="92"/>
      <c r="BW2649" s="92"/>
      <c r="BX2649" s="92"/>
      <c r="BY2649" s="92"/>
      <c r="BZ2649" s="92"/>
      <c r="CA2649" s="92"/>
      <c r="CB2649" s="92"/>
      <c r="CC2649" s="92"/>
      <c r="CD2649" s="92"/>
      <c r="CE2649" s="92"/>
      <c r="CF2649" s="92"/>
      <c r="CG2649" s="92"/>
      <c r="CH2649" s="92"/>
      <c r="CI2649" s="92"/>
      <c r="CJ2649" s="92"/>
      <c r="CK2649" s="92"/>
      <c r="CL2649" s="92"/>
      <c r="CM2649" s="92"/>
      <c r="CN2649" s="92"/>
      <c r="CO2649" s="92"/>
      <c r="CP2649" s="92"/>
      <c r="CQ2649" s="92"/>
      <c r="CR2649" s="92"/>
      <c r="CS2649" s="92"/>
      <c r="CT2649" s="92"/>
      <c r="CU2649" s="92"/>
      <c r="CV2649" s="92"/>
      <c r="CW2649" s="92"/>
      <c r="CX2649" s="92"/>
      <c r="CY2649" s="92"/>
      <c r="CZ2649" s="92"/>
      <c r="DA2649" s="92"/>
      <c r="DB2649" s="92"/>
      <c r="DC2649" s="92"/>
      <c r="DD2649" s="92"/>
      <c r="DE2649" s="92"/>
      <c r="DF2649" s="92"/>
      <c r="DG2649" s="92"/>
      <c r="DH2649" s="92"/>
      <c r="DI2649" s="92"/>
      <c r="DJ2649" s="92"/>
      <c r="DK2649" s="92"/>
      <c r="DL2649" s="92"/>
      <c r="DM2649" s="92"/>
      <c r="DN2649" s="92"/>
      <c r="DO2649" s="92"/>
      <c r="DP2649" s="92"/>
      <c r="DQ2649" s="92"/>
      <c r="DR2649" s="92"/>
      <c r="DS2649" s="92"/>
      <c r="DT2649" s="92"/>
      <c r="DU2649" s="92"/>
      <c r="DV2649" s="92"/>
      <c r="DW2649" s="92"/>
      <c r="DX2649" s="92"/>
      <c r="DY2649" s="92"/>
      <c r="DZ2649" s="92"/>
      <c r="EA2649" s="92"/>
      <c r="EB2649" s="92"/>
      <c r="EC2649" s="92"/>
      <c r="ED2649" s="92"/>
      <c r="EE2649" s="92"/>
      <c r="EF2649" s="92"/>
      <c r="EG2649" s="92"/>
      <c r="EH2649" s="92"/>
      <c r="EI2649" s="92"/>
      <c r="EJ2649" s="92"/>
      <c r="EK2649" s="92"/>
      <c r="EL2649" s="92"/>
      <c r="EM2649" s="92"/>
      <c r="EN2649" s="92"/>
      <c r="EO2649" s="92"/>
      <c r="EP2649" s="92"/>
      <c r="EQ2649" s="92"/>
      <c r="ER2649" s="92"/>
      <c r="ES2649" s="92"/>
      <c r="ET2649" s="92"/>
      <c r="EU2649" s="92"/>
      <c r="EV2649" s="92"/>
      <c r="EW2649" s="92"/>
      <c r="EX2649" s="92"/>
      <c r="EY2649" s="92"/>
      <c r="EZ2649" s="92"/>
      <c r="FA2649" s="92"/>
      <c r="FB2649" s="92"/>
      <c r="FC2649" s="92"/>
      <c r="FD2649" s="92"/>
      <c r="FE2649" s="92"/>
      <c r="FF2649" s="92"/>
      <c r="FG2649" s="92"/>
      <c r="FH2649" s="92"/>
      <c r="FI2649" s="92"/>
      <c r="FJ2649" s="92"/>
      <c r="FK2649" s="92"/>
      <c r="FL2649" s="92"/>
      <c r="FM2649" s="92"/>
      <c r="FN2649" s="92"/>
      <c r="FO2649" s="92"/>
      <c r="FP2649" s="92"/>
      <c r="FQ2649" s="92"/>
      <c r="FR2649" s="92"/>
      <c r="FS2649" s="92"/>
      <c r="FT2649" s="92"/>
      <c r="FU2649" s="92"/>
      <c r="FV2649" s="92"/>
      <c r="FW2649" s="92"/>
      <c r="FX2649" s="92"/>
      <c r="FY2649" s="92"/>
      <c r="FZ2649" s="92"/>
      <c r="GA2649" s="92"/>
      <c r="GB2649" s="92"/>
      <c r="GC2649" s="92"/>
      <c r="GD2649" s="92"/>
      <c r="GE2649" s="92"/>
      <c r="GF2649" s="92"/>
      <c r="GG2649" s="92"/>
      <c r="GH2649" s="92"/>
      <c r="GI2649" s="92"/>
      <c r="GJ2649" s="92"/>
      <c r="GK2649" s="92"/>
      <c r="GL2649" s="92"/>
      <c r="GM2649" s="92"/>
      <c r="GN2649" s="92"/>
      <c r="GO2649" s="92"/>
      <c r="GP2649" s="92"/>
      <c r="GQ2649" s="92"/>
      <c r="GR2649" s="92"/>
      <c r="GS2649" s="92"/>
      <c r="GT2649" s="92"/>
      <c r="GU2649" s="92"/>
      <c r="GV2649" s="92"/>
      <c r="GW2649" s="92"/>
      <c r="GX2649" s="92"/>
      <c r="GY2649" s="92"/>
      <c r="GZ2649" s="92"/>
      <c r="HA2649" s="92"/>
      <c r="HB2649" s="92"/>
      <c r="HC2649" s="92"/>
      <c r="HD2649" s="92"/>
      <c r="HE2649" s="92"/>
      <c r="HF2649" s="92"/>
      <c r="HG2649" s="92"/>
      <c r="HH2649" s="92"/>
      <c r="HI2649" s="92"/>
      <c r="HJ2649" s="92"/>
      <c r="HK2649" s="92"/>
      <c r="HL2649" s="92"/>
      <c r="HM2649" s="92"/>
      <c r="HN2649" s="92"/>
      <c r="HO2649" s="92"/>
      <c r="HP2649" s="92"/>
      <c r="HQ2649" s="92"/>
    </row>
    <row r="2650" spans="1:225" ht="46.5" x14ac:dyDescent="0.35">
      <c r="A2650" s="308"/>
      <c r="B2650" s="308"/>
      <c r="C2650" s="301"/>
      <c r="D2650" s="274"/>
      <c r="E2650" s="274"/>
      <c r="F2650" s="334"/>
      <c r="G2650" s="308"/>
      <c r="H2650" s="159" t="s">
        <v>705</v>
      </c>
      <c r="I2650" s="86">
        <f>D2649*K2650</f>
        <v>267142.40000000002</v>
      </c>
      <c r="J2650" s="86">
        <f>I2650/D2649</f>
        <v>178</v>
      </c>
      <c r="K2650" s="86">
        <v>178</v>
      </c>
      <c r="L2650" s="92"/>
      <c r="M2650" s="92"/>
      <c r="N2650" s="92"/>
      <c r="O2650" s="92"/>
      <c r="P2650" s="92"/>
      <c r="Q2650" s="92"/>
      <c r="R2650" s="92"/>
      <c r="S2650" s="92"/>
      <c r="T2650" s="92"/>
      <c r="U2650" s="92"/>
      <c r="V2650" s="92"/>
      <c r="W2650" s="92"/>
      <c r="X2650" s="92"/>
      <c r="Y2650" s="92"/>
      <c r="Z2650" s="92"/>
      <c r="AA2650" s="92"/>
      <c r="AB2650" s="92"/>
      <c r="AC2650" s="92"/>
      <c r="AD2650" s="92"/>
      <c r="AE2650" s="92"/>
      <c r="AF2650" s="92"/>
      <c r="AG2650" s="92"/>
      <c r="AH2650" s="92"/>
      <c r="AI2650" s="92"/>
      <c r="AJ2650" s="92"/>
      <c r="AK2650" s="92"/>
      <c r="AL2650" s="92"/>
      <c r="AM2650" s="92"/>
      <c r="AN2650" s="92"/>
      <c r="AO2650" s="92"/>
      <c r="AP2650" s="92"/>
      <c r="AQ2650" s="92"/>
      <c r="AR2650" s="92"/>
      <c r="AS2650" s="92"/>
      <c r="AT2650" s="92"/>
      <c r="AU2650" s="92"/>
      <c r="AV2650" s="92"/>
      <c r="AW2650" s="92"/>
      <c r="AX2650" s="92"/>
      <c r="AY2650" s="92"/>
      <c r="AZ2650" s="92"/>
      <c r="BA2650" s="92"/>
      <c r="BB2650" s="92"/>
      <c r="BC2650" s="92"/>
      <c r="BD2650" s="92"/>
      <c r="BE2650" s="92"/>
      <c r="BF2650" s="92"/>
      <c r="BG2650" s="92"/>
      <c r="BH2650" s="92"/>
      <c r="BI2650" s="92"/>
      <c r="BJ2650" s="92"/>
      <c r="BK2650" s="92"/>
      <c r="BL2650" s="92"/>
      <c r="BM2650" s="92"/>
      <c r="BN2650" s="92"/>
      <c r="BO2650" s="92"/>
      <c r="BP2650" s="92"/>
      <c r="BQ2650" s="92"/>
      <c r="BR2650" s="92"/>
      <c r="BS2650" s="92"/>
      <c r="BT2650" s="92"/>
      <c r="BU2650" s="92"/>
      <c r="BV2650" s="92"/>
      <c r="BW2650" s="92"/>
      <c r="BX2650" s="92"/>
      <c r="BY2650" s="92"/>
      <c r="BZ2650" s="92"/>
      <c r="CA2650" s="92"/>
      <c r="CB2650" s="92"/>
      <c r="CC2650" s="92"/>
      <c r="CD2650" s="92"/>
      <c r="CE2650" s="92"/>
      <c r="CF2650" s="92"/>
      <c r="CG2650" s="92"/>
      <c r="CH2650" s="92"/>
      <c r="CI2650" s="92"/>
      <c r="CJ2650" s="92"/>
      <c r="CK2650" s="92"/>
      <c r="CL2650" s="92"/>
      <c r="CM2650" s="92"/>
      <c r="CN2650" s="92"/>
      <c r="CO2650" s="92"/>
      <c r="CP2650" s="92"/>
      <c r="CQ2650" s="92"/>
      <c r="CR2650" s="92"/>
      <c r="CS2650" s="92"/>
      <c r="CT2650" s="92"/>
      <c r="CU2650" s="92"/>
      <c r="CV2650" s="92"/>
      <c r="CW2650" s="92"/>
      <c r="CX2650" s="92"/>
      <c r="CY2650" s="92"/>
      <c r="CZ2650" s="92"/>
      <c r="DA2650" s="92"/>
      <c r="DB2650" s="92"/>
      <c r="DC2650" s="92"/>
      <c r="DD2650" s="92"/>
      <c r="DE2650" s="92"/>
      <c r="DF2650" s="92"/>
      <c r="DG2650" s="92"/>
      <c r="DH2650" s="92"/>
      <c r="DI2650" s="92"/>
      <c r="DJ2650" s="92"/>
      <c r="DK2650" s="92"/>
      <c r="DL2650" s="92"/>
      <c r="DM2650" s="92"/>
      <c r="DN2650" s="92"/>
      <c r="DO2650" s="92"/>
      <c r="DP2650" s="92"/>
      <c r="DQ2650" s="92"/>
      <c r="DR2650" s="92"/>
      <c r="DS2650" s="92"/>
      <c r="DT2650" s="92"/>
      <c r="DU2650" s="92"/>
      <c r="DV2650" s="92"/>
      <c r="DW2650" s="92"/>
      <c r="DX2650" s="92"/>
      <c r="DY2650" s="92"/>
      <c r="DZ2650" s="92"/>
      <c r="EA2650" s="92"/>
      <c r="EB2650" s="92"/>
      <c r="EC2650" s="92"/>
      <c r="ED2650" s="92"/>
      <c r="EE2650" s="92"/>
      <c r="EF2650" s="92"/>
      <c r="EG2650" s="92"/>
      <c r="EH2650" s="92"/>
      <c r="EI2650" s="92"/>
      <c r="EJ2650" s="92"/>
      <c r="EK2650" s="92"/>
      <c r="EL2650" s="92"/>
      <c r="EM2650" s="92"/>
      <c r="EN2650" s="92"/>
      <c r="EO2650" s="92"/>
      <c r="EP2650" s="92"/>
      <c r="EQ2650" s="92"/>
      <c r="ER2650" s="92"/>
      <c r="ES2650" s="92"/>
      <c r="ET2650" s="92"/>
      <c r="EU2650" s="92"/>
      <c r="EV2650" s="92"/>
      <c r="EW2650" s="92"/>
      <c r="EX2650" s="92"/>
      <c r="EY2650" s="92"/>
      <c r="EZ2650" s="92"/>
      <c r="FA2650" s="92"/>
      <c r="FB2650" s="92"/>
      <c r="FC2650" s="92"/>
      <c r="FD2650" s="92"/>
      <c r="FE2650" s="92"/>
      <c r="FF2650" s="92"/>
      <c r="FG2650" s="92"/>
      <c r="FH2650" s="92"/>
      <c r="FI2650" s="92"/>
      <c r="FJ2650" s="92"/>
      <c r="FK2650" s="92"/>
      <c r="FL2650" s="92"/>
      <c r="FM2650" s="92"/>
      <c r="FN2650" s="92"/>
      <c r="FO2650" s="92"/>
      <c r="FP2650" s="92"/>
      <c r="FQ2650" s="92"/>
      <c r="FR2650" s="92"/>
      <c r="FS2650" s="92"/>
      <c r="FT2650" s="92"/>
      <c r="FU2650" s="92"/>
      <c r="FV2650" s="92"/>
      <c r="FW2650" s="92"/>
      <c r="FX2650" s="92"/>
      <c r="FY2650" s="92"/>
      <c r="FZ2650" s="92"/>
      <c r="GA2650" s="92"/>
      <c r="GB2650" s="92"/>
      <c r="GC2650" s="92"/>
      <c r="GD2650" s="92"/>
      <c r="GE2650" s="92"/>
      <c r="GF2650" s="92"/>
      <c r="GG2650" s="92"/>
      <c r="GH2650" s="92"/>
      <c r="GI2650" s="92"/>
      <c r="GJ2650" s="92"/>
      <c r="GK2650" s="92"/>
      <c r="GL2650" s="92"/>
      <c r="GM2650" s="92"/>
      <c r="GN2650" s="92"/>
      <c r="GO2650" s="92"/>
      <c r="GP2650" s="92"/>
      <c r="GQ2650" s="92"/>
      <c r="GR2650" s="92"/>
      <c r="GS2650" s="92"/>
      <c r="GT2650" s="92"/>
      <c r="GU2650" s="92"/>
      <c r="GV2650" s="92"/>
      <c r="GW2650" s="92"/>
      <c r="GX2650" s="92"/>
      <c r="GY2650" s="92"/>
      <c r="GZ2650" s="92"/>
      <c r="HA2650" s="92"/>
      <c r="HB2650" s="92"/>
      <c r="HC2650" s="92"/>
      <c r="HD2650" s="92"/>
      <c r="HE2650" s="92"/>
      <c r="HF2650" s="92"/>
      <c r="HG2650" s="92"/>
      <c r="HH2650" s="92"/>
      <c r="HI2650" s="92"/>
      <c r="HJ2650" s="92"/>
      <c r="HK2650" s="92"/>
      <c r="HL2650" s="92"/>
      <c r="HM2650" s="92"/>
      <c r="HN2650" s="92"/>
      <c r="HO2650" s="92"/>
      <c r="HP2650" s="92"/>
      <c r="HQ2650" s="92"/>
    </row>
    <row r="2651" spans="1:225" ht="15.75" customHeight="1" x14ac:dyDescent="0.35">
      <c r="A2651" s="285">
        <f>A2649+1</f>
        <v>12</v>
      </c>
      <c r="B2651" s="285">
        <v>6282</v>
      </c>
      <c r="C2651" s="295" t="s">
        <v>513</v>
      </c>
      <c r="D2651" s="279">
        <v>532.9</v>
      </c>
      <c r="E2651" s="285" t="s">
        <v>80</v>
      </c>
      <c r="F2651" s="285">
        <v>2</v>
      </c>
      <c r="G2651" s="285" t="s">
        <v>72</v>
      </c>
      <c r="H2651" s="116" t="s">
        <v>73</v>
      </c>
      <c r="I2651" s="86">
        <f>I2652+I2653</f>
        <v>3686602.2</v>
      </c>
      <c r="J2651" s="86">
        <f>J2652+J2653</f>
        <v>6918</v>
      </c>
      <c r="K2651" s="86">
        <f>K2652+K2653</f>
        <v>7066</v>
      </c>
      <c r="L2651" s="92"/>
      <c r="M2651" s="92"/>
      <c r="N2651" s="92"/>
      <c r="O2651" s="92"/>
      <c r="P2651" s="92"/>
      <c r="Q2651" s="92"/>
      <c r="R2651" s="92"/>
      <c r="S2651" s="92"/>
      <c r="T2651" s="92"/>
      <c r="U2651" s="92"/>
      <c r="V2651" s="92"/>
      <c r="W2651" s="92"/>
      <c r="X2651" s="92"/>
      <c r="Y2651" s="92"/>
      <c r="Z2651" s="92"/>
      <c r="AA2651" s="92"/>
      <c r="AB2651" s="92"/>
      <c r="AC2651" s="92"/>
      <c r="AD2651" s="92"/>
      <c r="AE2651" s="92"/>
      <c r="AF2651" s="92"/>
      <c r="AG2651" s="92"/>
      <c r="AH2651" s="92"/>
      <c r="AI2651" s="92"/>
      <c r="AJ2651" s="92"/>
      <c r="AK2651" s="92"/>
      <c r="AL2651" s="92"/>
      <c r="AM2651" s="92"/>
      <c r="AN2651" s="92"/>
      <c r="AO2651" s="92"/>
      <c r="AP2651" s="92"/>
      <c r="AQ2651" s="92"/>
      <c r="AR2651" s="92"/>
      <c r="AS2651" s="92"/>
      <c r="AT2651" s="92"/>
      <c r="AU2651" s="92"/>
      <c r="AV2651" s="92"/>
      <c r="AW2651" s="92"/>
      <c r="AX2651" s="92"/>
      <c r="AY2651" s="92"/>
      <c r="AZ2651" s="92"/>
      <c r="BA2651" s="92"/>
      <c r="BB2651" s="92"/>
      <c r="BC2651" s="92"/>
      <c r="BD2651" s="92"/>
      <c r="BE2651" s="92"/>
      <c r="BF2651" s="92"/>
      <c r="BG2651" s="92"/>
      <c r="BH2651" s="92"/>
      <c r="BI2651" s="92"/>
      <c r="BJ2651" s="92"/>
      <c r="BK2651" s="92"/>
      <c r="BL2651" s="92"/>
      <c r="BM2651" s="92"/>
      <c r="BN2651" s="92"/>
      <c r="BO2651" s="92"/>
      <c r="BP2651" s="92"/>
      <c r="BQ2651" s="92"/>
      <c r="BR2651" s="92"/>
      <c r="BS2651" s="92"/>
      <c r="BT2651" s="92"/>
      <c r="BU2651" s="92"/>
      <c r="BV2651" s="92"/>
      <c r="BW2651" s="92"/>
      <c r="BX2651" s="92"/>
      <c r="BY2651" s="92"/>
      <c r="BZ2651" s="92"/>
      <c r="CA2651" s="92"/>
      <c r="CB2651" s="92"/>
      <c r="CC2651" s="92"/>
      <c r="CD2651" s="92"/>
      <c r="CE2651" s="92"/>
      <c r="CF2651" s="92"/>
      <c r="CG2651" s="92"/>
      <c r="CH2651" s="92"/>
      <c r="CI2651" s="92"/>
      <c r="CJ2651" s="92"/>
      <c r="CK2651" s="92"/>
      <c r="CL2651" s="92"/>
      <c r="CM2651" s="92"/>
      <c r="CN2651" s="92"/>
      <c r="CO2651" s="92"/>
      <c r="CP2651" s="92"/>
      <c r="CQ2651" s="92"/>
      <c r="CR2651" s="92"/>
      <c r="CS2651" s="92"/>
      <c r="CT2651" s="92"/>
      <c r="CU2651" s="92"/>
      <c r="CV2651" s="92"/>
      <c r="CW2651" s="92"/>
      <c r="CX2651" s="92"/>
      <c r="CY2651" s="92"/>
      <c r="CZ2651" s="92"/>
      <c r="DA2651" s="92"/>
      <c r="DB2651" s="92"/>
      <c r="DC2651" s="92"/>
      <c r="DD2651" s="92"/>
      <c r="DE2651" s="92"/>
      <c r="DF2651" s="92"/>
      <c r="DG2651" s="92"/>
      <c r="DH2651" s="92"/>
      <c r="DI2651" s="92"/>
      <c r="DJ2651" s="92"/>
      <c r="DK2651" s="92"/>
      <c r="DL2651" s="92"/>
      <c r="DM2651" s="92"/>
      <c r="DN2651" s="92"/>
      <c r="DO2651" s="92"/>
      <c r="DP2651" s="92"/>
      <c r="DQ2651" s="92"/>
      <c r="DR2651" s="92"/>
      <c r="DS2651" s="92"/>
      <c r="DT2651" s="92"/>
      <c r="DU2651" s="92"/>
      <c r="DV2651" s="92"/>
      <c r="DW2651" s="92"/>
      <c r="DX2651" s="92"/>
      <c r="DY2651" s="92"/>
      <c r="DZ2651" s="92"/>
      <c r="EA2651" s="92"/>
      <c r="EB2651" s="92"/>
      <c r="EC2651" s="92"/>
      <c r="ED2651" s="92"/>
      <c r="EE2651" s="92"/>
      <c r="EF2651" s="92"/>
      <c r="EG2651" s="92"/>
      <c r="EH2651" s="92"/>
      <c r="EI2651" s="92"/>
      <c r="EJ2651" s="92"/>
      <c r="EK2651" s="92"/>
      <c r="EL2651" s="92"/>
      <c r="EM2651" s="92"/>
      <c r="EN2651" s="92"/>
      <c r="EO2651" s="92"/>
      <c r="EP2651" s="92"/>
      <c r="EQ2651" s="92"/>
      <c r="ER2651" s="92"/>
      <c r="ES2651" s="92"/>
      <c r="ET2651" s="92"/>
      <c r="EU2651" s="92"/>
      <c r="EV2651" s="92"/>
      <c r="EW2651" s="92"/>
      <c r="EX2651" s="92"/>
      <c r="EY2651" s="92"/>
      <c r="EZ2651" s="92"/>
      <c r="FA2651" s="92"/>
      <c r="FB2651" s="92"/>
      <c r="FC2651" s="92"/>
      <c r="FD2651" s="92"/>
      <c r="FE2651" s="92"/>
      <c r="FF2651" s="92"/>
      <c r="FG2651" s="92"/>
      <c r="FH2651" s="92"/>
      <c r="FI2651" s="92"/>
      <c r="FJ2651" s="92"/>
      <c r="FK2651" s="92"/>
      <c r="FL2651" s="92"/>
      <c r="FM2651" s="92"/>
      <c r="FN2651" s="92"/>
      <c r="FO2651" s="92"/>
      <c r="FP2651" s="92"/>
      <c r="FQ2651" s="92"/>
      <c r="FR2651" s="92"/>
      <c r="FS2651" s="92"/>
      <c r="FT2651" s="92"/>
      <c r="FU2651" s="92"/>
      <c r="FV2651" s="92"/>
      <c r="FW2651" s="92"/>
      <c r="FX2651" s="92"/>
      <c r="FY2651" s="92"/>
      <c r="FZ2651" s="92"/>
      <c r="GA2651" s="92"/>
      <c r="GB2651" s="92"/>
      <c r="GC2651" s="92"/>
      <c r="GD2651" s="92"/>
      <c r="GE2651" s="92"/>
      <c r="GF2651" s="92"/>
      <c r="GG2651" s="92"/>
      <c r="GH2651" s="92"/>
      <c r="GI2651" s="92"/>
      <c r="GJ2651" s="92"/>
      <c r="GK2651" s="92"/>
      <c r="GL2651" s="92"/>
      <c r="GM2651" s="92"/>
      <c r="GN2651" s="92"/>
      <c r="GO2651" s="92"/>
      <c r="GP2651" s="92"/>
      <c r="GQ2651" s="92"/>
      <c r="GR2651" s="92"/>
      <c r="GS2651" s="92"/>
      <c r="GT2651" s="92"/>
      <c r="GU2651" s="92"/>
      <c r="GV2651" s="92"/>
      <c r="GW2651" s="92"/>
      <c r="GX2651" s="92"/>
      <c r="GY2651" s="92"/>
      <c r="GZ2651" s="92"/>
      <c r="HA2651" s="92"/>
      <c r="HB2651" s="92"/>
      <c r="HC2651" s="92"/>
      <c r="HD2651" s="92"/>
      <c r="HE2651" s="92"/>
      <c r="HF2651" s="92"/>
      <c r="HG2651" s="92"/>
      <c r="HH2651" s="92"/>
      <c r="HI2651" s="92"/>
      <c r="HJ2651" s="92"/>
      <c r="HK2651" s="92"/>
      <c r="HL2651" s="92"/>
      <c r="HM2651" s="92"/>
      <c r="HN2651" s="92"/>
      <c r="HO2651" s="92"/>
      <c r="HP2651" s="92"/>
      <c r="HQ2651" s="92"/>
    </row>
    <row r="2652" spans="1:225" x14ac:dyDescent="0.35">
      <c r="A2652" s="286"/>
      <c r="B2652" s="286"/>
      <c r="C2652" s="296"/>
      <c r="D2652" s="280"/>
      <c r="E2652" s="286"/>
      <c r="F2652" s="286"/>
      <c r="G2652" s="286"/>
      <c r="H2652" s="116" t="s">
        <v>667</v>
      </c>
      <c r="I2652" s="86">
        <f>D2651*K2652</f>
        <v>3686602.2</v>
      </c>
      <c r="J2652" s="86">
        <f>I2652/D2651</f>
        <v>6918</v>
      </c>
      <c r="K2652" s="86">
        <v>6918</v>
      </c>
      <c r="L2652" s="92"/>
      <c r="M2652" s="92"/>
      <c r="N2652" s="92"/>
      <c r="O2652" s="92"/>
      <c r="P2652" s="92"/>
      <c r="Q2652" s="92"/>
      <c r="R2652" s="92"/>
      <c r="S2652" s="92"/>
      <c r="T2652" s="92"/>
      <c r="U2652" s="92"/>
      <c r="V2652" s="92"/>
      <c r="W2652" s="92"/>
      <c r="X2652" s="92"/>
      <c r="Y2652" s="92"/>
      <c r="Z2652" s="92"/>
      <c r="AA2652" s="92"/>
      <c r="AB2652" s="92"/>
      <c r="AC2652" s="92"/>
      <c r="AD2652" s="92"/>
      <c r="AE2652" s="92"/>
      <c r="AF2652" s="92"/>
      <c r="AG2652" s="92"/>
      <c r="AH2652" s="92"/>
      <c r="AI2652" s="92"/>
      <c r="AJ2652" s="92"/>
      <c r="AK2652" s="92"/>
      <c r="AL2652" s="92"/>
      <c r="AM2652" s="92"/>
      <c r="AN2652" s="92"/>
      <c r="AO2652" s="92"/>
      <c r="AP2652" s="92"/>
      <c r="AQ2652" s="92"/>
      <c r="AR2652" s="92"/>
      <c r="AS2652" s="92"/>
      <c r="AT2652" s="92"/>
      <c r="AU2652" s="92"/>
      <c r="AV2652" s="92"/>
      <c r="AW2652" s="92"/>
      <c r="AX2652" s="92"/>
      <c r="AY2652" s="92"/>
      <c r="AZ2652" s="92"/>
      <c r="BA2652" s="92"/>
      <c r="BB2652" s="92"/>
      <c r="BC2652" s="92"/>
      <c r="BD2652" s="92"/>
      <c r="BE2652" s="92"/>
      <c r="BF2652" s="92"/>
      <c r="BG2652" s="92"/>
      <c r="BH2652" s="92"/>
      <c r="BI2652" s="92"/>
      <c r="BJ2652" s="92"/>
      <c r="BK2652" s="92"/>
      <c r="BL2652" s="92"/>
      <c r="BM2652" s="92"/>
      <c r="BN2652" s="92"/>
      <c r="BO2652" s="92"/>
      <c r="BP2652" s="92"/>
      <c r="BQ2652" s="92"/>
      <c r="BR2652" s="92"/>
      <c r="BS2652" s="92"/>
      <c r="BT2652" s="92"/>
      <c r="BU2652" s="92"/>
      <c r="BV2652" s="92"/>
      <c r="BW2652" s="92"/>
      <c r="BX2652" s="92"/>
      <c r="BY2652" s="92"/>
      <c r="BZ2652" s="92"/>
      <c r="CA2652" s="92"/>
      <c r="CB2652" s="92"/>
      <c r="CC2652" s="92"/>
      <c r="CD2652" s="92"/>
      <c r="CE2652" s="92"/>
      <c r="CF2652" s="92"/>
      <c r="CG2652" s="92"/>
      <c r="CH2652" s="92"/>
      <c r="CI2652" s="92"/>
      <c r="CJ2652" s="92"/>
      <c r="CK2652" s="92"/>
      <c r="CL2652" s="92"/>
      <c r="CM2652" s="92"/>
      <c r="CN2652" s="92"/>
      <c r="CO2652" s="92"/>
      <c r="CP2652" s="92"/>
      <c r="CQ2652" s="92"/>
      <c r="CR2652" s="92"/>
      <c r="CS2652" s="92"/>
      <c r="CT2652" s="92"/>
      <c r="CU2652" s="92"/>
      <c r="CV2652" s="92"/>
      <c r="CW2652" s="92"/>
      <c r="CX2652" s="92"/>
      <c r="CY2652" s="92"/>
      <c r="CZ2652" s="92"/>
      <c r="DA2652" s="92"/>
      <c r="DB2652" s="92"/>
      <c r="DC2652" s="92"/>
      <c r="DD2652" s="92"/>
      <c r="DE2652" s="92"/>
      <c r="DF2652" s="92"/>
      <c r="DG2652" s="92"/>
      <c r="DH2652" s="92"/>
      <c r="DI2652" s="92"/>
      <c r="DJ2652" s="92"/>
      <c r="DK2652" s="92"/>
      <c r="DL2652" s="92"/>
      <c r="DM2652" s="92"/>
      <c r="DN2652" s="92"/>
      <c r="DO2652" s="92"/>
      <c r="DP2652" s="92"/>
      <c r="DQ2652" s="92"/>
      <c r="DR2652" s="92"/>
      <c r="DS2652" s="92"/>
      <c r="DT2652" s="92"/>
      <c r="DU2652" s="92"/>
      <c r="DV2652" s="92"/>
      <c r="DW2652" s="92"/>
      <c r="DX2652" s="92"/>
      <c r="DY2652" s="92"/>
      <c r="DZ2652" s="92"/>
      <c r="EA2652" s="92"/>
      <c r="EB2652" s="92"/>
      <c r="EC2652" s="92"/>
      <c r="ED2652" s="92"/>
      <c r="EE2652" s="92"/>
      <c r="EF2652" s="92"/>
      <c r="EG2652" s="92"/>
      <c r="EH2652" s="92"/>
      <c r="EI2652" s="92"/>
      <c r="EJ2652" s="92"/>
      <c r="EK2652" s="92"/>
      <c r="EL2652" s="92"/>
      <c r="EM2652" s="92"/>
      <c r="EN2652" s="92"/>
      <c r="EO2652" s="92"/>
      <c r="EP2652" s="92"/>
      <c r="EQ2652" s="92"/>
      <c r="ER2652" s="92"/>
      <c r="ES2652" s="92"/>
      <c r="ET2652" s="92"/>
      <c r="EU2652" s="92"/>
      <c r="EV2652" s="92"/>
      <c r="EW2652" s="92"/>
      <c r="EX2652" s="92"/>
      <c r="EY2652" s="92"/>
      <c r="EZ2652" s="92"/>
      <c r="FA2652" s="92"/>
      <c r="FB2652" s="92"/>
      <c r="FC2652" s="92"/>
      <c r="FD2652" s="92"/>
      <c r="FE2652" s="92"/>
      <c r="FF2652" s="92"/>
      <c r="FG2652" s="92"/>
      <c r="FH2652" s="92"/>
      <c r="FI2652" s="92"/>
      <c r="FJ2652" s="92"/>
      <c r="FK2652" s="92"/>
      <c r="FL2652" s="92"/>
      <c r="FM2652" s="92"/>
      <c r="FN2652" s="92"/>
      <c r="FO2652" s="92"/>
      <c r="FP2652" s="92"/>
      <c r="FQ2652" s="92"/>
      <c r="FR2652" s="92"/>
      <c r="FS2652" s="92"/>
      <c r="FT2652" s="92"/>
      <c r="FU2652" s="92"/>
      <c r="FV2652" s="92"/>
      <c r="FW2652" s="92"/>
      <c r="FX2652" s="92"/>
      <c r="FY2652" s="92"/>
      <c r="FZ2652" s="92"/>
      <c r="GA2652" s="92"/>
      <c r="GB2652" s="92"/>
      <c r="GC2652" s="92"/>
      <c r="GD2652" s="92"/>
      <c r="GE2652" s="92"/>
      <c r="GF2652" s="92"/>
      <c r="GG2652" s="92"/>
      <c r="GH2652" s="92"/>
      <c r="GI2652" s="92"/>
      <c r="GJ2652" s="92"/>
      <c r="GK2652" s="92"/>
      <c r="GL2652" s="92"/>
      <c r="GM2652" s="92"/>
      <c r="GN2652" s="92"/>
      <c r="GO2652" s="92"/>
      <c r="GP2652" s="92"/>
      <c r="GQ2652" s="92"/>
      <c r="GR2652" s="92"/>
      <c r="GS2652" s="92"/>
      <c r="GT2652" s="92"/>
      <c r="GU2652" s="92"/>
      <c r="GV2652" s="92"/>
      <c r="GW2652" s="92"/>
      <c r="GX2652" s="92"/>
      <c r="GY2652" s="92"/>
      <c r="GZ2652" s="92"/>
      <c r="HA2652" s="92"/>
      <c r="HB2652" s="92"/>
      <c r="HC2652" s="92"/>
      <c r="HD2652" s="92"/>
      <c r="HE2652" s="92"/>
      <c r="HF2652" s="92"/>
      <c r="HG2652" s="92"/>
      <c r="HH2652" s="92"/>
      <c r="HI2652" s="92"/>
      <c r="HJ2652" s="92"/>
      <c r="HK2652" s="92"/>
      <c r="HL2652" s="92"/>
      <c r="HM2652" s="92"/>
      <c r="HN2652" s="92"/>
      <c r="HO2652" s="92"/>
      <c r="HP2652" s="92"/>
      <c r="HQ2652" s="92"/>
    </row>
    <row r="2653" spans="1:225" x14ac:dyDescent="0.35">
      <c r="A2653" s="287"/>
      <c r="B2653" s="287"/>
      <c r="C2653" s="297"/>
      <c r="D2653" s="281"/>
      <c r="E2653" s="287"/>
      <c r="F2653" s="287"/>
      <c r="G2653" s="287"/>
      <c r="H2653" s="116" t="s">
        <v>76</v>
      </c>
      <c r="I2653" s="86">
        <v>0</v>
      </c>
      <c r="J2653" s="86">
        <v>0</v>
      </c>
      <c r="K2653" s="86">
        <v>148</v>
      </c>
      <c r="L2653" s="92"/>
      <c r="M2653" s="92"/>
      <c r="N2653" s="92"/>
      <c r="O2653" s="92"/>
      <c r="P2653" s="92"/>
      <c r="Q2653" s="92"/>
      <c r="R2653" s="92"/>
      <c r="S2653" s="92"/>
      <c r="T2653" s="92"/>
      <c r="U2653" s="92"/>
      <c r="V2653" s="92"/>
      <c r="W2653" s="92"/>
      <c r="X2653" s="92"/>
      <c r="Y2653" s="92"/>
      <c r="Z2653" s="92"/>
      <c r="AA2653" s="92"/>
      <c r="AB2653" s="92"/>
      <c r="AC2653" s="92"/>
      <c r="AD2653" s="92"/>
      <c r="AE2653" s="92"/>
      <c r="AF2653" s="92"/>
      <c r="AG2653" s="92"/>
      <c r="AH2653" s="92"/>
      <c r="AI2653" s="92"/>
      <c r="AJ2653" s="92"/>
      <c r="AK2653" s="92"/>
      <c r="AL2653" s="92"/>
      <c r="AM2653" s="92"/>
      <c r="AN2653" s="92"/>
      <c r="AO2653" s="92"/>
      <c r="AP2653" s="92"/>
      <c r="AQ2653" s="92"/>
      <c r="AR2653" s="92"/>
      <c r="AS2653" s="92"/>
      <c r="AT2653" s="92"/>
      <c r="AU2653" s="92"/>
      <c r="AV2653" s="92"/>
      <c r="AW2653" s="92"/>
      <c r="AX2653" s="92"/>
      <c r="AY2653" s="92"/>
      <c r="AZ2653" s="92"/>
      <c r="BA2653" s="92"/>
      <c r="BB2653" s="92"/>
      <c r="BC2653" s="92"/>
      <c r="BD2653" s="92"/>
      <c r="BE2653" s="92"/>
      <c r="BF2653" s="92"/>
      <c r="BG2653" s="92"/>
      <c r="BH2653" s="92"/>
      <c r="BI2653" s="92"/>
      <c r="BJ2653" s="92"/>
      <c r="BK2653" s="92"/>
      <c r="BL2653" s="92"/>
      <c r="BM2653" s="92"/>
      <c r="BN2653" s="92"/>
      <c r="BO2653" s="92"/>
      <c r="BP2653" s="92"/>
      <c r="BQ2653" s="92"/>
      <c r="BR2653" s="92"/>
      <c r="BS2653" s="92"/>
      <c r="BT2653" s="92"/>
      <c r="BU2653" s="92"/>
      <c r="BV2653" s="92"/>
      <c r="BW2653" s="92"/>
      <c r="BX2653" s="92"/>
      <c r="BY2653" s="92"/>
      <c r="BZ2653" s="92"/>
      <c r="CA2653" s="92"/>
      <c r="CB2653" s="92"/>
      <c r="CC2653" s="92"/>
      <c r="CD2653" s="92"/>
      <c r="CE2653" s="92"/>
      <c r="CF2653" s="92"/>
      <c r="CG2653" s="92"/>
      <c r="CH2653" s="92"/>
      <c r="CI2653" s="92"/>
      <c r="CJ2653" s="92"/>
      <c r="CK2653" s="92"/>
      <c r="CL2653" s="92"/>
      <c r="CM2653" s="92"/>
      <c r="CN2653" s="92"/>
      <c r="CO2653" s="92"/>
      <c r="CP2653" s="92"/>
      <c r="CQ2653" s="92"/>
      <c r="CR2653" s="92"/>
      <c r="CS2653" s="92"/>
      <c r="CT2653" s="92"/>
      <c r="CU2653" s="92"/>
      <c r="CV2653" s="92"/>
      <c r="CW2653" s="92"/>
      <c r="CX2653" s="92"/>
      <c r="CY2653" s="92"/>
      <c r="CZ2653" s="92"/>
      <c r="DA2653" s="92"/>
      <c r="DB2653" s="92"/>
      <c r="DC2653" s="92"/>
      <c r="DD2653" s="92"/>
      <c r="DE2653" s="92"/>
      <c r="DF2653" s="92"/>
      <c r="DG2653" s="92"/>
      <c r="DH2653" s="92"/>
      <c r="DI2653" s="92"/>
      <c r="DJ2653" s="92"/>
      <c r="DK2653" s="92"/>
      <c r="DL2653" s="92"/>
      <c r="DM2653" s="92"/>
      <c r="DN2653" s="92"/>
      <c r="DO2653" s="92"/>
      <c r="DP2653" s="92"/>
      <c r="DQ2653" s="92"/>
      <c r="DR2653" s="92"/>
      <c r="DS2653" s="92"/>
      <c r="DT2653" s="92"/>
      <c r="DU2653" s="92"/>
      <c r="DV2653" s="92"/>
      <c r="DW2653" s="92"/>
      <c r="DX2653" s="92"/>
      <c r="DY2653" s="92"/>
      <c r="DZ2653" s="92"/>
      <c r="EA2653" s="92"/>
      <c r="EB2653" s="92"/>
      <c r="EC2653" s="92"/>
      <c r="ED2653" s="92"/>
      <c r="EE2653" s="92"/>
      <c r="EF2653" s="92"/>
      <c r="EG2653" s="92"/>
      <c r="EH2653" s="92"/>
      <c r="EI2653" s="92"/>
      <c r="EJ2653" s="92"/>
      <c r="EK2653" s="92"/>
      <c r="EL2653" s="92"/>
      <c r="EM2653" s="92"/>
      <c r="EN2653" s="92"/>
      <c r="EO2653" s="92"/>
      <c r="EP2653" s="92"/>
      <c r="EQ2653" s="92"/>
      <c r="ER2653" s="92"/>
      <c r="ES2653" s="92"/>
      <c r="ET2653" s="92"/>
      <c r="EU2653" s="92"/>
      <c r="EV2653" s="92"/>
      <c r="EW2653" s="92"/>
      <c r="EX2653" s="92"/>
      <c r="EY2653" s="92"/>
      <c r="EZ2653" s="92"/>
      <c r="FA2653" s="92"/>
      <c r="FB2653" s="92"/>
      <c r="FC2653" s="92"/>
      <c r="FD2653" s="92"/>
      <c r="FE2653" s="92"/>
      <c r="FF2653" s="92"/>
      <c r="FG2653" s="92"/>
      <c r="FH2653" s="92"/>
      <c r="FI2653" s="92"/>
      <c r="FJ2653" s="92"/>
      <c r="FK2653" s="92"/>
      <c r="FL2653" s="92"/>
      <c r="FM2653" s="92"/>
      <c r="FN2653" s="92"/>
      <c r="FO2653" s="92"/>
      <c r="FP2653" s="92"/>
      <c r="FQ2653" s="92"/>
      <c r="FR2653" s="92"/>
      <c r="FS2653" s="92"/>
      <c r="FT2653" s="92"/>
      <c r="FU2653" s="92"/>
      <c r="FV2653" s="92"/>
      <c r="FW2653" s="92"/>
      <c r="FX2653" s="92"/>
      <c r="FY2653" s="92"/>
      <c r="FZ2653" s="92"/>
      <c r="GA2653" s="92"/>
      <c r="GB2653" s="92"/>
      <c r="GC2653" s="92"/>
      <c r="GD2653" s="92"/>
      <c r="GE2653" s="92"/>
      <c r="GF2653" s="92"/>
      <c r="GG2653" s="92"/>
      <c r="GH2653" s="92"/>
      <c r="GI2653" s="92"/>
      <c r="GJ2653" s="92"/>
      <c r="GK2653" s="92"/>
      <c r="GL2653" s="92"/>
      <c r="GM2653" s="92"/>
      <c r="GN2653" s="92"/>
      <c r="GO2653" s="92"/>
      <c r="GP2653" s="92"/>
      <c r="GQ2653" s="92"/>
      <c r="GR2653" s="92"/>
      <c r="GS2653" s="92"/>
      <c r="GT2653" s="92"/>
      <c r="GU2653" s="92"/>
      <c r="GV2653" s="92"/>
      <c r="GW2653" s="92"/>
      <c r="GX2653" s="92"/>
      <c r="GY2653" s="92"/>
      <c r="GZ2653" s="92"/>
      <c r="HA2653" s="92"/>
      <c r="HB2653" s="92"/>
      <c r="HC2653" s="92"/>
      <c r="HD2653" s="92"/>
      <c r="HE2653" s="92"/>
      <c r="HF2653" s="92"/>
      <c r="HG2653" s="92"/>
      <c r="HH2653" s="92"/>
      <c r="HI2653" s="92"/>
      <c r="HJ2653" s="92"/>
      <c r="HK2653" s="92"/>
      <c r="HL2653" s="92"/>
      <c r="HM2653" s="92"/>
      <c r="HN2653" s="92"/>
      <c r="HO2653" s="92"/>
      <c r="HP2653" s="92"/>
      <c r="HQ2653" s="92"/>
    </row>
    <row r="2654" spans="1:225" ht="15.75" customHeight="1" x14ac:dyDescent="0.35">
      <c r="A2654" s="285">
        <f>A2651+1</f>
        <v>13</v>
      </c>
      <c r="B2654" s="285">
        <v>6341</v>
      </c>
      <c r="C2654" s="295" t="s">
        <v>514</v>
      </c>
      <c r="D2654" s="279">
        <v>884.5</v>
      </c>
      <c r="E2654" s="285" t="s">
        <v>80</v>
      </c>
      <c r="F2654" s="285">
        <v>2</v>
      </c>
      <c r="G2654" s="285" t="s">
        <v>72</v>
      </c>
      <c r="H2654" s="116" t="s">
        <v>73</v>
      </c>
      <c r="I2654" s="86">
        <f>I2655+I2656</f>
        <v>6118971</v>
      </c>
      <c r="J2654" s="86">
        <f>J2655+J2656</f>
        <v>6918</v>
      </c>
      <c r="K2654" s="86">
        <f>K2655+K2656</f>
        <v>7066</v>
      </c>
      <c r="L2654" s="92"/>
      <c r="M2654" s="92"/>
      <c r="N2654" s="92"/>
      <c r="O2654" s="92"/>
      <c r="P2654" s="92"/>
      <c r="Q2654" s="92"/>
      <c r="R2654" s="92"/>
      <c r="S2654" s="92"/>
      <c r="T2654" s="92"/>
      <c r="U2654" s="92"/>
      <c r="V2654" s="92"/>
      <c r="W2654" s="92"/>
      <c r="X2654" s="92"/>
      <c r="Y2654" s="92"/>
      <c r="Z2654" s="92"/>
      <c r="AA2654" s="92"/>
      <c r="AB2654" s="92"/>
      <c r="AC2654" s="92"/>
      <c r="AD2654" s="92"/>
      <c r="AE2654" s="92"/>
      <c r="AF2654" s="92"/>
      <c r="AG2654" s="92"/>
      <c r="AH2654" s="92"/>
      <c r="AI2654" s="92"/>
      <c r="AJ2654" s="92"/>
      <c r="AK2654" s="92"/>
      <c r="AL2654" s="92"/>
      <c r="AM2654" s="92"/>
      <c r="AN2654" s="92"/>
      <c r="AO2654" s="92"/>
      <c r="AP2654" s="92"/>
      <c r="AQ2654" s="92"/>
      <c r="AR2654" s="92"/>
      <c r="AS2654" s="92"/>
      <c r="AT2654" s="92"/>
      <c r="AU2654" s="92"/>
      <c r="AV2654" s="92"/>
      <c r="AW2654" s="92"/>
      <c r="AX2654" s="92"/>
      <c r="AY2654" s="92"/>
      <c r="AZ2654" s="92"/>
      <c r="BA2654" s="92"/>
      <c r="BB2654" s="92"/>
      <c r="BC2654" s="92"/>
      <c r="BD2654" s="92"/>
      <c r="BE2654" s="92"/>
      <c r="BF2654" s="92"/>
      <c r="BG2654" s="92"/>
      <c r="BH2654" s="92"/>
      <c r="BI2654" s="92"/>
      <c r="BJ2654" s="92"/>
      <c r="BK2654" s="92"/>
      <c r="BL2654" s="92"/>
      <c r="BM2654" s="92"/>
      <c r="BN2654" s="92"/>
      <c r="BO2654" s="92"/>
      <c r="BP2654" s="92"/>
      <c r="BQ2654" s="92"/>
      <c r="BR2654" s="92"/>
      <c r="BS2654" s="92"/>
      <c r="BT2654" s="92"/>
      <c r="BU2654" s="92"/>
      <c r="BV2654" s="92"/>
      <c r="BW2654" s="92"/>
      <c r="BX2654" s="92"/>
      <c r="BY2654" s="92"/>
      <c r="BZ2654" s="92"/>
      <c r="CA2654" s="92"/>
      <c r="CB2654" s="92"/>
      <c r="CC2654" s="92"/>
      <c r="CD2654" s="92"/>
      <c r="CE2654" s="92"/>
      <c r="CF2654" s="92"/>
      <c r="CG2654" s="92"/>
      <c r="CH2654" s="92"/>
      <c r="CI2654" s="92"/>
      <c r="CJ2654" s="92"/>
      <c r="CK2654" s="92"/>
      <c r="CL2654" s="92"/>
      <c r="CM2654" s="92"/>
      <c r="CN2654" s="92"/>
      <c r="CO2654" s="92"/>
      <c r="CP2654" s="92"/>
      <c r="CQ2654" s="92"/>
      <c r="CR2654" s="92"/>
      <c r="CS2654" s="92"/>
      <c r="CT2654" s="92"/>
      <c r="CU2654" s="92"/>
      <c r="CV2654" s="92"/>
      <c r="CW2654" s="92"/>
      <c r="CX2654" s="92"/>
      <c r="CY2654" s="92"/>
      <c r="CZ2654" s="92"/>
      <c r="DA2654" s="92"/>
      <c r="DB2654" s="92"/>
      <c r="DC2654" s="92"/>
      <c r="DD2654" s="92"/>
      <c r="DE2654" s="92"/>
      <c r="DF2654" s="92"/>
      <c r="DG2654" s="92"/>
      <c r="DH2654" s="92"/>
      <c r="DI2654" s="92"/>
      <c r="DJ2654" s="92"/>
      <c r="DK2654" s="92"/>
      <c r="DL2654" s="92"/>
      <c r="DM2654" s="92"/>
      <c r="DN2654" s="92"/>
      <c r="DO2654" s="92"/>
      <c r="DP2654" s="92"/>
      <c r="DQ2654" s="92"/>
      <c r="DR2654" s="92"/>
      <c r="DS2654" s="92"/>
      <c r="DT2654" s="92"/>
      <c r="DU2654" s="92"/>
      <c r="DV2654" s="92"/>
      <c r="DW2654" s="92"/>
      <c r="DX2654" s="92"/>
      <c r="DY2654" s="92"/>
      <c r="DZ2654" s="92"/>
      <c r="EA2654" s="92"/>
      <c r="EB2654" s="92"/>
      <c r="EC2654" s="92"/>
      <c r="ED2654" s="92"/>
      <c r="EE2654" s="92"/>
      <c r="EF2654" s="92"/>
      <c r="EG2654" s="92"/>
      <c r="EH2654" s="92"/>
      <c r="EI2654" s="92"/>
      <c r="EJ2654" s="92"/>
      <c r="EK2654" s="92"/>
      <c r="EL2654" s="92"/>
      <c r="EM2654" s="92"/>
      <c r="EN2654" s="92"/>
      <c r="EO2654" s="92"/>
      <c r="EP2654" s="92"/>
      <c r="EQ2654" s="92"/>
      <c r="ER2654" s="92"/>
      <c r="ES2654" s="92"/>
      <c r="ET2654" s="92"/>
      <c r="EU2654" s="92"/>
      <c r="EV2654" s="92"/>
      <c r="EW2654" s="92"/>
      <c r="EX2654" s="92"/>
      <c r="EY2654" s="92"/>
      <c r="EZ2654" s="92"/>
      <c r="FA2654" s="92"/>
      <c r="FB2654" s="92"/>
      <c r="FC2654" s="92"/>
      <c r="FD2654" s="92"/>
      <c r="FE2654" s="92"/>
      <c r="FF2654" s="92"/>
      <c r="FG2654" s="92"/>
      <c r="FH2654" s="92"/>
      <c r="FI2654" s="92"/>
      <c r="FJ2654" s="92"/>
      <c r="FK2654" s="92"/>
      <c r="FL2654" s="92"/>
      <c r="FM2654" s="92"/>
      <c r="FN2654" s="92"/>
      <c r="FO2654" s="92"/>
      <c r="FP2654" s="92"/>
      <c r="FQ2654" s="92"/>
      <c r="FR2654" s="92"/>
      <c r="FS2654" s="92"/>
      <c r="FT2654" s="92"/>
      <c r="FU2654" s="92"/>
      <c r="FV2654" s="92"/>
      <c r="FW2654" s="92"/>
      <c r="FX2654" s="92"/>
      <c r="FY2654" s="92"/>
      <c r="FZ2654" s="92"/>
      <c r="GA2654" s="92"/>
      <c r="GB2654" s="92"/>
      <c r="GC2654" s="92"/>
      <c r="GD2654" s="92"/>
      <c r="GE2654" s="92"/>
      <c r="GF2654" s="92"/>
      <c r="GG2654" s="92"/>
      <c r="GH2654" s="92"/>
      <c r="GI2654" s="92"/>
      <c r="GJ2654" s="92"/>
      <c r="GK2654" s="92"/>
      <c r="GL2654" s="92"/>
      <c r="GM2654" s="92"/>
      <c r="GN2654" s="92"/>
      <c r="GO2654" s="92"/>
      <c r="GP2654" s="92"/>
      <c r="GQ2654" s="92"/>
      <c r="GR2654" s="92"/>
      <c r="GS2654" s="92"/>
      <c r="GT2654" s="92"/>
      <c r="GU2654" s="92"/>
      <c r="GV2654" s="92"/>
      <c r="GW2654" s="92"/>
      <c r="GX2654" s="92"/>
      <c r="GY2654" s="92"/>
      <c r="GZ2654" s="92"/>
      <c r="HA2654" s="92"/>
      <c r="HB2654" s="92"/>
      <c r="HC2654" s="92"/>
      <c r="HD2654" s="92"/>
      <c r="HE2654" s="92"/>
      <c r="HF2654" s="92"/>
      <c r="HG2654" s="92"/>
      <c r="HH2654" s="92"/>
      <c r="HI2654" s="92"/>
      <c r="HJ2654" s="92"/>
      <c r="HK2654" s="92"/>
      <c r="HL2654" s="92"/>
      <c r="HM2654" s="92"/>
      <c r="HN2654" s="92"/>
      <c r="HO2654" s="92"/>
      <c r="HP2654" s="92"/>
      <c r="HQ2654" s="92"/>
    </row>
    <row r="2655" spans="1:225" x14ac:dyDescent="0.35">
      <c r="A2655" s="286"/>
      <c r="B2655" s="286"/>
      <c r="C2655" s="296"/>
      <c r="D2655" s="280"/>
      <c r="E2655" s="286"/>
      <c r="F2655" s="286"/>
      <c r="G2655" s="286"/>
      <c r="H2655" s="116" t="s">
        <v>667</v>
      </c>
      <c r="I2655" s="86">
        <f>D2654*K2655</f>
        <v>6118971</v>
      </c>
      <c r="J2655" s="86">
        <f>I2655/D2654</f>
        <v>6918</v>
      </c>
      <c r="K2655" s="86">
        <v>6918</v>
      </c>
      <c r="L2655" s="92"/>
      <c r="M2655" s="92"/>
      <c r="N2655" s="92"/>
      <c r="O2655" s="92"/>
      <c r="P2655" s="92"/>
      <c r="Q2655" s="92"/>
      <c r="R2655" s="92"/>
      <c r="S2655" s="92"/>
      <c r="T2655" s="92"/>
      <c r="U2655" s="92"/>
      <c r="V2655" s="92"/>
      <c r="W2655" s="92"/>
      <c r="X2655" s="92"/>
      <c r="Y2655" s="92"/>
      <c r="Z2655" s="92"/>
      <c r="AA2655" s="92"/>
      <c r="AB2655" s="92"/>
      <c r="AC2655" s="92"/>
      <c r="AD2655" s="92"/>
      <c r="AE2655" s="92"/>
      <c r="AF2655" s="92"/>
      <c r="AG2655" s="92"/>
      <c r="AH2655" s="92"/>
      <c r="AI2655" s="92"/>
      <c r="AJ2655" s="92"/>
      <c r="AK2655" s="92"/>
      <c r="AL2655" s="92"/>
      <c r="AM2655" s="92"/>
      <c r="AN2655" s="92"/>
      <c r="AO2655" s="92"/>
      <c r="AP2655" s="92"/>
      <c r="AQ2655" s="92"/>
      <c r="AR2655" s="92"/>
      <c r="AS2655" s="92"/>
      <c r="AT2655" s="92"/>
      <c r="AU2655" s="92"/>
      <c r="AV2655" s="92"/>
      <c r="AW2655" s="92"/>
      <c r="AX2655" s="92"/>
      <c r="AY2655" s="92"/>
      <c r="AZ2655" s="92"/>
      <c r="BA2655" s="92"/>
      <c r="BB2655" s="92"/>
      <c r="BC2655" s="92"/>
      <c r="BD2655" s="92"/>
      <c r="BE2655" s="92"/>
      <c r="BF2655" s="92"/>
      <c r="BG2655" s="92"/>
      <c r="BH2655" s="92"/>
      <c r="BI2655" s="92"/>
      <c r="BJ2655" s="92"/>
      <c r="BK2655" s="92"/>
      <c r="BL2655" s="92"/>
      <c r="BM2655" s="92"/>
      <c r="BN2655" s="92"/>
      <c r="BO2655" s="92"/>
      <c r="BP2655" s="92"/>
      <c r="BQ2655" s="92"/>
      <c r="BR2655" s="92"/>
      <c r="BS2655" s="92"/>
      <c r="BT2655" s="92"/>
      <c r="BU2655" s="92"/>
      <c r="BV2655" s="92"/>
      <c r="BW2655" s="92"/>
      <c r="BX2655" s="92"/>
      <c r="BY2655" s="92"/>
      <c r="BZ2655" s="92"/>
      <c r="CA2655" s="92"/>
      <c r="CB2655" s="92"/>
      <c r="CC2655" s="92"/>
      <c r="CD2655" s="92"/>
      <c r="CE2655" s="92"/>
      <c r="CF2655" s="92"/>
      <c r="CG2655" s="92"/>
      <c r="CH2655" s="92"/>
      <c r="CI2655" s="92"/>
      <c r="CJ2655" s="92"/>
      <c r="CK2655" s="92"/>
      <c r="CL2655" s="92"/>
      <c r="CM2655" s="92"/>
      <c r="CN2655" s="92"/>
      <c r="CO2655" s="92"/>
      <c r="CP2655" s="92"/>
      <c r="CQ2655" s="92"/>
      <c r="CR2655" s="92"/>
      <c r="CS2655" s="92"/>
      <c r="CT2655" s="92"/>
      <c r="CU2655" s="92"/>
      <c r="CV2655" s="92"/>
      <c r="CW2655" s="92"/>
      <c r="CX2655" s="92"/>
      <c r="CY2655" s="92"/>
      <c r="CZ2655" s="92"/>
      <c r="DA2655" s="92"/>
      <c r="DB2655" s="92"/>
      <c r="DC2655" s="92"/>
      <c r="DD2655" s="92"/>
      <c r="DE2655" s="92"/>
      <c r="DF2655" s="92"/>
      <c r="DG2655" s="92"/>
      <c r="DH2655" s="92"/>
      <c r="DI2655" s="92"/>
      <c r="DJ2655" s="92"/>
      <c r="DK2655" s="92"/>
      <c r="DL2655" s="92"/>
      <c r="DM2655" s="92"/>
      <c r="DN2655" s="92"/>
      <c r="DO2655" s="92"/>
      <c r="DP2655" s="92"/>
      <c r="DQ2655" s="92"/>
      <c r="DR2655" s="92"/>
      <c r="DS2655" s="92"/>
      <c r="DT2655" s="92"/>
      <c r="DU2655" s="92"/>
      <c r="DV2655" s="92"/>
      <c r="DW2655" s="92"/>
      <c r="DX2655" s="92"/>
      <c r="DY2655" s="92"/>
      <c r="DZ2655" s="92"/>
      <c r="EA2655" s="92"/>
      <c r="EB2655" s="92"/>
      <c r="EC2655" s="92"/>
      <c r="ED2655" s="92"/>
      <c r="EE2655" s="92"/>
      <c r="EF2655" s="92"/>
      <c r="EG2655" s="92"/>
      <c r="EH2655" s="92"/>
      <c r="EI2655" s="92"/>
      <c r="EJ2655" s="92"/>
      <c r="EK2655" s="92"/>
      <c r="EL2655" s="92"/>
      <c r="EM2655" s="92"/>
      <c r="EN2655" s="92"/>
      <c r="EO2655" s="92"/>
      <c r="EP2655" s="92"/>
      <c r="EQ2655" s="92"/>
      <c r="ER2655" s="92"/>
      <c r="ES2655" s="92"/>
      <c r="ET2655" s="92"/>
      <c r="EU2655" s="92"/>
      <c r="EV2655" s="92"/>
      <c r="EW2655" s="92"/>
      <c r="EX2655" s="92"/>
      <c r="EY2655" s="92"/>
      <c r="EZ2655" s="92"/>
      <c r="FA2655" s="92"/>
      <c r="FB2655" s="92"/>
      <c r="FC2655" s="92"/>
      <c r="FD2655" s="92"/>
      <c r="FE2655" s="92"/>
      <c r="FF2655" s="92"/>
      <c r="FG2655" s="92"/>
      <c r="FH2655" s="92"/>
      <c r="FI2655" s="92"/>
      <c r="FJ2655" s="92"/>
      <c r="FK2655" s="92"/>
      <c r="FL2655" s="92"/>
      <c r="FM2655" s="92"/>
      <c r="FN2655" s="92"/>
      <c r="FO2655" s="92"/>
      <c r="FP2655" s="92"/>
      <c r="FQ2655" s="92"/>
      <c r="FR2655" s="92"/>
      <c r="FS2655" s="92"/>
      <c r="FT2655" s="92"/>
      <c r="FU2655" s="92"/>
      <c r="FV2655" s="92"/>
      <c r="FW2655" s="92"/>
      <c r="FX2655" s="92"/>
      <c r="FY2655" s="92"/>
      <c r="FZ2655" s="92"/>
      <c r="GA2655" s="92"/>
      <c r="GB2655" s="92"/>
      <c r="GC2655" s="92"/>
      <c r="GD2655" s="92"/>
      <c r="GE2655" s="92"/>
      <c r="GF2655" s="92"/>
      <c r="GG2655" s="92"/>
      <c r="GH2655" s="92"/>
      <c r="GI2655" s="92"/>
      <c r="GJ2655" s="92"/>
      <c r="GK2655" s="92"/>
      <c r="GL2655" s="92"/>
      <c r="GM2655" s="92"/>
      <c r="GN2655" s="92"/>
      <c r="GO2655" s="92"/>
      <c r="GP2655" s="92"/>
      <c r="GQ2655" s="92"/>
      <c r="GR2655" s="92"/>
      <c r="GS2655" s="92"/>
      <c r="GT2655" s="92"/>
      <c r="GU2655" s="92"/>
      <c r="GV2655" s="92"/>
      <c r="GW2655" s="92"/>
      <c r="GX2655" s="92"/>
      <c r="GY2655" s="92"/>
      <c r="GZ2655" s="92"/>
      <c r="HA2655" s="92"/>
      <c r="HB2655" s="92"/>
      <c r="HC2655" s="92"/>
      <c r="HD2655" s="92"/>
      <c r="HE2655" s="92"/>
      <c r="HF2655" s="92"/>
      <c r="HG2655" s="92"/>
      <c r="HH2655" s="92"/>
      <c r="HI2655" s="92"/>
      <c r="HJ2655" s="92"/>
      <c r="HK2655" s="92"/>
      <c r="HL2655" s="92"/>
      <c r="HM2655" s="92"/>
      <c r="HN2655" s="92"/>
      <c r="HO2655" s="92"/>
      <c r="HP2655" s="92"/>
      <c r="HQ2655" s="92"/>
    </row>
    <row r="2656" spans="1:225" x14ac:dyDescent="0.35">
      <c r="A2656" s="287"/>
      <c r="B2656" s="287"/>
      <c r="C2656" s="297"/>
      <c r="D2656" s="281"/>
      <c r="E2656" s="287"/>
      <c r="F2656" s="287"/>
      <c r="G2656" s="287"/>
      <c r="H2656" s="116" t="s">
        <v>76</v>
      </c>
      <c r="I2656" s="86">
        <v>0</v>
      </c>
      <c r="J2656" s="86">
        <v>0</v>
      </c>
      <c r="K2656" s="86">
        <v>148</v>
      </c>
      <c r="L2656" s="92"/>
      <c r="M2656" s="92"/>
      <c r="N2656" s="92"/>
      <c r="O2656" s="92"/>
      <c r="P2656" s="92"/>
      <c r="Q2656" s="92"/>
      <c r="R2656" s="92"/>
      <c r="S2656" s="92"/>
      <c r="T2656" s="92"/>
      <c r="U2656" s="92"/>
      <c r="V2656" s="92"/>
      <c r="W2656" s="92"/>
      <c r="X2656" s="92"/>
      <c r="Y2656" s="92"/>
      <c r="Z2656" s="92"/>
      <c r="AA2656" s="92"/>
      <c r="AB2656" s="92"/>
      <c r="AC2656" s="92"/>
      <c r="AD2656" s="92"/>
      <c r="AE2656" s="92"/>
      <c r="AF2656" s="92"/>
      <c r="AG2656" s="92"/>
      <c r="AH2656" s="92"/>
      <c r="AI2656" s="92"/>
      <c r="AJ2656" s="92"/>
      <c r="AK2656" s="92"/>
      <c r="AL2656" s="92"/>
      <c r="AM2656" s="92"/>
      <c r="AN2656" s="92"/>
      <c r="AO2656" s="92"/>
      <c r="AP2656" s="92"/>
      <c r="AQ2656" s="92"/>
      <c r="AR2656" s="92"/>
      <c r="AS2656" s="92"/>
      <c r="AT2656" s="92"/>
      <c r="AU2656" s="92"/>
      <c r="AV2656" s="92"/>
      <c r="AW2656" s="92"/>
      <c r="AX2656" s="92"/>
      <c r="AY2656" s="92"/>
      <c r="AZ2656" s="92"/>
      <c r="BA2656" s="92"/>
      <c r="BB2656" s="92"/>
      <c r="BC2656" s="92"/>
      <c r="BD2656" s="92"/>
      <c r="BE2656" s="92"/>
      <c r="BF2656" s="92"/>
      <c r="BG2656" s="92"/>
      <c r="BH2656" s="92"/>
      <c r="BI2656" s="92"/>
      <c r="BJ2656" s="92"/>
      <c r="BK2656" s="92"/>
      <c r="BL2656" s="92"/>
      <c r="BM2656" s="92"/>
      <c r="BN2656" s="92"/>
      <c r="BO2656" s="92"/>
      <c r="BP2656" s="92"/>
      <c r="BQ2656" s="92"/>
      <c r="BR2656" s="92"/>
      <c r="BS2656" s="92"/>
      <c r="BT2656" s="92"/>
      <c r="BU2656" s="92"/>
      <c r="BV2656" s="92"/>
      <c r="BW2656" s="92"/>
      <c r="BX2656" s="92"/>
      <c r="BY2656" s="92"/>
      <c r="BZ2656" s="92"/>
      <c r="CA2656" s="92"/>
      <c r="CB2656" s="92"/>
      <c r="CC2656" s="92"/>
      <c r="CD2656" s="92"/>
      <c r="CE2656" s="92"/>
      <c r="CF2656" s="92"/>
      <c r="CG2656" s="92"/>
      <c r="CH2656" s="92"/>
      <c r="CI2656" s="92"/>
      <c r="CJ2656" s="92"/>
      <c r="CK2656" s="92"/>
      <c r="CL2656" s="92"/>
      <c r="CM2656" s="92"/>
      <c r="CN2656" s="92"/>
      <c r="CO2656" s="92"/>
      <c r="CP2656" s="92"/>
      <c r="CQ2656" s="92"/>
      <c r="CR2656" s="92"/>
      <c r="CS2656" s="92"/>
      <c r="CT2656" s="92"/>
      <c r="CU2656" s="92"/>
      <c r="CV2656" s="92"/>
      <c r="CW2656" s="92"/>
      <c r="CX2656" s="92"/>
      <c r="CY2656" s="92"/>
      <c r="CZ2656" s="92"/>
      <c r="DA2656" s="92"/>
      <c r="DB2656" s="92"/>
      <c r="DC2656" s="92"/>
      <c r="DD2656" s="92"/>
      <c r="DE2656" s="92"/>
      <c r="DF2656" s="92"/>
      <c r="DG2656" s="92"/>
      <c r="DH2656" s="92"/>
      <c r="DI2656" s="92"/>
      <c r="DJ2656" s="92"/>
      <c r="DK2656" s="92"/>
      <c r="DL2656" s="92"/>
      <c r="DM2656" s="92"/>
      <c r="DN2656" s="92"/>
      <c r="DO2656" s="92"/>
      <c r="DP2656" s="92"/>
      <c r="DQ2656" s="92"/>
      <c r="DR2656" s="92"/>
      <c r="DS2656" s="92"/>
      <c r="DT2656" s="92"/>
      <c r="DU2656" s="92"/>
      <c r="DV2656" s="92"/>
      <c r="DW2656" s="92"/>
      <c r="DX2656" s="92"/>
      <c r="DY2656" s="92"/>
      <c r="DZ2656" s="92"/>
      <c r="EA2656" s="92"/>
      <c r="EB2656" s="92"/>
      <c r="EC2656" s="92"/>
      <c r="ED2656" s="92"/>
      <c r="EE2656" s="92"/>
      <c r="EF2656" s="92"/>
      <c r="EG2656" s="92"/>
      <c r="EH2656" s="92"/>
      <c r="EI2656" s="92"/>
      <c r="EJ2656" s="92"/>
      <c r="EK2656" s="92"/>
      <c r="EL2656" s="92"/>
      <c r="EM2656" s="92"/>
      <c r="EN2656" s="92"/>
      <c r="EO2656" s="92"/>
      <c r="EP2656" s="92"/>
      <c r="EQ2656" s="92"/>
      <c r="ER2656" s="92"/>
      <c r="ES2656" s="92"/>
      <c r="ET2656" s="92"/>
      <c r="EU2656" s="92"/>
      <c r="EV2656" s="92"/>
      <c r="EW2656" s="92"/>
      <c r="EX2656" s="92"/>
      <c r="EY2656" s="92"/>
      <c r="EZ2656" s="92"/>
      <c r="FA2656" s="92"/>
      <c r="FB2656" s="92"/>
      <c r="FC2656" s="92"/>
      <c r="FD2656" s="92"/>
      <c r="FE2656" s="92"/>
      <c r="FF2656" s="92"/>
      <c r="FG2656" s="92"/>
      <c r="FH2656" s="92"/>
      <c r="FI2656" s="92"/>
      <c r="FJ2656" s="92"/>
      <c r="FK2656" s="92"/>
      <c r="FL2656" s="92"/>
      <c r="FM2656" s="92"/>
      <c r="FN2656" s="92"/>
      <c r="FO2656" s="92"/>
      <c r="FP2656" s="92"/>
      <c r="FQ2656" s="92"/>
      <c r="FR2656" s="92"/>
      <c r="FS2656" s="92"/>
      <c r="FT2656" s="92"/>
      <c r="FU2656" s="92"/>
      <c r="FV2656" s="92"/>
      <c r="FW2656" s="92"/>
      <c r="FX2656" s="92"/>
      <c r="FY2656" s="92"/>
      <c r="FZ2656" s="92"/>
      <c r="GA2656" s="92"/>
      <c r="GB2656" s="92"/>
      <c r="GC2656" s="92"/>
      <c r="GD2656" s="92"/>
      <c r="GE2656" s="92"/>
      <c r="GF2656" s="92"/>
      <c r="GG2656" s="92"/>
      <c r="GH2656" s="92"/>
      <c r="GI2656" s="92"/>
      <c r="GJ2656" s="92"/>
      <c r="GK2656" s="92"/>
      <c r="GL2656" s="92"/>
      <c r="GM2656" s="92"/>
      <c r="GN2656" s="92"/>
      <c r="GO2656" s="92"/>
      <c r="GP2656" s="92"/>
      <c r="GQ2656" s="92"/>
      <c r="GR2656" s="92"/>
      <c r="GS2656" s="92"/>
      <c r="GT2656" s="92"/>
      <c r="GU2656" s="92"/>
      <c r="GV2656" s="92"/>
      <c r="GW2656" s="92"/>
      <c r="GX2656" s="92"/>
      <c r="GY2656" s="92"/>
      <c r="GZ2656" s="92"/>
      <c r="HA2656" s="92"/>
      <c r="HB2656" s="92"/>
      <c r="HC2656" s="92"/>
      <c r="HD2656" s="92"/>
      <c r="HE2656" s="92"/>
      <c r="HF2656" s="92"/>
      <c r="HG2656" s="92"/>
      <c r="HH2656" s="92"/>
      <c r="HI2656" s="92"/>
      <c r="HJ2656" s="92"/>
      <c r="HK2656" s="92"/>
      <c r="HL2656" s="92"/>
      <c r="HM2656" s="92"/>
      <c r="HN2656" s="92"/>
      <c r="HO2656" s="92"/>
      <c r="HP2656" s="92"/>
      <c r="HQ2656" s="92"/>
    </row>
    <row r="2657" spans="1:225" ht="15.75" customHeight="1" x14ac:dyDescent="0.35">
      <c r="A2657" s="285">
        <f>A2654+1</f>
        <v>14</v>
      </c>
      <c r="B2657" s="285">
        <v>6345</v>
      </c>
      <c r="C2657" s="295" t="s">
        <v>515</v>
      </c>
      <c r="D2657" s="279">
        <v>889.8</v>
      </c>
      <c r="E2657" s="285" t="s">
        <v>80</v>
      </c>
      <c r="F2657" s="285">
        <v>2</v>
      </c>
      <c r="G2657" s="285" t="s">
        <v>72</v>
      </c>
      <c r="H2657" s="116" t="s">
        <v>73</v>
      </c>
      <c r="I2657" s="86">
        <f>I2658+I2659</f>
        <v>6155636.4000000004</v>
      </c>
      <c r="J2657" s="86">
        <f>J2658+J2659</f>
        <v>6918</v>
      </c>
      <c r="K2657" s="86">
        <f>K2658+K2659</f>
        <v>7066</v>
      </c>
      <c r="L2657" s="92"/>
      <c r="M2657" s="92"/>
      <c r="N2657" s="92"/>
      <c r="O2657" s="92"/>
      <c r="P2657" s="92"/>
      <c r="Q2657" s="92"/>
      <c r="R2657" s="92"/>
      <c r="S2657" s="92"/>
      <c r="T2657" s="92"/>
      <c r="U2657" s="92"/>
      <c r="V2657" s="92"/>
      <c r="W2657" s="92"/>
      <c r="X2657" s="92"/>
      <c r="Y2657" s="92"/>
      <c r="Z2657" s="92"/>
      <c r="AA2657" s="92"/>
      <c r="AB2657" s="92"/>
      <c r="AC2657" s="92"/>
      <c r="AD2657" s="92"/>
      <c r="AE2657" s="92"/>
      <c r="AF2657" s="92"/>
      <c r="AG2657" s="92"/>
      <c r="AH2657" s="92"/>
      <c r="AI2657" s="92"/>
      <c r="AJ2657" s="92"/>
      <c r="AK2657" s="92"/>
      <c r="AL2657" s="92"/>
      <c r="AM2657" s="92"/>
      <c r="AN2657" s="92"/>
      <c r="AO2657" s="92"/>
      <c r="AP2657" s="92"/>
      <c r="AQ2657" s="92"/>
      <c r="AR2657" s="92"/>
      <c r="AS2657" s="92"/>
      <c r="AT2657" s="92"/>
      <c r="AU2657" s="92"/>
      <c r="AV2657" s="92"/>
      <c r="AW2657" s="92"/>
      <c r="AX2657" s="92"/>
      <c r="AY2657" s="92"/>
      <c r="AZ2657" s="92"/>
      <c r="BA2657" s="92"/>
      <c r="BB2657" s="92"/>
      <c r="BC2657" s="92"/>
      <c r="BD2657" s="92"/>
      <c r="BE2657" s="92"/>
      <c r="BF2657" s="92"/>
      <c r="BG2657" s="92"/>
      <c r="BH2657" s="92"/>
      <c r="BI2657" s="92"/>
      <c r="BJ2657" s="92"/>
      <c r="BK2657" s="92"/>
      <c r="BL2657" s="92"/>
      <c r="BM2657" s="92"/>
      <c r="BN2657" s="92"/>
      <c r="BO2657" s="92"/>
      <c r="BP2657" s="92"/>
      <c r="BQ2657" s="92"/>
      <c r="BR2657" s="92"/>
      <c r="BS2657" s="92"/>
      <c r="BT2657" s="92"/>
      <c r="BU2657" s="92"/>
      <c r="BV2657" s="92"/>
      <c r="BW2657" s="92"/>
      <c r="BX2657" s="92"/>
      <c r="BY2657" s="92"/>
      <c r="BZ2657" s="92"/>
      <c r="CA2657" s="92"/>
      <c r="CB2657" s="92"/>
      <c r="CC2657" s="92"/>
      <c r="CD2657" s="92"/>
      <c r="CE2657" s="92"/>
      <c r="CF2657" s="92"/>
      <c r="CG2657" s="92"/>
      <c r="CH2657" s="92"/>
      <c r="CI2657" s="92"/>
      <c r="CJ2657" s="92"/>
      <c r="CK2657" s="92"/>
      <c r="CL2657" s="92"/>
      <c r="CM2657" s="92"/>
      <c r="CN2657" s="92"/>
      <c r="CO2657" s="92"/>
      <c r="CP2657" s="92"/>
      <c r="CQ2657" s="92"/>
      <c r="CR2657" s="92"/>
      <c r="CS2657" s="92"/>
      <c r="CT2657" s="92"/>
      <c r="CU2657" s="92"/>
      <c r="CV2657" s="92"/>
      <c r="CW2657" s="92"/>
      <c r="CX2657" s="92"/>
      <c r="CY2657" s="92"/>
      <c r="CZ2657" s="92"/>
      <c r="DA2657" s="92"/>
      <c r="DB2657" s="92"/>
      <c r="DC2657" s="92"/>
      <c r="DD2657" s="92"/>
      <c r="DE2657" s="92"/>
      <c r="DF2657" s="92"/>
      <c r="DG2657" s="92"/>
      <c r="DH2657" s="92"/>
      <c r="DI2657" s="92"/>
      <c r="DJ2657" s="92"/>
      <c r="DK2657" s="92"/>
      <c r="DL2657" s="92"/>
      <c r="DM2657" s="92"/>
      <c r="DN2657" s="92"/>
      <c r="DO2657" s="92"/>
      <c r="DP2657" s="92"/>
      <c r="DQ2657" s="92"/>
      <c r="DR2657" s="92"/>
      <c r="DS2657" s="92"/>
      <c r="DT2657" s="92"/>
      <c r="DU2657" s="92"/>
      <c r="DV2657" s="92"/>
      <c r="DW2657" s="92"/>
      <c r="DX2657" s="92"/>
      <c r="DY2657" s="92"/>
      <c r="DZ2657" s="92"/>
      <c r="EA2657" s="92"/>
      <c r="EB2657" s="92"/>
      <c r="EC2657" s="92"/>
      <c r="ED2657" s="92"/>
      <c r="EE2657" s="92"/>
      <c r="EF2657" s="92"/>
      <c r="EG2657" s="92"/>
      <c r="EH2657" s="92"/>
      <c r="EI2657" s="92"/>
      <c r="EJ2657" s="92"/>
      <c r="EK2657" s="92"/>
      <c r="EL2657" s="92"/>
      <c r="EM2657" s="92"/>
      <c r="EN2657" s="92"/>
      <c r="EO2657" s="92"/>
      <c r="EP2657" s="92"/>
      <c r="EQ2657" s="92"/>
      <c r="ER2657" s="92"/>
      <c r="ES2657" s="92"/>
      <c r="ET2657" s="92"/>
      <c r="EU2657" s="92"/>
      <c r="EV2657" s="92"/>
      <c r="EW2657" s="92"/>
      <c r="EX2657" s="92"/>
      <c r="EY2657" s="92"/>
      <c r="EZ2657" s="92"/>
      <c r="FA2657" s="92"/>
      <c r="FB2657" s="92"/>
      <c r="FC2657" s="92"/>
      <c r="FD2657" s="92"/>
      <c r="FE2657" s="92"/>
      <c r="FF2657" s="92"/>
      <c r="FG2657" s="92"/>
      <c r="FH2657" s="92"/>
      <c r="FI2657" s="92"/>
      <c r="FJ2657" s="92"/>
      <c r="FK2657" s="92"/>
      <c r="FL2657" s="92"/>
      <c r="FM2657" s="92"/>
      <c r="FN2657" s="92"/>
      <c r="FO2657" s="92"/>
      <c r="FP2657" s="92"/>
      <c r="FQ2657" s="92"/>
      <c r="FR2657" s="92"/>
      <c r="FS2657" s="92"/>
      <c r="FT2657" s="92"/>
      <c r="FU2657" s="92"/>
      <c r="FV2657" s="92"/>
      <c r="FW2657" s="92"/>
      <c r="FX2657" s="92"/>
      <c r="FY2657" s="92"/>
      <c r="FZ2657" s="92"/>
      <c r="GA2657" s="92"/>
      <c r="GB2657" s="92"/>
      <c r="GC2657" s="92"/>
      <c r="GD2657" s="92"/>
      <c r="GE2657" s="92"/>
      <c r="GF2657" s="92"/>
      <c r="GG2657" s="92"/>
      <c r="GH2657" s="92"/>
      <c r="GI2657" s="92"/>
      <c r="GJ2657" s="92"/>
      <c r="GK2657" s="92"/>
      <c r="GL2657" s="92"/>
      <c r="GM2657" s="92"/>
      <c r="GN2657" s="92"/>
      <c r="GO2657" s="92"/>
      <c r="GP2657" s="92"/>
      <c r="GQ2657" s="92"/>
      <c r="GR2657" s="92"/>
      <c r="GS2657" s="92"/>
      <c r="GT2657" s="92"/>
      <c r="GU2657" s="92"/>
      <c r="GV2657" s="92"/>
      <c r="GW2657" s="92"/>
      <c r="GX2657" s="92"/>
      <c r="GY2657" s="92"/>
      <c r="GZ2657" s="92"/>
      <c r="HA2657" s="92"/>
      <c r="HB2657" s="92"/>
      <c r="HC2657" s="92"/>
      <c r="HD2657" s="92"/>
      <c r="HE2657" s="92"/>
      <c r="HF2657" s="92"/>
      <c r="HG2657" s="92"/>
      <c r="HH2657" s="92"/>
      <c r="HI2657" s="92"/>
      <c r="HJ2657" s="92"/>
      <c r="HK2657" s="92"/>
      <c r="HL2657" s="92"/>
      <c r="HM2657" s="92"/>
      <c r="HN2657" s="92"/>
      <c r="HO2657" s="92"/>
      <c r="HP2657" s="92"/>
      <c r="HQ2657" s="92"/>
    </row>
    <row r="2658" spans="1:225" x14ac:dyDescent="0.35">
      <c r="A2658" s="286"/>
      <c r="B2658" s="286"/>
      <c r="C2658" s="296"/>
      <c r="D2658" s="280"/>
      <c r="E2658" s="286"/>
      <c r="F2658" s="286"/>
      <c r="G2658" s="286"/>
      <c r="H2658" s="116" t="s">
        <v>667</v>
      </c>
      <c r="I2658" s="86">
        <f>D2657*K2658</f>
        <v>6155636.4000000004</v>
      </c>
      <c r="J2658" s="86">
        <f>I2658/D2657</f>
        <v>6918</v>
      </c>
      <c r="K2658" s="86">
        <v>6918</v>
      </c>
      <c r="L2658" s="92"/>
      <c r="M2658" s="92"/>
      <c r="N2658" s="92"/>
      <c r="O2658" s="92"/>
      <c r="P2658" s="92"/>
      <c r="Q2658" s="92"/>
      <c r="R2658" s="92"/>
      <c r="S2658" s="92"/>
      <c r="T2658" s="92"/>
      <c r="U2658" s="92"/>
      <c r="V2658" s="92"/>
      <c r="W2658" s="92"/>
      <c r="X2658" s="92"/>
      <c r="Y2658" s="92"/>
      <c r="Z2658" s="92"/>
      <c r="AA2658" s="92"/>
      <c r="AB2658" s="92"/>
      <c r="AC2658" s="92"/>
      <c r="AD2658" s="92"/>
      <c r="AE2658" s="92"/>
      <c r="AF2658" s="92"/>
      <c r="AG2658" s="92"/>
      <c r="AH2658" s="92"/>
      <c r="AI2658" s="92"/>
      <c r="AJ2658" s="92"/>
      <c r="AK2658" s="92"/>
      <c r="AL2658" s="92"/>
      <c r="AM2658" s="92"/>
      <c r="AN2658" s="92"/>
      <c r="AO2658" s="92"/>
      <c r="AP2658" s="92"/>
      <c r="AQ2658" s="92"/>
      <c r="AR2658" s="92"/>
      <c r="AS2658" s="92"/>
      <c r="AT2658" s="92"/>
      <c r="AU2658" s="92"/>
      <c r="AV2658" s="92"/>
      <c r="AW2658" s="92"/>
      <c r="AX2658" s="92"/>
      <c r="AY2658" s="92"/>
      <c r="AZ2658" s="92"/>
      <c r="BA2658" s="92"/>
      <c r="BB2658" s="92"/>
      <c r="BC2658" s="92"/>
      <c r="BD2658" s="92"/>
      <c r="BE2658" s="92"/>
      <c r="BF2658" s="92"/>
      <c r="BG2658" s="92"/>
      <c r="BH2658" s="92"/>
      <c r="BI2658" s="92"/>
      <c r="BJ2658" s="92"/>
      <c r="BK2658" s="92"/>
      <c r="BL2658" s="92"/>
      <c r="BM2658" s="92"/>
      <c r="BN2658" s="92"/>
      <c r="BO2658" s="92"/>
      <c r="BP2658" s="92"/>
      <c r="BQ2658" s="92"/>
      <c r="BR2658" s="92"/>
      <c r="BS2658" s="92"/>
      <c r="BT2658" s="92"/>
      <c r="BU2658" s="92"/>
      <c r="BV2658" s="92"/>
      <c r="BW2658" s="92"/>
      <c r="BX2658" s="92"/>
      <c r="BY2658" s="92"/>
      <c r="BZ2658" s="92"/>
      <c r="CA2658" s="92"/>
      <c r="CB2658" s="92"/>
      <c r="CC2658" s="92"/>
      <c r="CD2658" s="92"/>
      <c r="CE2658" s="92"/>
      <c r="CF2658" s="92"/>
      <c r="CG2658" s="92"/>
      <c r="CH2658" s="92"/>
      <c r="CI2658" s="92"/>
      <c r="CJ2658" s="92"/>
      <c r="CK2658" s="92"/>
      <c r="CL2658" s="92"/>
      <c r="CM2658" s="92"/>
      <c r="CN2658" s="92"/>
      <c r="CO2658" s="92"/>
      <c r="CP2658" s="92"/>
      <c r="CQ2658" s="92"/>
      <c r="CR2658" s="92"/>
      <c r="CS2658" s="92"/>
      <c r="CT2658" s="92"/>
      <c r="CU2658" s="92"/>
      <c r="CV2658" s="92"/>
      <c r="CW2658" s="92"/>
      <c r="CX2658" s="92"/>
      <c r="CY2658" s="92"/>
      <c r="CZ2658" s="92"/>
      <c r="DA2658" s="92"/>
      <c r="DB2658" s="92"/>
      <c r="DC2658" s="92"/>
      <c r="DD2658" s="92"/>
      <c r="DE2658" s="92"/>
      <c r="DF2658" s="92"/>
      <c r="DG2658" s="92"/>
      <c r="DH2658" s="92"/>
      <c r="DI2658" s="92"/>
      <c r="DJ2658" s="92"/>
      <c r="DK2658" s="92"/>
      <c r="DL2658" s="92"/>
      <c r="DM2658" s="92"/>
      <c r="DN2658" s="92"/>
      <c r="DO2658" s="92"/>
      <c r="DP2658" s="92"/>
      <c r="DQ2658" s="92"/>
      <c r="DR2658" s="92"/>
      <c r="DS2658" s="92"/>
      <c r="DT2658" s="92"/>
      <c r="DU2658" s="92"/>
      <c r="DV2658" s="92"/>
      <c r="DW2658" s="92"/>
      <c r="DX2658" s="92"/>
      <c r="DY2658" s="92"/>
      <c r="DZ2658" s="92"/>
      <c r="EA2658" s="92"/>
      <c r="EB2658" s="92"/>
      <c r="EC2658" s="92"/>
      <c r="ED2658" s="92"/>
      <c r="EE2658" s="92"/>
      <c r="EF2658" s="92"/>
      <c r="EG2658" s="92"/>
      <c r="EH2658" s="92"/>
      <c r="EI2658" s="92"/>
      <c r="EJ2658" s="92"/>
      <c r="EK2658" s="92"/>
      <c r="EL2658" s="92"/>
      <c r="EM2658" s="92"/>
      <c r="EN2658" s="92"/>
      <c r="EO2658" s="92"/>
      <c r="EP2658" s="92"/>
      <c r="EQ2658" s="92"/>
      <c r="ER2658" s="92"/>
      <c r="ES2658" s="92"/>
      <c r="ET2658" s="92"/>
      <c r="EU2658" s="92"/>
      <c r="EV2658" s="92"/>
      <c r="EW2658" s="92"/>
      <c r="EX2658" s="92"/>
      <c r="EY2658" s="92"/>
      <c r="EZ2658" s="92"/>
      <c r="FA2658" s="92"/>
      <c r="FB2658" s="92"/>
      <c r="FC2658" s="92"/>
      <c r="FD2658" s="92"/>
      <c r="FE2658" s="92"/>
      <c r="FF2658" s="92"/>
      <c r="FG2658" s="92"/>
      <c r="FH2658" s="92"/>
      <c r="FI2658" s="92"/>
      <c r="FJ2658" s="92"/>
      <c r="FK2658" s="92"/>
      <c r="FL2658" s="92"/>
      <c r="FM2658" s="92"/>
      <c r="FN2658" s="92"/>
      <c r="FO2658" s="92"/>
      <c r="FP2658" s="92"/>
      <c r="FQ2658" s="92"/>
      <c r="FR2658" s="92"/>
      <c r="FS2658" s="92"/>
      <c r="FT2658" s="92"/>
      <c r="FU2658" s="92"/>
      <c r="FV2658" s="92"/>
      <c r="FW2658" s="92"/>
      <c r="FX2658" s="92"/>
      <c r="FY2658" s="92"/>
      <c r="FZ2658" s="92"/>
      <c r="GA2658" s="92"/>
      <c r="GB2658" s="92"/>
      <c r="GC2658" s="92"/>
      <c r="GD2658" s="92"/>
      <c r="GE2658" s="92"/>
      <c r="GF2658" s="92"/>
      <c r="GG2658" s="92"/>
      <c r="GH2658" s="92"/>
      <c r="GI2658" s="92"/>
      <c r="GJ2658" s="92"/>
      <c r="GK2658" s="92"/>
      <c r="GL2658" s="92"/>
      <c r="GM2658" s="92"/>
      <c r="GN2658" s="92"/>
      <c r="GO2658" s="92"/>
      <c r="GP2658" s="92"/>
      <c r="GQ2658" s="92"/>
      <c r="GR2658" s="92"/>
      <c r="GS2658" s="92"/>
      <c r="GT2658" s="92"/>
      <c r="GU2658" s="92"/>
      <c r="GV2658" s="92"/>
      <c r="GW2658" s="92"/>
      <c r="GX2658" s="92"/>
      <c r="GY2658" s="92"/>
      <c r="GZ2658" s="92"/>
      <c r="HA2658" s="92"/>
      <c r="HB2658" s="92"/>
      <c r="HC2658" s="92"/>
      <c r="HD2658" s="92"/>
      <c r="HE2658" s="92"/>
      <c r="HF2658" s="92"/>
      <c r="HG2658" s="92"/>
      <c r="HH2658" s="92"/>
      <c r="HI2658" s="92"/>
      <c r="HJ2658" s="92"/>
      <c r="HK2658" s="92"/>
      <c r="HL2658" s="92"/>
      <c r="HM2658" s="92"/>
      <c r="HN2658" s="92"/>
      <c r="HO2658" s="92"/>
      <c r="HP2658" s="92"/>
      <c r="HQ2658" s="92"/>
    </row>
    <row r="2659" spans="1:225" x14ac:dyDescent="0.35">
      <c r="A2659" s="287"/>
      <c r="B2659" s="287"/>
      <c r="C2659" s="297"/>
      <c r="D2659" s="281"/>
      <c r="E2659" s="287"/>
      <c r="F2659" s="287"/>
      <c r="G2659" s="287"/>
      <c r="H2659" s="116" t="s">
        <v>76</v>
      </c>
      <c r="I2659" s="86">
        <v>0</v>
      </c>
      <c r="J2659" s="86">
        <v>0</v>
      </c>
      <c r="K2659" s="86">
        <v>148</v>
      </c>
      <c r="L2659" s="92"/>
      <c r="M2659" s="92"/>
      <c r="N2659" s="92"/>
      <c r="O2659" s="92"/>
      <c r="P2659" s="92"/>
      <c r="Q2659" s="92"/>
      <c r="R2659" s="92"/>
      <c r="S2659" s="92"/>
      <c r="T2659" s="92"/>
      <c r="U2659" s="92"/>
      <c r="V2659" s="92"/>
      <c r="W2659" s="92"/>
      <c r="X2659" s="92"/>
      <c r="Y2659" s="92"/>
      <c r="Z2659" s="92"/>
      <c r="AA2659" s="92"/>
      <c r="AB2659" s="92"/>
      <c r="AC2659" s="92"/>
      <c r="AD2659" s="92"/>
      <c r="AE2659" s="92"/>
      <c r="AF2659" s="92"/>
      <c r="AG2659" s="92"/>
      <c r="AH2659" s="92"/>
      <c r="AI2659" s="92"/>
      <c r="AJ2659" s="92"/>
      <c r="AK2659" s="92"/>
      <c r="AL2659" s="92"/>
      <c r="AM2659" s="92"/>
      <c r="AN2659" s="92"/>
      <c r="AO2659" s="92"/>
      <c r="AP2659" s="92"/>
      <c r="AQ2659" s="92"/>
      <c r="AR2659" s="92"/>
      <c r="AS2659" s="92"/>
      <c r="AT2659" s="92"/>
      <c r="AU2659" s="92"/>
      <c r="AV2659" s="92"/>
      <c r="AW2659" s="92"/>
      <c r="AX2659" s="92"/>
      <c r="AY2659" s="92"/>
      <c r="AZ2659" s="92"/>
      <c r="BA2659" s="92"/>
      <c r="BB2659" s="92"/>
      <c r="BC2659" s="92"/>
      <c r="BD2659" s="92"/>
      <c r="BE2659" s="92"/>
      <c r="BF2659" s="92"/>
      <c r="BG2659" s="92"/>
      <c r="BH2659" s="92"/>
      <c r="BI2659" s="92"/>
      <c r="BJ2659" s="92"/>
      <c r="BK2659" s="92"/>
      <c r="BL2659" s="92"/>
      <c r="BM2659" s="92"/>
      <c r="BN2659" s="92"/>
      <c r="BO2659" s="92"/>
      <c r="BP2659" s="92"/>
      <c r="BQ2659" s="92"/>
      <c r="BR2659" s="92"/>
      <c r="BS2659" s="92"/>
      <c r="BT2659" s="92"/>
      <c r="BU2659" s="92"/>
      <c r="BV2659" s="92"/>
      <c r="BW2659" s="92"/>
      <c r="BX2659" s="92"/>
      <c r="BY2659" s="92"/>
      <c r="BZ2659" s="92"/>
      <c r="CA2659" s="92"/>
      <c r="CB2659" s="92"/>
      <c r="CC2659" s="92"/>
      <c r="CD2659" s="92"/>
      <c r="CE2659" s="92"/>
      <c r="CF2659" s="92"/>
      <c r="CG2659" s="92"/>
      <c r="CH2659" s="92"/>
      <c r="CI2659" s="92"/>
      <c r="CJ2659" s="92"/>
      <c r="CK2659" s="92"/>
      <c r="CL2659" s="92"/>
      <c r="CM2659" s="92"/>
      <c r="CN2659" s="92"/>
      <c r="CO2659" s="92"/>
      <c r="CP2659" s="92"/>
      <c r="CQ2659" s="92"/>
      <c r="CR2659" s="92"/>
      <c r="CS2659" s="92"/>
      <c r="CT2659" s="92"/>
      <c r="CU2659" s="92"/>
      <c r="CV2659" s="92"/>
      <c r="CW2659" s="92"/>
      <c r="CX2659" s="92"/>
      <c r="CY2659" s="92"/>
      <c r="CZ2659" s="92"/>
      <c r="DA2659" s="92"/>
      <c r="DB2659" s="92"/>
      <c r="DC2659" s="92"/>
      <c r="DD2659" s="92"/>
      <c r="DE2659" s="92"/>
      <c r="DF2659" s="92"/>
      <c r="DG2659" s="92"/>
      <c r="DH2659" s="92"/>
      <c r="DI2659" s="92"/>
      <c r="DJ2659" s="92"/>
      <c r="DK2659" s="92"/>
      <c r="DL2659" s="92"/>
      <c r="DM2659" s="92"/>
      <c r="DN2659" s="92"/>
      <c r="DO2659" s="92"/>
      <c r="DP2659" s="92"/>
      <c r="DQ2659" s="92"/>
      <c r="DR2659" s="92"/>
      <c r="DS2659" s="92"/>
      <c r="DT2659" s="92"/>
      <c r="DU2659" s="92"/>
      <c r="DV2659" s="92"/>
      <c r="DW2659" s="92"/>
      <c r="DX2659" s="92"/>
      <c r="DY2659" s="92"/>
      <c r="DZ2659" s="92"/>
      <c r="EA2659" s="92"/>
      <c r="EB2659" s="92"/>
      <c r="EC2659" s="92"/>
      <c r="ED2659" s="92"/>
      <c r="EE2659" s="92"/>
      <c r="EF2659" s="92"/>
      <c r="EG2659" s="92"/>
      <c r="EH2659" s="92"/>
      <c r="EI2659" s="92"/>
      <c r="EJ2659" s="92"/>
      <c r="EK2659" s="92"/>
      <c r="EL2659" s="92"/>
      <c r="EM2659" s="92"/>
      <c r="EN2659" s="92"/>
      <c r="EO2659" s="92"/>
      <c r="EP2659" s="92"/>
      <c r="EQ2659" s="92"/>
      <c r="ER2659" s="92"/>
      <c r="ES2659" s="92"/>
      <c r="ET2659" s="92"/>
      <c r="EU2659" s="92"/>
      <c r="EV2659" s="92"/>
      <c r="EW2659" s="92"/>
      <c r="EX2659" s="92"/>
      <c r="EY2659" s="92"/>
      <c r="EZ2659" s="92"/>
      <c r="FA2659" s="92"/>
      <c r="FB2659" s="92"/>
      <c r="FC2659" s="92"/>
      <c r="FD2659" s="92"/>
      <c r="FE2659" s="92"/>
      <c r="FF2659" s="92"/>
      <c r="FG2659" s="92"/>
      <c r="FH2659" s="92"/>
      <c r="FI2659" s="92"/>
      <c r="FJ2659" s="92"/>
      <c r="FK2659" s="92"/>
      <c r="FL2659" s="92"/>
      <c r="FM2659" s="92"/>
      <c r="FN2659" s="92"/>
      <c r="FO2659" s="92"/>
      <c r="FP2659" s="92"/>
      <c r="FQ2659" s="92"/>
      <c r="FR2659" s="92"/>
      <c r="FS2659" s="92"/>
      <c r="FT2659" s="92"/>
      <c r="FU2659" s="92"/>
      <c r="FV2659" s="92"/>
      <c r="FW2659" s="92"/>
      <c r="FX2659" s="92"/>
      <c r="FY2659" s="92"/>
      <c r="FZ2659" s="92"/>
      <c r="GA2659" s="92"/>
      <c r="GB2659" s="92"/>
      <c r="GC2659" s="92"/>
      <c r="GD2659" s="92"/>
      <c r="GE2659" s="92"/>
      <c r="GF2659" s="92"/>
      <c r="GG2659" s="92"/>
      <c r="GH2659" s="92"/>
      <c r="GI2659" s="92"/>
      <c r="GJ2659" s="92"/>
      <c r="GK2659" s="92"/>
      <c r="GL2659" s="92"/>
      <c r="GM2659" s="92"/>
      <c r="GN2659" s="92"/>
      <c r="GO2659" s="92"/>
      <c r="GP2659" s="92"/>
      <c r="GQ2659" s="92"/>
      <c r="GR2659" s="92"/>
      <c r="GS2659" s="92"/>
      <c r="GT2659" s="92"/>
      <c r="GU2659" s="92"/>
      <c r="GV2659" s="92"/>
      <c r="GW2659" s="92"/>
      <c r="GX2659" s="92"/>
      <c r="GY2659" s="92"/>
      <c r="GZ2659" s="92"/>
      <c r="HA2659" s="92"/>
      <c r="HB2659" s="92"/>
      <c r="HC2659" s="92"/>
      <c r="HD2659" s="92"/>
      <c r="HE2659" s="92"/>
      <c r="HF2659" s="92"/>
      <c r="HG2659" s="92"/>
      <c r="HH2659" s="92"/>
      <c r="HI2659" s="92"/>
      <c r="HJ2659" s="92"/>
      <c r="HK2659" s="92"/>
      <c r="HL2659" s="92"/>
      <c r="HM2659" s="92"/>
      <c r="HN2659" s="92"/>
      <c r="HO2659" s="92"/>
      <c r="HP2659" s="92"/>
      <c r="HQ2659" s="92"/>
    </row>
    <row r="2660" spans="1:225" ht="15.75" customHeight="1" x14ac:dyDescent="0.35">
      <c r="A2660" s="285">
        <f>A2657+1</f>
        <v>15</v>
      </c>
      <c r="B2660" s="285">
        <v>6389</v>
      </c>
      <c r="C2660" s="295" t="s">
        <v>517</v>
      </c>
      <c r="D2660" s="279">
        <v>2320</v>
      </c>
      <c r="E2660" s="285" t="s">
        <v>75</v>
      </c>
      <c r="F2660" s="285">
        <v>4</v>
      </c>
      <c r="G2660" s="285" t="s">
        <v>72</v>
      </c>
      <c r="H2660" s="116" t="s">
        <v>73</v>
      </c>
      <c r="I2660" s="86">
        <f>I2661+I2662</f>
        <v>7517496</v>
      </c>
      <c r="J2660" s="86">
        <f>J2661+J2662</f>
        <v>3240.3</v>
      </c>
      <c r="K2660" s="86">
        <f>K2661+K2662</f>
        <v>4728</v>
      </c>
      <c r="L2660" s="92"/>
      <c r="M2660" s="92"/>
      <c r="N2660" s="92"/>
      <c r="O2660" s="92"/>
      <c r="P2660" s="92"/>
      <c r="Q2660" s="92"/>
      <c r="R2660" s="92"/>
      <c r="S2660" s="92"/>
      <c r="T2660" s="92"/>
      <c r="U2660" s="92"/>
      <c r="V2660" s="92"/>
      <c r="W2660" s="92"/>
      <c r="X2660" s="92"/>
      <c r="Y2660" s="92"/>
      <c r="Z2660" s="92"/>
      <c r="AA2660" s="92"/>
      <c r="AB2660" s="92"/>
      <c r="AC2660" s="92"/>
      <c r="AD2660" s="92"/>
      <c r="AE2660" s="92"/>
      <c r="AF2660" s="92"/>
      <c r="AG2660" s="92"/>
      <c r="AH2660" s="92"/>
      <c r="AI2660" s="92"/>
      <c r="AJ2660" s="92"/>
      <c r="AK2660" s="92"/>
      <c r="AL2660" s="92"/>
      <c r="AM2660" s="92"/>
      <c r="AN2660" s="92"/>
      <c r="AO2660" s="92"/>
      <c r="AP2660" s="92"/>
      <c r="AQ2660" s="92"/>
      <c r="AR2660" s="92"/>
      <c r="AS2660" s="92"/>
      <c r="AT2660" s="92"/>
      <c r="AU2660" s="92"/>
      <c r="AV2660" s="92"/>
      <c r="AW2660" s="92"/>
      <c r="AX2660" s="92"/>
      <c r="AY2660" s="92"/>
      <c r="AZ2660" s="92"/>
      <c r="BA2660" s="92"/>
      <c r="BB2660" s="92"/>
      <c r="BC2660" s="92"/>
      <c r="BD2660" s="92"/>
      <c r="BE2660" s="92"/>
      <c r="BF2660" s="92"/>
      <c r="BG2660" s="92"/>
      <c r="BH2660" s="92"/>
      <c r="BI2660" s="92"/>
      <c r="BJ2660" s="92"/>
      <c r="BK2660" s="92"/>
      <c r="BL2660" s="92"/>
      <c r="BM2660" s="92"/>
      <c r="BN2660" s="92"/>
      <c r="BO2660" s="92"/>
      <c r="BP2660" s="92"/>
      <c r="BQ2660" s="92"/>
      <c r="BR2660" s="92"/>
      <c r="BS2660" s="92"/>
      <c r="BT2660" s="92"/>
      <c r="BU2660" s="92"/>
      <c r="BV2660" s="92"/>
      <c r="BW2660" s="92"/>
      <c r="BX2660" s="92"/>
      <c r="BY2660" s="92"/>
      <c r="BZ2660" s="92"/>
      <c r="CA2660" s="92"/>
      <c r="CB2660" s="92"/>
      <c r="CC2660" s="92"/>
      <c r="CD2660" s="92"/>
      <c r="CE2660" s="92"/>
      <c r="CF2660" s="92"/>
      <c r="CG2660" s="92"/>
      <c r="CH2660" s="92"/>
      <c r="CI2660" s="92"/>
      <c r="CJ2660" s="92"/>
      <c r="CK2660" s="92"/>
      <c r="CL2660" s="92"/>
      <c r="CM2660" s="92"/>
      <c r="CN2660" s="92"/>
      <c r="CO2660" s="92"/>
      <c r="CP2660" s="92"/>
      <c r="CQ2660" s="92"/>
      <c r="CR2660" s="92"/>
      <c r="CS2660" s="92"/>
      <c r="CT2660" s="92"/>
      <c r="CU2660" s="92"/>
      <c r="CV2660" s="92"/>
      <c r="CW2660" s="92"/>
      <c r="CX2660" s="92"/>
      <c r="CY2660" s="92"/>
      <c r="CZ2660" s="92"/>
      <c r="DA2660" s="92"/>
      <c r="DB2660" s="92"/>
      <c r="DC2660" s="92"/>
      <c r="DD2660" s="92"/>
      <c r="DE2660" s="92"/>
      <c r="DF2660" s="92"/>
      <c r="DG2660" s="92"/>
      <c r="DH2660" s="92"/>
      <c r="DI2660" s="92"/>
      <c r="DJ2660" s="92"/>
      <c r="DK2660" s="92"/>
      <c r="DL2660" s="92"/>
      <c r="DM2660" s="92"/>
      <c r="DN2660" s="92"/>
      <c r="DO2660" s="92"/>
      <c r="DP2660" s="92"/>
      <c r="DQ2660" s="92"/>
      <c r="DR2660" s="92"/>
      <c r="DS2660" s="92"/>
      <c r="DT2660" s="92"/>
      <c r="DU2660" s="92"/>
      <c r="DV2660" s="92"/>
      <c r="DW2660" s="92"/>
      <c r="DX2660" s="92"/>
      <c r="DY2660" s="92"/>
      <c r="DZ2660" s="92"/>
      <c r="EA2660" s="92"/>
      <c r="EB2660" s="92"/>
      <c r="EC2660" s="92"/>
      <c r="ED2660" s="92"/>
      <c r="EE2660" s="92"/>
      <c r="EF2660" s="92"/>
      <c r="EG2660" s="92"/>
      <c r="EH2660" s="92"/>
      <c r="EI2660" s="92"/>
      <c r="EJ2660" s="92"/>
      <c r="EK2660" s="92"/>
      <c r="EL2660" s="92"/>
      <c r="EM2660" s="92"/>
      <c r="EN2660" s="92"/>
      <c r="EO2660" s="92"/>
      <c r="EP2660" s="92"/>
      <c r="EQ2660" s="92"/>
      <c r="ER2660" s="92"/>
      <c r="ES2660" s="92"/>
      <c r="ET2660" s="92"/>
      <c r="EU2660" s="92"/>
      <c r="EV2660" s="92"/>
      <c r="EW2660" s="92"/>
      <c r="EX2660" s="92"/>
      <c r="EY2660" s="92"/>
      <c r="EZ2660" s="92"/>
      <c r="FA2660" s="92"/>
      <c r="FB2660" s="92"/>
      <c r="FC2660" s="92"/>
      <c r="FD2660" s="92"/>
      <c r="FE2660" s="92"/>
      <c r="FF2660" s="92"/>
      <c r="FG2660" s="92"/>
      <c r="FH2660" s="92"/>
      <c r="FI2660" s="92"/>
      <c r="FJ2660" s="92"/>
      <c r="FK2660" s="92"/>
      <c r="FL2660" s="92"/>
      <c r="FM2660" s="92"/>
      <c r="FN2660" s="92"/>
      <c r="FO2660" s="92"/>
      <c r="FP2660" s="92"/>
      <c r="FQ2660" s="92"/>
      <c r="FR2660" s="92"/>
      <c r="FS2660" s="92"/>
      <c r="FT2660" s="92"/>
      <c r="FU2660" s="92"/>
      <c r="FV2660" s="92"/>
      <c r="FW2660" s="92"/>
      <c r="FX2660" s="92"/>
      <c r="FY2660" s="92"/>
      <c r="FZ2660" s="92"/>
      <c r="GA2660" s="92"/>
      <c r="GB2660" s="92"/>
      <c r="GC2660" s="92"/>
      <c r="GD2660" s="92"/>
      <c r="GE2660" s="92"/>
      <c r="GF2660" s="92"/>
      <c r="GG2660" s="92"/>
      <c r="GH2660" s="92"/>
      <c r="GI2660" s="92"/>
      <c r="GJ2660" s="92"/>
      <c r="GK2660" s="92"/>
      <c r="GL2660" s="92"/>
      <c r="GM2660" s="92"/>
      <c r="GN2660" s="92"/>
      <c r="GO2660" s="92"/>
      <c r="GP2660" s="92"/>
      <c r="GQ2660" s="92"/>
      <c r="GR2660" s="92"/>
      <c r="GS2660" s="92"/>
      <c r="GT2660" s="92"/>
      <c r="GU2660" s="92"/>
      <c r="GV2660" s="92"/>
      <c r="GW2660" s="92"/>
      <c r="GX2660" s="92"/>
      <c r="GY2660" s="92"/>
      <c r="GZ2660" s="92"/>
      <c r="HA2660" s="92"/>
      <c r="HB2660" s="92"/>
      <c r="HC2660" s="92"/>
      <c r="HD2660" s="92"/>
      <c r="HE2660" s="92"/>
      <c r="HF2660" s="92"/>
      <c r="HG2660" s="92"/>
      <c r="HH2660" s="92"/>
      <c r="HI2660" s="92"/>
      <c r="HJ2660" s="92"/>
      <c r="HK2660" s="92"/>
      <c r="HL2660" s="92"/>
      <c r="HM2660" s="92"/>
      <c r="HN2660" s="92"/>
      <c r="HO2660" s="92"/>
      <c r="HP2660" s="92"/>
      <c r="HQ2660" s="92"/>
    </row>
    <row r="2661" spans="1:225" x14ac:dyDescent="0.35">
      <c r="A2661" s="286"/>
      <c r="B2661" s="286"/>
      <c r="C2661" s="296"/>
      <c r="D2661" s="280"/>
      <c r="E2661" s="286"/>
      <c r="F2661" s="286"/>
      <c r="G2661" s="286"/>
      <c r="H2661" s="116" t="s">
        <v>667</v>
      </c>
      <c r="I2661" s="86">
        <f>D2660*K2661*0.7</f>
        <v>7517496</v>
      </c>
      <c r="J2661" s="86">
        <f>I2661/D2660</f>
        <v>3240.3</v>
      </c>
      <c r="K2661" s="86">
        <v>4629</v>
      </c>
      <c r="L2661" s="92"/>
      <c r="M2661" s="92"/>
      <c r="N2661" s="92"/>
      <c r="O2661" s="92"/>
      <c r="P2661" s="92"/>
      <c r="Q2661" s="92"/>
      <c r="R2661" s="92"/>
      <c r="S2661" s="92"/>
      <c r="T2661" s="92"/>
      <c r="U2661" s="92"/>
      <c r="V2661" s="92"/>
      <c r="W2661" s="92"/>
      <c r="X2661" s="92"/>
      <c r="Y2661" s="92"/>
      <c r="Z2661" s="92"/>
      <c r="AA2661" s="92"/>
      <c r="AB2661" s="92"/>
      <c r="AC2661" s="92"/>
      <c r="AD2661" s="92"/>
      <c r="AE2661" s="92"/>
      <c r="AF2661" s="92"/>
      <c r="AG2661" s="92"/>
      <c r="AH2661" s="92"/>
      <c r="AI2661" s="92"/>
      <c r="AJ2661" s="92"/>
      <c r="AK2661" s="92"/>
      <c r="AL2661" s="92"/>
      <c r="AM2661" s="92"/>
      <c r="AN2661" s="92"/>
      <c r="AO2661" s="92"/>
      <c r="AP2661" s="92"/>
      <c r="AQ2661" s="92"/>
      <c r="AR2661" s="92"/>
      <c r="AS2661" s="92"/>
      <c r="AT2661" s="92"/>
      <c r="AU2661" s="92"/>
      <c r="AV2661" s="92"/>
      <c r="AW2661" s="92"/>
      <c r="AX2661" s="92"/>
      <c r="AY2661" s="92"/>
      <c r="AZ2661" s="92"/>
      <c r="BA2661" s="92"/>
      <c r="BB2661" s="92"/>
      <c r="BC2661" s="92"/>
      <c r="BD2661" s="92"/>
      <c r="BE2661" s="92"/>
      <c r="BF2661" s="92"/>
      <c r="BG2661" s="92"/>
      <c r="BH2661" s="92"/>
      <c r="BI2661" s="92"/>
      <c r="BJ2661" s="92"/>
      <c r="BK2661" s="92"/>
      <c r="BL2661" s="92"/>
      <c r="BM2661" s="92"/>
      <c r="BN2661" s="92"/>
      <c r="BO2661" s="92"/>
      <c r="BP2661" s="92"/>
      <c r="BQ2661" s="92"/>
      <c r="BR2661" s="92"/>
      <c r="BS2661" s="92"/>
      <c r="BT2661" s="92"/>
      <c r="BU2661" s="92"/>
      <c r="BV2661" s="92"/>
      <c r="BW2661" s="92"/>
      <c r="BX2661" s="92"/>
      <c r="BY2661" s="92"/>
      <c r="BZ2661" s="92"/>
      <c r="CA2661" s="92"/>
      <c r="CB2661" s="92"/>
      <c r="CC2661" s="92"/>
      <c r="CD2661" s="92"/>
      <c r="CE2661" s="92"/>
      <c r="CF2661" s="92"/>
      <c r="CG2661" s="92"/>
      <c r="CH2661" s="92"/>
      <c r="CI2661" s="92"/>
      <c r="CJ2661" s="92"/>
      <c r="CK2661" s="92"/>
      <c r="CL2661" s="92"/>
      <c r="CM2661" s="92"/>
      <c r="CN2661" s="92"/>
      <c r="CO2661" s="92"/>
      <c r="CP2661" s="92"/>
      <c r="CQ2661" s="92"/>
      <c r="CR2661" s="92"/>
      <c r="CS2661" s="92"/>
      <c r="CT2661" s="92"/>
      <c r="CU2661" s="92"/>
      <c r="CV2661" s="92"/>
      <c r="CW2661" s="92"/>
      <c r="CX2661" s="92"/>
      <c r="CY2661" s="92"/>
      <c r="CZ2661" s="92"/>
      <c r="DA2661" s="92"/>
      <c r="DB2661" s="92"/>
      <c r="DC2661" s="92"/>
      <c r="DD2661" s="92"/>
      <c r="DE2661" s="92"/>
      <c r="DF2661" s="92"/>
      <c r="DG2661" s="92"/>
      <c r="DH2661" s="92"/>
      <c r="DI2661" s="92"/>
      <c r="DJ2661" s="92"/>
      <c r="DK2661" s="92"/>
      <c r="DL2661" s="92"/>
      <c r="DM2661" s="92"/>
      <c r="DN2661" s="92"/>
      <c r="DO2661" s="92"/>
      <c r="DP2661" s="92"/>
      <c r="DQ2661" s="92"/>
      <c r="DR2661" s="92"/>
      <c r="DS2661" s="92"/>
      <c r="DT2661" s="92"/>
      <c r="DU2661" s="92"/>
      <c r="DV2661" s="92"/>
      <c r="DW2661" s="92"/>
      <c r="DX2661" s="92"/>
      <c r="DY2661" s="92"/>
      <c r="DZ2661" s="92"/>
      <c r="EA2661" s="92"/>
      <c r="EB2661" s="92"/>
      <c r="EC2661" s="92"/>
      <c r="ED2661" s="92"/>
      <c r="EE2661" s="92"/>
      <c r="EF2661" s="92"/>
      <c r="EG2661" s="92"/>
      <c r="EH2661" s="92"/>
      <c r="EI2661" s="92"/>
      <c r="EJ2661" s="92"/>
      <c r="EK2661" s="92"/>
      <c r="EL2661" s="92"/>
      <c r="EM2661" s="92"/>
      <c r="EN2661" s="92"/>
      <c r="EO2661" s="92"/>
      <c r="EP2661" s="92"/>
      <c r="EQ2661" s="92"/>
      <c r="ER2661" s="92"/>
      <c r="ES2661" s="92"/>
      <c r="ET2661" s="92"/>
      <c r="EU2661" s="92"/>
      <c r="EV2661" s="92"/>
      <c r="EW2661" s="92"/>
      <c r="EX2661" s="92"/>
      <c r="EY2661" s="92"/>
      <c r="EZ2661" s="92"/>
      <c r="FA2661" s="92"/>
      <c r="FB2661" s="92"/>
      <c r="FC2661" s="92"/>
      <c r="FD2661" s="92"/>
      <c r="FE2661" s="92"/>
      <c r="FF2661" s="92"/>
      <c r="FG2661" s="92"/>
      <c r="FH2661" s="92"/>
      <c r="FI2661" s="92"/>
      <c r="FJ2661" s="92"/>
      <c r="FK2661" s="92"/>
      <c r="FL2661" s="92"/>
      <c r="FM2661" s="92"/>
      <c r="FN2661" s="92"/>
      <c r="FO2661" s="92"/>
      <c r="FP2661" s="92"/>
      <c r="FQ2661" s="92"/>
      <c r="FR2661" s="92"/>
      <c r="FS2661" s="92"/>
      <c r="FT2661" s="92"/>
      <c r="FU2661" s="92"/>
      <c r="FV2661" s="92"/>
      <c r="FW2661" s="92"/>
      <c r="FX2661" s="92"/>
      <c r="FY2661" s="92"/>
      <c r="FZ2661" s="92"/>
      <c r="GA2661" s="92"/>
      <c r="GB2661" s="92"/>
      <c r="GC2661" s="92"/>
      <c r="GD2661" s="92"/>
      <c r="GE2661" s="92"/>
      <c r="GF2661" s="92"/>
      <c r="GG2661" s="92"/>
      <c r="GH2661" s="92"/>
      <c r="GI2661" s="92"/>
      <c r="GJ2661" s="92"/>
      <c r="GK2661" s="92"/>
      <c r="GL2661" s="92"/>
      <c r="GM2661" s="92"/>
      <c r="GN2661" s="92"/>
      <c r="GO2661" s="92"/>
      <c r="GP2661" s="92"/>
      <c r="GQ2661" s="92"/>
      <c r="GR2661" s="92"/>
      <c r="GS2661" s="92"/>
      <c r="GT2661" s="92"/>
      <c r="GU2661" s="92"/>
      <c r="GV2661" s="92"/>
      <c r="GW2661" s="92"/>
      <c r="GX2661" s="92"/>
      <c r="GY2661" s="92"/>
      <c r="GZ2661" s="92"/>
      <c r="HA2661" s="92"/>
      <c r="HB2661" s="92"/>
      <c r="HC2661" s="92"/>
      <c r="HD2661" s="92"/>
      <c r="HE2661" s="92"/>
      <c r="HF2661" s="92"/>
      <c r="HG2661" s="92"/>
      <c r="HH2661" s="92"/>
      <c r="HI2661" s="92"/>
      <c r="HJ2661" s="92"/>
      <c r="HK2661" s="92"/>
      <c r="HL2661" s="92"/>
      <c r="HM2661" s="92"/>
      <c r="HN2661" s="92"/>
      <c r="HO2661" s="92"/>
      <c r="HP2661" s="92"/>
      <c r="HQ2661" s="92"/>
    </row>
    <row r="2662" spans="1:225" x14ac:dyDescent="0.35">
      <c r="A2662" s="287"/>
      <c r="B2662" s="287"/>
      <c r="C2662" s="297"/>
      <c r="D2662" s="281"/>
      <c r="E2662" s="287"/>
      <c r="F2662" s="287"/>
      <c r="G2662" s="287"/>
      <c r="H2662" s="116" t="s">
        <v>76</v>
      </c>
      <c r="I2662" s="86">
        <v>0</v>
      </c>
      <c r="J2662" s="86">
        <v>0</v>
      </c>
      <c r="K2662" s="86">
        <v>99</v>
      </c>
      <c r="L2662" s="92"/>
      <c r="M2662" s="92"/>
      <c r="N2662" s="92"/>
      <c r="O2662" s="92"/>
      <c r="P2662" s="92"/>
      <c r="Q2662" s="92"/>
      <c r="R2662" s="92"/>
      <c r="S2662" s="92"/>
      <c r="T2662" s="92"/>
      <c r="U2662" s="92"/>
      <c r="V2662" s="92"/>
      <c r="W2662" s="92"/>
      <c r="X2662" s="92"/>
      <c r="Y2662" s="92"/>
      <c r="Z2662" s="92"/>
      <c r="AA2662" s="92"/>
      <c r="AB2662" s="92"/>
      <c r="AC2662" s="92"/>
      <c r="AD2662" s="92"/>
      <c r="AE2662" s="92"/>
      <c r="AF2662" s="92"/>
      <c r="AG2662" s="92"/>
      <c r="AH2662" s="92"/>
      <c r="AI2662" s="92"/>
      <c r="AJ2662" s="92"/>
      <c r="AK2662" s="92"/>
      <c r="AL2662" s="92"/>
      <c r="AM2662" s="92"/>
      <c r="AN2662" s="92"/>
      <c r="AO2662" s="92"/>
      <c r="AP2662" s="92"/>
      <c r="AQ2662" s="92"/>
      <c r="AR2662" s="92"/>
      <c r="AS2662" s="92"/>
      <c r="AT2662" s="92"/>
      <c r="AU2662" s="92"/>
      <c r="AV2662" s="92"/>
      <c r="AW2662" s="92"/>
      <c r="AX2662" s="92"/>
      <c r="AY2662" s="92"/>
      <c r="AZ2662" s="92"/>
      <c r="BA2662" s="92"/>
      <c r="BB2662" s="92"/>
      <c r="BC2662" s="92"/>
      <c r="BD2662" s="92"/>
      <c r="BE2662" s="92"/>
      <c r="BF2662" s="92"/>
      <c r="BG2662" s="92"/>
      <c r="BH2662" s="92"/>
      <c r="BI2662" s="92"/>
      <c r="BJ2662" s="92"/>
      <c r="BK2662" s="92"/>
      <c r="BL2662" s="92"/>
      <c r="BM2662" s="92"/>
      <c r="BN2662" s="92"/>
      <c r="BO2662" s="92"/>
      <c r="BP2662" s="92"/>
      <c r="BQ2662" s="92"/>
      <c r="BR2662" s="92"/>
      <c r="BS2662" s="92"/>
      <c r="BT2662" s="92"/>
      <c r="BU2662" s="92"/>
      <c r="BV2662" s="92"/>
      <c r="BW2662" s="92"/>
      <c r="BX2662" s="92"/>
      <c r="BY2662" s="92"/>
      <c r="BZ2662" s="92"/>
      <c r="CA2662" s="92"/>
      <c r="CB2662" s="92"/>
      <c r="CC2662" s="92"/>
      <c r="CD2662" s="92"/>
      <c r="CE2662" s="92"/>
      <c r="CF2662" s="92"/>
      <c r="CG2662" s="92"/>
      <c r="CH2662" s="92"/>
      <c r="CI2662" s="92"/>
      <c r="CJ2662" s="92"/>
      <c r="CK2662" s="92"/>
      <c r="CL2662" s="92"/>
      <c r="CM2662" s="92"/>
      <c r="CN2662" s="92"/>
      <c r="CO2662" s="92"/>
      <c r="CP2662" s="92"/>
      <c r="CQ2662" s="92"/>
      <c r="CR2662" s="92"/>
      <c r="CS2662" s="92"/>
      <c r="CT2662" s="92"/>
      <c r="CU2662" s="92"/>
      <c r="CV2662" s="92"/>
      <c r="CW2662" s="92"/>
      <c r="CX2662" s="92"/>
      <c r="CY2662" s="92"/>
      <c r="CZ2662" s="92"/>
      <c r="DA2662" s="92"/>
      <c r="DB2662" s="92"/>
      <c r="DC2662" s="92"/>
      <c r="DD2662" s="92"/>
      <c r="DE2662" s="92"/>
      <c r="DF2662" s="92"/>
      <c r="DG2662" s="92"/>
      <c r="DH2662" s="92"/>
      <c r="DI2662" s="92"/>
      <c r="DJ2662" s="92"/>
      <c r="DK2662" s="92"/>
      <c r="DL2662" s="92"/>
      <c r="DM2662" s="92"/>
      <c r="DN2662" s="92"/>
      <c r="DO2662" s="92"/>
      <c r="DP2662" s="92"/>
      <c r="DQ2662" s="92"/>
      <c r="DR2662" s="92"/>
      <c r="DS2662" s="92"/>
      <c r="DT2662" s="92"/>
      <c r="DU2662" s="92"/>
      <c r="DV2662" s="92"/>
      <c r="DW2662" s="92"/>
      <c r="DX2662" s="92"/>
      <c r="DY2662" s="92"/>
      <c r="DZ2662" s="92"/>
      <c r="EA2662" s="92"/>
      <c r="EB2662" s="92"/>
      <c r="EC2662" s="92"/>
      <c r="ED2662" s="92"/>
      <c r="EE2662" s="92"/>
      <c r="EF2662" s="92"/>
      <c r="EG2662" s="92"/>
      <c r="EH2662" s="92"/>
      <c r="EI2662" s="92"/>
      <c r="EJ2662" s="92"/>
      <c r="EK2662" s="92"/>
      <c r="EL2662" s="92"/>
      <c r="EM2662" s="92"/>
      <c r="EN2662" s="92"/>
      <c r="EO2662" s="92"/>
      <c r="EP2662" s="92"/>
      <c r="EQ2662" s="92"/>
      <c r="ER2662" s="92"/>
      <c r="ES2662" s="92"/>
      <c r="ET2662" s="92"/>
      <c r="EU2662" s="92"/>
      <c r="EV2662" s="92"/>
      <c r="EW2662" s="92"/>
      <c r="EX2662" s="92"/>
      <c r="EY2662" s="92"/>
      <c r="EZ2662" s="92"/>
      <c r="FA2662" s="92"/>
      <c r="FB2662" s="92"/>
      <c r="FC2662" s="92"/>
      <c r="FD2662" s="92"/>
      <c r="FE2662" s="92"/>
      <c r="FF2662" s="92"/>
      <c r="FG2662" s="92"/>
      <c r="FH2662" s="92"/>
      <c r="FI2662" s="92"/>
      <c r="FJ2662" s="92"/>
      <c r="FK2662" s="92"/>
      <c r="FL2662" s="92"/>
      <c r="FM2662" s="92"/>
      <c r="FN2662" s="92"/>
      <c r="FO2662" s="92"/>
      <c r="FP2662" s="92"/>
      <c r="FQ2662" s="92"/>
      <c r="FR2662" s="92"/>
      <c r="FS2662" s="92"/>
      <c r="FT2662" s="92"/>
      <c r="FU2662" s="92"/>
      <c r="FV2662" s="92"/>
      <c r="FW2662" s="92"/>
      <c r="FX2662" s="92"/>
      <c r="FY2662" s="92"/>
      <c r="FZ2662" s="92"/>
      <c r="GA2662" s="92"/>
      <c r="GB2662" s="92"/>
      <c r="GC2662" s="92"/>
      <c r="GD2662" s="92"/>
      <c r="GE2662" s="92"/>
      <c r="GF2662" s="92"/>
      <c r="GG2662" s="92"/>
      <c r="GH2662" s="92"/>
      <c r="GI2662" s="92"/>
      <c r="GJ2662" s="92"/>
      <c r="GK2662" s="92"/>
      <c r="GL2662" s="92"/>
      <c r="GM2662" s="92"/>
      <c r="GN2662" s="92"/>
      <c r="GO2662" s="92"/>
      <c r="GP2662" s="92"/>
      <c r="GQ2662" s="92"/>
      <c r="GR2662" s="92"/>
      <c r="GS2662" s="92"/>
      <c r="GT2662" s="92"/>
      <c r="GU2662" s="92"/>
      <c r="GV2662" s="92"/>
      <c r="GW2662" s="92"/>
      <c r="GX2662" s="92"/>
      <c r="GY2662" s="92"/>
      <c r="GZ2662" s="92"/>
      <c r="HA2662" s="92"/>
      <c r="HB2662" s="92"/>
      <c r="HC2662" s="92"/>
      <c r="HD2662" s="92"/>
      <c r="HE2662" s="92"/>
      <c r="HF2662" s="92"/>
      <c r="HG2662" s="92"/>
      <c r="HH2662" s="92"/>
      <c r="HI2662" s="92"/>
      <c r="HJ2662" s="92"/>
      <c r="HK2662" s="92"/>
      <c r="HL2662" s="92"/>
      <c r="HM2662" s="92"/>
      <c r="HN2662" s="92"/>
      <c r="HO2662" s="92"/>
      <c r="HP2662" s="92"/>
      <c r="HQ2662" s="92"/>
    </row>
    <row r="2663" spans="1:225" ht="15.75" customHeight="1" x14ac:dyDescent="0.35">
      <c r="A2663" s="285">
        <f>A2660+1</f>
        <v>16</v>
      </c>
      <c r="B2663" s="285">
        <v>6392</v>
      </c>
      <c r="C2663" s="295" t="s">
        <v>518</v>
      </c>
      <c r="D2663" s="279">
        <v>2953.7</v>
      </c>
      <c r="E2663" s="285" t="s">
        <v>75</v>
      </c>
      <c r="F2663" s="285">
        <v>4</v>
      </c>
      <c r="G2663" s="285" t="s">
        <v>77</v>
      </c>
      <c r="H2663" s="116" t="s">
        <v>73</v>
      </c>
      <c r="I2663" s="86">
        <f>I2664+I2665</f>
        <v>5563884.6900000004</v>
      </c>
      <c r="J2663" s="86">
        <f>J2664+J2665</f>
        <v>1883.7</v>
      </c>
      <c r="K2663" s="86">
        <f>K2664+K2665</f>
        <v>2749</v>
      </c>
      <c r="L2663" s="92"/>
      <c r="M2663" s="92"/>
      <c r="N2663" s="92"/>
      <c r="O2663" s="92"/>
      <c r="P2663" s="92"/>
      <c r="Q2663" s="92"/>
      <c r="R2663" s="92"/>
      <c r="S2663" s="92"/>
      <c r="T2663" s="92"/>
      <c r="U2663" s="92"/>
      <c r="V2663" s="92"/>
      <c r="W2663" s="92"/>
      <c r="X2663" s="92"/>
      <c r="Y2663" s="92"/>
      <c r="Z2663" s="92"/>
      <c r="AA2663" s="92"/>
      <c r="AB2663" s="92"/>
      <c r="AC2663" s="92"/>
      <c r="AD2663" s="92"/>
      <c r="AE2663" s="92"/>
      <c r="AF2663" s="92"/>
      <c r="AG2663" s="92"/>
      <c r="AH2663" s="92"/>
      <c r="AI2663" s="92"/>
      <c r="AJ2663" s="92"/>
      <c r="AK2663" s="92"/>
      <c r="AL2663" s="92"/>
      <c r="AM2663" s="92"/>
      <c r="AN2663" s="92"/>
      <c r="AO2663" s="92"/>
      <c r="AP2663" s="92"/>
      <c r="AQ2663" s="92"/>
      <c r="AR2663" s="92"/>
      <c r="AS2663" s="92"/>
      <c r="AT2663" s="92"/>
      <c r="AU2663" s="92"/>
      <c r="AV2663" s="92"/>
      <c r="AW2663" s="92"/>
      <c r="AX2663" s="92"/>
      <c r="AY2663" s="92"/>
      <c r="AZ2663" s="92"/>
      <c r="BA2663" s="92"/>
      <c r="BB2663" s="92"/>
      <c r="BC2663" s="92"/>
      <c r="BD2663" s="92"/>
      <c r="BE2663" s="92"/>
      <c r="BF2663" s="92"/>
      <c r="BG2663" s="92"/>
      <c r="BH2663" s="92"/>
      <c r="BI2663" s="92"/>
      <c r="BJ2663" s="92"/>
      <c r="BK2663" s="92"/>
      <c r="BL2663" s="92"/>
      <c r="BM2663" s="92"/>
      <c r="BN2663" s="92"/>
      <c r="BO2663" s="92"/>
      <c r="BP2663" s="92"/>
      <c r="BQ2663" s="92"/>
      <c r="BR2663" s="92"/>
      <c r="BS2663" s="92"/>
      <c r="BT2663" s="92"/>
      <c r="BU2663" s="92"/>
      <c r="BV2663" s="92"/>
      <c r="BW2663" s="92"/>
      <c r="BX2663" s="92"/>
      <c r="BY2663" s="92"/>
      <c r="BZ2663" s="92"/>
      <c r="CA2663" s="92"/>
      <c r="CB2663" s="92"/>
      <c r="CC2663" s="92"/>
      <c r="CD2663" s="92"/>
      <c r="CE2663" s="92"/>
      <c r="CF2663" s="92"/>
      <c r="CG2663" s="92"/>
      <c r="CH2663" s="92"/>
      <c r="CI2663" s="92"/>
      <c r="CJ2663" s="92"/>
      <c r="CK2663" s="92"/>
      <c r="CL2663" s="92"/>
      <c r="CM2663" s="92"/>
      <c r="CN2663" s="92"/>
      <c r="CO2663" s="92"/>
      <c r="CP2663" s="92"/>
      <c r="CQ2663" s="92"/>
      <c r="CR2663" s="92"/>
      <c r="CS2663" s="92"/>
      <c r="CT2663" s="92"/>
      <c r="CU2663" s="92"/>
      <c r="CV2663" s="92"/>
      <c r="CW2663" s="92"/>
      <c r="CX2663" s="92"/>
      <c r="CY2663" s="92"/>
      <c r="CZ2663" s="92"/>
      <c r="DA2663" s="92"/>
      <c r="DB2663" s="92"/>
      <c r="DC2663" s="92"/>
      <c r="DD2663" s="92"/>
      <c r="DE2663" s="92"/>
      <c r="DF2663" s="92"/>
      <c r="DG2663" s="92"/>
      <c r="DH2663" s="92"/>
      <c r="DI2663" s="92"/>
      <c r="DJ2663" s="92"/>
      <c r="DK2663" s="92"/>
      <c r="DL2663" s="92"/>
      <c r="DM2663" s="92"/>
      <c r="DN2663" s="92"/>
      <c r="DO2663" s="92"/>
      <c r="DP2663" s="92"/>
      <c r="DQ2663" s="92"/>
      <c r="DR2663" s="92"/>
      <c r="DS2663" s="92"/>
      <c r="DT2663" s="92"/>
      <c r="DU2663" s="92"/>
      <c r="DV2663" s="92"/>
      <c r="DW2663" s="92"/>
      <c r="DX2663" s="92"/>
      <c r="DY2663" s="92"/>
      <c r="DZ2663" s="92"/>
      <c r="EA2663" s="92"/>
      <c r="EB2663" s="92"/>
      <c r="EC2663" s="92"/>
      <c r="ED2663" s="92"/>
      <c r="EE2663" s="92"/>
      <c r="EF2663" s="92"/>
      <c r="EG2663" s="92"/>
      <c r="EH2663" s="92"/>
      <c r="EI2663" s="92"/>
      <c r="EJ2663" s="92"/>
      <c r="EK2663" s="92"/>
      <c r="EL2663" s="92"/>
      <c r="EM2663" s="92"/>
      <c r="EN2663" s="92"/>
      <c r="EO2663" s="92"/>
      <c r="EP2663" s="92"/>
      <c r="EQ2663" s="92"/>
      <c r="ER2663" s="92"/>
      <c r="ES2663" s="92"/>
      <c r="ET2663" s="92"/>
      <c r="EU2663" s="92"/>
      <c r="EV2663" s="92"/>
      <c r="EW2663" s="92"/>
      <c r="EX2663" s="92"/>
      <c r="EY2663" s="92"/>
      <c r="EZ2663" s="92"/>
      <c r="FA2663" s="92"/>
      <c r="FB2663" s="92"/>
      <c r="FC2663" s="92"/>
      <c r="FD2663" s="92"/>
      <c r="FE2663" s="92"/>
      <c r="FF2663" s="92"/>
      <c r="FG2663" s="92"/>
      <c r="FH2663" s="92"/>
      <c r="FI2663" s="92"/>
      <c r="FJ2663" s="92"/>
      <c r="FK2663" s="92"/>
      <c r="FL2663" s="92"/>
      <c r="FM2663" s="92"/>
      <c r="FN2663" s="92"/>
      <c r="FO2663" s="92"/>
      <c r="FP2663" s="92"/>
      <c r="FQ2663" s="92"/>
      <c r="FR2663" s="92"/>
      <c r="FS2663" s="92"/>
      <c r="FT2663" s="92"/>
      <c r="FU2663" s="92"/>
      <c r="FV2663" s="92"/>
      <c r="FW2663" s="92"/>
      <c r="FX2663" s="92"/>
      <c r="FY2663" s="92"/>
      <c r="FZ2663" s="92"/>
      <c r="GA2663" s="92"/>
      <c r="GB2663" s="92"/>
      <c r="GC2663" s="92"/>
      <c r="GD2663" s="92"/>
      <c r="GE2663" s="92"/>
      <c r="GF2663" s="92"/>
      <c r="GG2663" s="92"/>
      <c r="GH2663" s="92"/>
      <c r="GI2663" s="92"/>
      <c r="GJ2663" s="92"/>
      <c r="GK2663" s="92"/>
      <c r="GL2663" s="92"/>
      <c r="GM2663" s="92"/>
      <c r="GN2663" s="92"/>
      <c r="GO2663" s="92"/>
      <c r="GP2663" s="92"/>
      <c r="GQ2663" s="92"/>
      <c r="GR2663" s="92"/>
      <c r="GS2663" s="92"/>
      <c r="GT2663" s="92"/>
      <c r="GU2663" s="92"/>
      <c r="GV2663" s="92"/>
      <c r="GW2663" s="92"/>
      <c r="GX2663" s="92"/>
      <c r="GY2663" s="92"/>
      <c r="GZ2663" s="92"/>
      <c r="HA2663" s="92"/>
      <c r="HB2663" s="92"/>
      <c r="HC2663" s="92"/>
      <c r="HD2663" s="92"/>
      <c r="HE2663" s="92"/>
      <c r="HF2663" s="92"/>
      <c r="HG2663" s="92"/>
      <c r="HH2663" s="92"/>
      <c r="HI2663" s="92"/>
      <c r="HJ2663" s="92"/>
      <c r="HK2663" s="92"/>
      <c r="HL2663" s="92"/>
      <c r="HM2663" s="92"/>
      <c r="HN2663" s="92"/>
      <c r="HO2663" s="92"/>
      <c r="HP2663" s="92"/>
      <c r="HQ2663" s="92"/>
    </row>
    <row r="2664" spans="1:225" x14ac:dyDescent="0.35">
      <c r="A2664" s="286"/>
      <c r="B2664" s="286"/>
      <c r="C2664" s="296"/>
      <c r="D2664" s="280"/>
      <c r="E2664" s="286"/>
      <c r="F2664" s="286"/>
      <c r="G2664" s="286"/>
      <c r="H2664" s="116" t="s">
        <v>667</v>
      </c>
      <c r="I2664" s="86">
        <f>D2663*K2664*0.7</f>
        <v>5563884.6900000004</v>
      </c>
      <c r="J2664" s="86">
        <f>I2664/D2663</f>
        <v>1883.7</v>
      </c>
      <c r="K2664" s="86">
        <v>2691</v>
      </c>
      <c r="L2664" s="92"/>
      <c r="M2664" s="92"/>
      <c r="N2664" s="92"/>
      <c r="O2664" s="92"/>
      <c r="P2664" s="92"/>
      <c r="Q2664" s="92"/>
      <c r="R2664" s="92"/>
      <c r="S2664" s="92"/>
      <c r="T2664" s="92"/>
      <c r="U2664" s="92"/>
      <c r="V2664" s="92"/>
      <c r="W2664" s="92"/>
      <c r="X2664" s="92"/>
      <c r="Y2664" s="92"/>
      <c r="Z2664" s="92"/>
      <c r="AA2664" s="92"/>
      <c r="AB2664" s="92"/>
      <c r="AC2664" s="92"/>
      <c r="AD2664" s="92"/>
      <c r="AE2664" s="92"/>
      <c r="AF2664" s="92"/>
      <c r="AG2664" s="92"/>
      <c r="AH2664" s="92"/>
      <c r="AI2664" s="92"/>
      <c r="AJ2664" s="92"/>
      <c r="AK2664" s="92"/>
      <c r="AL2664" s="92"/>
      <c r="AM2664" s="92"/>
      <c r="AN2664" s="92"/>
      <c r="AO2664" s="92"/>
      <c r="AP2664" s="92"/>
      <c r="AQ2664" s="92"/>
      <c r="AR2664" s="92"/>
      <c r="AS2664" s="92"/>
      <c r="AT2664" s="92"/>
      <c r="AU2664" s="92"/>
      <c r="AV2664" s="92"/>
      <c r="AW2664" s="92"/>
      <c r="AX2664" s="92"/>
      <c r="AY2664" s="92"/>
      <c r="AZ2664" s="92"/>
      <c r="BA2664" s="92"/>
      <c r="BB2664" s="92"/>
      <c r="BC2664" s="92"/>
      <c r="BD2664" s="92"/>
      <c r="BE2664" s="92"/>
      <c r="BF2664" s="92"/>
      <c r="BG2664" s="92"/>
      <c r="BH2664" s="92"/>
      <c r="BI2664" s="92"/>
      <c r="BJ2664" s="92"/>
      <c r="BK2664" s="92"/>
      <c r="BL2664" s="92"/>
      <c r="BM2664" s="92"/>
      <c r="BN2664" s="92"/>
      <c r="BO2664" s="92"/>
      <c r="BP2664" s="92"/>
      <c r="BQ2664" s="92"/>
      <c r="BR2664" s="92"/>
      <c r="BS2664" s="92"/>
      <c r="BT2664" s="92"/>
      <c r="BU2664" s="92"/>
      <c r="BV2664" s="92"/>
      <c r="BW2664" s="92"/>
      <c r="BX2664" s="92"/>
      <c r="BY2664" s="92"/>
      <c r="BZ2664" s="92"/>
      <c r="CA2664" s="92"/>
      <c r="CB2664" s="92"/>
      <c r="CC2664" s="92"/>
      <c r="CD2664" s="92"/>
      <c r="CE2664" s="92"/>
      <c r="CF2664" s="92"/>
      <c r="CG2664" s="92"/>
      <c r="CH2664" s="92"/>
      <c r="CI2664" s="92"/>
      <c r="CJ2664" s="92"/>
      <c r="CK2664" s="92"/>
      <c r="CL2664" s="92"/>
      <c r="CM2664" s="92"/>
      <c r="CN2664" s="92"/>
      <c r="CO2664" s="92"/>
      <c r="CP2664" s="92"/>
      <c r="CQ2664" s="92"/>
      <c r="CR2664" s="92"/>
      <c r="CS2664" s="92"/>
      <c r="CT2664" s="92"/>
      <c r="CU2664" s="92"/>
      <c r="CV2664" s="92"/>
      <c r="CW2664" s="92"/>
      <c r="CX2664" s="92"/>
      <c r="CY2664" s="92"/>
      <c r="CZ2664" s="92"/>
      <c r="DA2664" s="92"/>
      <c r="DB2664" s="92"/>
      <c r="DC2664" s="92"/>
      <c r="DD2664" s="92"/>
      <c r="DE2664" s="92"/>
      <c r="DF2664" s="92"/>
      <c r="DG2664" s="92"/>
      <c r="DH2664" s="92"/>
      <c r="DI2664" s="92"/>
      <c r="DJ2664" s="92"/>
      <c r="DK2664" s="92"/>
      <c r="DL2664" s="92"/>
      <c r="DM2664" s="92"/>
      <c r="DN2664" s="92"/>
      <c r="DO2664" s="92"/>
      <c r="DP2664" s="92"/>
      <c r="DQ2664" s="92"/>
      <c r="DR2664" s="92"/>
      <c r="DS2664" s="92"/>
      <c r="DT2664" s="92"/>
      <c r="DU2664" s="92"/>
      <c r="DV2664" s="92"/>
      <c r="DW2664" s="92"/>
      <c r="DX2664" s="92"/>
      <c r="DY2664" s="92"/>
      <c r="DZ2664" s="92"/>
      <c r="EA2664" s="92"/>
      <c r="EB2664" s="92"/>
      <c r="EC2664" s="92"/>
      <c r="ED2664" s="92"/>
      <c r="EE2664" s="92"/>
      <c r="EF2664" s="92"/>
      <c r="EG2664" s="92"/>
      <c r="EH2664" s="92"/>
      <c r="EI2664" s="92"/>
      <c r="EJ2664" s="92"/>
      <c r="EK2664" s="92"/>
      <c r="EL2664" s="92"/>
      <c r="EM2664" s="92"/>
      <c r="EN2664" s="92"/>
      <c r="EO2664" s="92"/>
      <c r="EP2664" s="92"/>
      <c r="EQ2664" s="92"/>
      <c r="ER2664" s="92"/>
      <c r="ES2664" s="92"/>
      <c r="ET2664" s="92"/>
      <c r="EU2664" s="92"/>
      <c r="EV2664" s="92"/>
      <c r="EW2664" s="92"/>
      <c r="EX2664" s="92"/>
      <c r="EY2664" s="92"/>
      <c r="EZ2664" s="92"/>
      <c r="FA2664" s="92"/>
      <c r="FB2664" s="92"/>
      <c r="FC2664" s="92"/>
      <c r="FD2664" s="92"/>
      <c r="FE2664" s="92"/>
      <c r="FF2664" s="92"/>
      <c r="FG2664" s="92"/>
      <c r="FH2664" s="92"/>
      <c r="FI2664" s="92"/>
      <c r="FJ2664" s="92"/>
      <c r="FK2664" s="92"/>
      <c r="FL2664" s="92"/>
      <c r="FM2664" s="92"/>
      <c r="FN2664" s="92"/>
      <c r="FO2664" s="92"/>
      <c r="FP2664" s="92"/>
      <c r="FQ2664" s="92"/>
      <c r="FR2664" s="92"/>
      <c r="FS2664" s="92"/>
      <c r="FT2664" s="92"/>
      <c r="FU2664" s="92"/>
      <c r="FV2664" s="92"/>
      <c r="FW2664" s="92"/>
      <c r="FX2664" s="92"/>
      <c r="FY2664" s="92"/>
      <c r="FZ2664" s="92"/>
      <c r="GA2664" s="92"/>
      <c r="GB2664" s="92"/>
      <c r="GC2664" s="92"/>
      <c r="GD2664" s="92"/>
      <c r="GE2664" s="92"/>
      <c r="GF2664" s="92"/>
      <c r="GG2664" s="92"/>
      <c r="GH2664" s="92"/>
      <c r="GI2664" s="92"/>
      <c r="GJ2664" s="92"/>
      <c r="GK2664" s="92"/>
      <c r="GL2664" s="92"/>
      <c r="GM2664" s="92"/>
      <c r="GN2664" s="92"/>
      <c r="GO2664" s="92"/>
      <c r="GP2664" s="92"/>
      <c r="GQ2664" s="92"/>
      <c r="GR2664" s="92"/>
      <c r="GS2664" s="92"/>
      <c r="GT2664" s="92"/>
      <c r="GU2664" s="92"/>
      <c r="GV2664" s="92"/>
      <c r="GW2664" s="92"/>
      <c r="GX2664" s="92"/>
      <c r="GY2664" s="92"/>
      <c r="GZ2664" s="92"/>
      <c r="HA2664" s="92"/>
      <c r="HB2664" s="92"/>
      <c r="HC2664" s="92"/>
      <c r="HD2664" s="92"/>
      <c r="HE2664" s="92"/>
      <c r="HF2664" s="92"/>
      <c r="HG2664" s="92"/>
      <c r="HH2664" s="92"/>
      <c r="HI2664" s="92"/>
      <c r="HJ2664" s="92"/>
      <c r="HK2664" s="92"/>
      <c r="HL2664" s="92"/>
      <c r="HM2664" s="92"/>
      <c r="HN2664" s="92"/>
      <c r="HO2664" s="92"/>
      <c r="HP2664" s="92"/>
      <c r="HQ2664" s="92"/>
    </row>
    <row r="2665" spans="1:225" x14ac:dyDescent="0.35">
      <c r="A2665" s="287"/>
      <c r="B2665" s="287"/>
      <c r="C2665" s="297"/>
      <c r="D2665" s="281"/>
      <c r="E2665" s="287"/>
      <c r="F2665" s="287"/>
      <c r="G2665" s="287"/>
      <c r="H2665" s="116" t="s">
        <v>76</v>
      </c>
      <c r="I2665" s="86">
        <v>0</v>
      </c>
      <c r="J2665" s="86">
        <v>0</v>
      </c>
      <c r="K2665" s="86">
        <v>58</v>
      </c>
      <c r="L2665" s="92"/>
      <c r="M2665" s="92"/>
      <c r="N2665" s="92"/>
      <c r="O2665" s="92"/>
      <c r="P2665" s="92"/>
      <c r="Q2665" s="92"/>
      <c r="R2665" s="92"/>
      <c r="S2665" s="92"/>
      <c r="T2665" s="92"/>
      <c r="U2665" s="92"/>
      <c r="V2665" s="92"/>
      <c r="W2665" s="92"/>
      <c r="X2665" s="92"/>
      <c r="Y2665" s="92"/>
      <c r="Z2665" s="92"/>
      <c r="AA2665" s="92"/>
      <c r="AB2665" s="92"/>
      <c r="AC2665" s="92"/>
      <c r="AD2665" s="92"/>
      <c r="AE2665" s="92"/>
      <c r="AF2665" s="92"/>
      <c r="AG2665" s="92"/>
      <c r="AH2665" s="92"/>
      <c r="AI2665" s="92"/>
      <c r="AJ2665" s="92"/>
      <c r="AK2665" s="92"/>
      <c r="AL2665" s="92"/>
      <c r="AM2665" s="92"/>
      <c r="AN2665" s="92"/>
      <c r="AO2665" s="92"/>
      <c r="AP2665" s="92"/>
      <c r="AQ2665" s="92"/>
      <c r="AR2665" s="92"/>
      <c r="AS2665" s="92"/>
      <c r="AT2665" s="92"/>
      <c r="AU2665" s="92"/>
      <c r="AV2665" s="92"/>
      <c r="AW2665" s="92"/>
      <c r="AX2665" s="92"/>
      <c r="AY2665" s="92"/>
      <c r="AZ2665" s="92"/>
      <c r="BA2665" s="92"/>
      <c r="BB2665" s="92"/>
      <c r="BC2665" s="92"/>
      <c r="BD2665" s="92"/>
      <c r="BE2665" s="92"/>
      <c r="BF2665" s="92"/>
      <c r="BG2665" s="92"/>
      <c r="BH2665" s="92"/>
      <c r="BI2665" s="92"/>
      <c r="BJ2665" s="92"/>
      <c r="BK2665" s="92"/>
      <c r="BL2665" s="92"/>
      <c r="BM2665" s="92"/>
      <c r="BN2665" s="92"/>
      <c r="BO2665" s="92"/>
      <c r="BP2665" s="92"/>
      <c r="BQ2665" s="92"/>
      <c r="BR2665" s="92"/>
      <c r="BS2665" s="92"/>
      <c r="BT2665" s="92"/>
      <c r="BU2665" s="92"/>
      <c r="BV2665" s="92"/>
      <c r="BW2665" s="92"/>
      <c r="BX2665" s="92"/>
      <c r="BY2665" s="92"/>
      <c r="BZ2665" s="92"/>
      <c r="CA2665" s="92"/>
      <c r="CB2665" s="92"/>
      <c r="CC2665" s="92"/>
      <c r="CD2665" s="92"/>
      <c r="CE2665" s="92"/>
      <c r="CF2665" s="92"/>
      <c r="CG2665" s="92"/>
      <c r="CH2665" s="92"/>
      <c r="CI2665" s="92"/>
      <c r="CJ2665" s="92"/>
      <c r="CK2665" s="92"/>
      <c r="CL2665" s="92"/>
      <c r="CM2665" s="92"/>
      <c r="CN2665" s="92"/>
      <c r="CO2665" s="92"/>
      <c r="CP2665" s="92"/>
      <c r="CQ2665" s="92"/>
      <c r="CR2665" s="92"/>
      <c r="CS2665" s="92"/>
      <c r="CT2665" s="92"/>
      <c r="CU2665" s="92"/>
      <c r="CV2665" s="92"/>
      <c r="CW2665" s="92"/>
      <c r="CX2665" s="92"/>
      <c r="CY2665" s="92"/>
      <c r="CZ2665" s="92"/>
      <c r="DA2665" s="92"/>
      <c r="DB2665" s="92"/>
      <c r="DC2665" s="92"/>
      <c r="DD2665" s="92"/>
      <c r="DE2665" s="92"/>
      <c r="DF2665" s="92"/>
      <c r="DG2665" s="92"/>
      <c r="DH2665" s="92"/>
      <c r="DI2665" s="92"/>
      <c r="DJ2665" s="92"/>
      <c r="DK2665" s="92"/>
      <c r="DL2665" s="92"/>
      <c r="DM2665" s="92"/>
      <c r="DN2665" s="92"/>
      <c r="DO2665" s="92"/>
      <c r="DP2665" s="92"/>
      <c r="DQ2665" s="92"/>
      <c r="DR2665" s="92"/>
      <c r="DS2665" s="92"/>
      <c r="DT2665" s="92"/>
      <c r="DU2665" s="92"/>
      <c r="DV2665" s="92"/>
      <c r="DW2665" s="92"/>
      <c r="DX2665" s="92"/>
      <c r="DY2665" s="92"/>
      <c r="DZ2665" s="92"/>
      <c r="EA2665" s="92"/>
      <c r="EB2665" s="92"/>
      <c r="EC2665" s="92"/>
      <c r="ED2665" s="92"/>
      <c r="EE2665" s="92"/>
      <c r="EF2665" s="92"/>
      <c r="EG2665" s="92"/>
      <c r="EH2665" s="92"/>
      <c r="EI2665" s="92"/>
      <c r="EJ2665" s="92"/>
      <c r="EK2665" s="92"/>
      <c r="EL2665" s="92"/>
      <c r="EM2665" s="92"/>
      <c r="EN2665" s="92"/>
      <c r="EO2665" s="92"/>
      <c r="EP2665" s="92"/>
      <c r="EQ2665" s="92"/>
      <c r="ER2665" s="92"/>
      <c r="ES2665" s="92"/>
      <c r="ET2665" s="92"/>
      <c r="EU2665" s="92"/>
      <c r="EV2665" s="92"/>
      <c r="EW2665" s="92"/>
      <c r="EX2665" s="92"/>
      <c r="EY2665" s="92"/>
      <c r="EZ2665" s="92"/>
      <c r="FA2665" s="92"/>
      <c r="FB2665" s="92"/>
      <c r="FC2665" s="92"/>
      <c r="FD2665" s="92"/>
      <c r="FE2665" s="92"/>
      <c r="FF2665" s="92"/>
      <c r="FG2665" s="92"/>
      <c r="FH2665" s="92"/>
      <c r="FI2665" s="92"/>
      <c r="FJ2665" s="92"/>
      <c r="FK2665" s="92"/>
      <c r="FL2665" s="92"/>
      <c r="FM2665" s="92"/>
      <c r="FN2665" s="92"/>
      <c r="FO2665" s="92"/>
      <c r="FP2665" s="92"/>
      <c r="FQ2665" s="92"/>
      <c r="FR2665" s="92"/>
      <c r="FS2665" s="92"/>
      <c r="FT2665" s="92"/>
      <c r="FU2665" s="92"/>
      <c r="FV2665" s="92"/>
      <c r="FW2665" s="92"/>
      <c r="FX2665" s="92"/>
      <c r="FY2665" s="92"/>
      <c r="FZ2665" s="92"/>
      <c r="GA2665" s="92"/>
      <c r="GB2665" s="92"/>
      <c r="GC2665" s="92"/>
      <c r="GD2665" s="92"/>
      <c r="GE2665" s="92"/>
      <c r="GF2665" s="92"/>
      <c r="GG2665" s="92"/>
      <c r="GH2665" s="92"/>
      <c r="GI2665" s="92"/>
      <c r="GJ2665" s="92"/>
      <c r="GK2665" s="92"/>
      <c r="GL2665" s="92"/>
      <c r="GM2665" s="92"/>
      <c r="GN2665" s="92"/>
      <c r="GO2665" s="92"/>
      <c r="GP2665" s="92"/>
      <c r="GQ2665" s="92"/>
      <c r="GR2665" s="92"/>
      <c r="GS2665" s="92"/>
      <c r="GT2665" s="92"/>
      <c r="GU2665" s="92"/>
      <c r="GV2665" s="92"/>
      <c r="GW2665" s="92"/>
      <c r="GX2665" s="92"/>
      <c r="GY2665" s="92"/>
      <c r="GZ2665" s="92"/>
      <c r="HA2665" s="92"/>
      <c r="HB2665" s="92"/>
      <c r="HC2665" s="92"/>
      <c r="HD2665" s="92"/>
      <c r="HE2665" s="92"/>
      <c r="HF2665" s="92"/>
      <c r="HG2665" s="92"/>
      <c r="HH2665" s="92"/>
      <c r="HI2665" s="92"/>
      <c r="HJ2665" s="92"/>
      <c r="HK2665" s="92"/>
      <c r="HL2665" s="92"/>
      <c r="HM2665" s="92"/>
      <c r="HN2665" s="92"/>
      <c r="HO2665" s="92"/>
      <c r="HP2665" s="92"/>
      <c r="HQ2665" s="92"/>
    </row>
    <row r="2666" spans="1:225" ht="15.75" customHeight="1" x14ac:dyDescent="0.35">
      <c r="A2666" s="285">
        <f>A2663+1</f>
        <v>17</v>
      </c>
      <c r="B2666" s="285">
        <v>6394</v>
      </c>
      <c r="C2666" s="295" t="s">
        <v>519</v>
      </c>
      <c r="D2666" s="279">
        <v>2015.8</v>
      </c>
      <c r="E2666" s="285" t="s">
        <v>75</v>
      </c>
      <c r="F2666" s="285">
        <v>4</v>
      </c>
      <c r="G2666" s="285" t="s">
        <v>72</v>
      </c>
      <c r="H2666" s="116" t="s">
        <v>73</v>
      </c>
      <c r="I2666" s="86">
        <f>I2667+I2668</f>
        <v>6531796.7400000002</v>
      </c>
      <c r="J2666" s="86">
        <f>J2667+J2668</f>
        <v>3240.3</v>
      </c>
      <c r="K2666" s="86">
        <f>K2667+K2668</f>
        <v>4728</v>
      </c>
      <c r="L2666" s="92"/>
      <c r="M2666" s="92"/>
      <c r="N2666" s="92"/>
      <c r="O2666" s="92"/>
      <c r="P2666" s="92"/>
      <c r="Q2666" s="92"/>
      <c r="R2666" s="92"/>
      <c r="S2666" s="92"/>
      <c r="T2666" s="92"/>
      <c r="U2666" s="92"/>
      <c r="V2666" s="92"/>
      <c r="W2666" s="92"/>
      <c r="X2666" s="92"/>
      <c r="Y2666" s="92"/>
      <c r="Z2666" s="92"/>
      <c r="AA2666" s="92"/>
      <c r="AB2666" s="92"/>
      <c r="AC2666" s="92"/>
      <c r="AD2666" s="92"/>
      <c r="AE2666" s="92"/>
      <c r="AF2666" s="92"/>
      <c r="AG2666" s="92"/>
      <c r="AH2666" s="92"/>
      <c r="AI2666" s="92"/>
      <c r="AJ2666" s="92"/>
      <c r="AK2666" s="92"/>
      <c r="AL2666" s="92"/>
      <c r="AM2666" s="92"/>
      <c r="AN2666" s="92"/>
      <c r="AO2666" s="92"/>
      <c r="AP2666" s="92"/>
      <c r="AQ2666" s="92"/>
      <c r="AR2666" s="92"/>
      <c r="AS2666" s="92"/>
      <c r="AT2666" s="92"/>
      <c r="AU2666" s="92"/>
      <c r="AV2666" s="92"/>
      <c r="AW2666" s="92"/>
      <c r="AX2666" s="92"/>
      <c r="AY2666" s="92"/>
      <c r="AZ2666" s="92"/>
      <c r="BA2666" s="92"/>
      <c r="BB2666" s="92"/>
      <c r="BC2666" s="92"/>
      <c r="BD2666" s="92"/>
      <c r="BE2666" s="92"/>
      <c r="BF2666" s="92"/>
      <c r="BG2666" s="92"/>
      <c r="BH2666" s="92"/>
      <c r="BI2666" s="92"/>
      <c r="BJ2666" s="92"/>
      <c r="BK2666" s="92"/>
      <c r="BL2666" s="92"/>
      <c r="BM2666" s="92"/>
      <c r="BN2666" s="92"/>
      <c r="BO2666" s="92"/>
      <c r="BP2666" s="92"/>
      <c r="BQ2666" s="92"/>
      <c r="BR2666" s="92"/>
      <c r="BS2666" s="92"/>
      <c r="BT2666" s="92"/>
      <c r="BU2666" s="92"/>
      <c r="BV2666" s="92"/>
      <c r="BW2666" s="92"/>
      <c r="BX2666" s="92"/>
      <c r="BY2666" s="92"/>
      <c r="BZ2666" s="92"/>
      <c r="CA2666" s="92"/>
      <c r="CB2666" s="92"/>
      <c r="CC2666" s="92"/>
      <c r="CD2666" s="92"/>
      <c r="CE2666" s="92"/>
      <c r="CF2666" s="92"/>
      <c r="CG2666" s="92"/>
      <c r="CH2666" s="92"/>
      <c r="CI2666" s="92"/>
      <c r="CJ2666" s="92"/>
      <c r="CK2666" s="92"/>
      <c r="CL2666" s="92"/>
      <c r="CM2666" s="92"/>
      <c r="CN2666" s="92"/>
      <c r="CO2666" s="92"/>
      <c r="CP2666" s="92"/>
      <c r="CQ2666" s="92"/>
      <c r="CR2666" s="92"/>
      <c r="CS2666" s="92"/>
      <c r="CT2666" s="92"/>
      <c r="CU2666" s="92"/>
      <c r="CV2666" s="92"/>
      <c r="CW2666" s="92"/>
      <c r="CX2666" s="92"/>
      <c r="CY2666" s="92"/>
      <c r="CZ2666" s="92"/>
      <c r="DA2666" s="92"/>
      <c r="DB2666" s="92"/>
      <c r="DC2666" s="92"/>
      <c r="DD2666" s="92"/>
      <c r="DE2666" s="92"/>
      <c r="DF2666" s="92"/>
      <c r="DG2666" s="92"/>
      <c r="DH2666" s="92"/>
      <c r="DI2666" s="92"/>
      <c r="DJ2666" s="92"/>
      <c r="DK2666" s="92"/>
      <c r="DL2666" s="92"/>
      <c r="DM2666" s="92"/>
      <c r="DN2666" s="92"/>
      <c r="DO2666" s="92"/>
      <c r="DP2666" s="92"/>
      <c r="DQ2666" s="92"/>
      <c r="DR2666" s="92"/>
      <c r="DS2666" s="92"/>
      <c r="DT2666" s="92"/>
      <c r="DU2666" s="92"/>
      <c r="DV2666" s="92"/>
      <c r="DW2666" s="92"/>
      <c r="DX2666" s="92"/>
      <c r="DY2666" s="92"/>
      <c r="DZ2666" s="92"/>
      <c r="EA2666" s="92"/>
      <c r="EB2666" s="92"/>
      <c r="EC2666" s="92"/>
      <c r="ED2666" s="92"/>
      <c r="EE2666" s="92"/>
      <c r="EF2666" s="92"/>
      <c r="EG2666" s="92"/>
      <c r="EH2666" s="92"/>
      <c r="EI2666" s="92"/>
      <c r="EJ2666" s="92"/>
      <c r="EK2666" s="92"/>
      <c r="EL2666" s="92"/>
      <c r="EM2666" s="92"/>
      <c r="EN2666" s="92"/>
      <c r="EO2666" s="92"/>
      <c r="EP2666" s="92"/>
      <c r="EQ2666" s="92"/>
      <c r="ER2666" s="92"/>
      <c r="ES2666" s="92"/>
      <c r="ET2666" s="92"/>
      <c r="EU2666" s="92"/>
      <c r="EV2666" s="92"/>
      <c r="EW2666" s="92"/>
      <c r="EX2666" s="92"/>
      <c r="EY2666" s="92"/>
      <c r="EZ2666" s="92"/>
      <c r="FA2666" s="92"/>
      <c r="FB2666" s="92"/>
      <c r="FC2666" s="92"/>
      <c r="FD2666" s="92"/>
      <c r="FE2666" s="92"/>
      <c r="FF2666" s="92"/>
      <c r="FG2666" s="92"/>
      <c r="FH2666" s="92"/>
      <c r="FI2666" s="92"/>
      <c r="FJ2666" s="92"/>
      <c r="FK2666" s="92"/>
      <c r="FL2666" s="92"/>
      <c r="FM2666" s="92"/>
      <c r="FN2666" s="92"/>
      <c r="FO2666" s="92"/>
      <c r="FP2666" s="92"/>
      <c r="FQ2666" s="92"/>
      <c r="FR2666" s="92"/>
      <c r="FS2666" s="92"/>
      <c r="FT2666" s="92"/>
      <c r="FU2666" s="92"/>
      <c r="FV2666" s="92"/>
      <c r="FW2666" s="92"/>
      <c r="FX2666" s="92"/>
      <c r="FY2666" s="92"/>
      <c r="FZ2666" s="92"/>
      <c r="GA2666" s="92"/>
      <c r="GB2666" s="92"/>
      <c r="GC2666" s="92"/>
      <c r="GD2666" s="92"/>
      <c r="GE2666" s="92"/>
      <c r="GF2666" s="92"/>
      <c r="GG2666" s="92"/>
      <c r="GH2666" s="92"/>
      <c r="GI2666" s="92"/>
      <c r="GJ2666" s="92"/>
      <c r="GK2666" s="92"/>
      <c r="GL2666" s="92"/>
      <c r="GM2666" s="92"/>
      <c r="GN2666" s="92"/>
      <c r="GO2666" s="92"/>
      <c r="GP2666" s="92"/>
      <c r="GQ2666" s="92"/>
      <c r="GR2666" s="92"/>
      <c r="GS2666" s="92"/>
      <c r="GT2666" s="92"/>
      <c r="GU2666" s="92"/>
      <c r="GV2666" s="92"/>
      <c r="GW2666" s="92"/>
      <c r="GX2666" s="92"/>
      <c r="GY2666" s="92"/>
      <c r="GZ2666" s="92"/>
      <c r="HA2666" s="92"/>
      <c r="HB2666" s="92"/>
      <c r="HC2666" s="92"/>
      <c r="HD2666" s="92"/>
      <c r="HE2666" s="92"/>
      <c r="HF2666" s="92"/>
      <c r="HG2666" s="92"/>
      <c r="HH2666" s="92"/>
      <c r="HI2666" s="92"/>
      <c r="HJ2666" s="92"/>
      <c r="HK2666" s="92"/>
      <c r="HL2666" s="92"/>
      <c r="HM2666" s="92"/>
      <c r="HN2666" s="92"/>
      <c r="HO2666" s="92"/>
      <c r="HP2666" s="92"/>
      <c r="HQ2666" s="92"/>
    </row>
    <row r="2667" spans="1:225" x14ac:dyDescent="0.35">
      <c r="A2667" s="286"/>
      <c r="B2667" s="286"/>
      <c r="C2667" s="296"/>
      <c r="D2667" s="280"/>
      <c r="E2667" s="286"/>
      <c r="F2667" s="286"/>
      <c r="G2667" s="286"/>
      <c r="H2667" s="116" t="s">
        <v>667</v>
      </c>
      <c r="I2667" s="86">
        <f>D2666*K2667*0.7</f>
        <v>6531796.7400000002</v>
      </c>
      <c r="J2667" s="86">
        <f>I2667/D2666</f>
        <v>3240.3</v>
      </c>
      <c r="K2667" s="86">
        <v>4629</v>
      </c>
      <c r="L2667" s="92"/>
      <c r="M2667" s="92"/>
      <c r="N2667" s="92"/>
      <c r="O2667" s="92"/>
      <c r="P2667" s="92"/>
      <c r="Q2667" s="92"/>
      <c r="R2667" s="92"/>
      <c r="S2667" s="92"/>
      <c r="T2667" s="92"/>
      <c r="U2667" s="92"/>
      <c r="V2667" s="92"/>
      <c r="W2667" s="92"/>
      <c r="X2667" s="92"/>
      <c r="Y2667" s="92"/>
      <c r="Z2667" s="92"/>
      <c r="AA2667" s="92"/>
      <c r="AB2667" s="92"/>
      <c r="AC2667" s="92"/>
      <c r="AD2667" s="92"/>
      <c r="AE2667" s="92"/>
      <c r="AF2667" s="92"/>
      <c r="AG2667" s="92"/>
      <c r="AH2667" s="92"/>
      <c r="AI2667" s="92"/>
      <c r="AJ2667" s="92"/>
      <c r="AK2667" s="92"/>
      <c r="AL2667" s="92"/>
      <c r="AM2667" s="92"/>
      <c r="AN2667" s="92"/>
      <c r="AO2667" s="92"/>
      <c r="AP2667" s="92"/>
      <c r="AQ2667" s="92"/>
      <c r="AR2667" s="92"/>
      <c r="AS2667" s="92"/>
      <c r="AT2667" s="92"/>
      <c r="AU2667" s="92"/>
      <c r="AV2667" s="92"/>
      <c r="AW2667" s="92"/>
      <c r="AX2667" s="92"/>
      <c r="AY2667" s="92"/>
      <c r="AZ2667" s="92"/>
      <c r="BA2667" s="92"/>
      <c r="BB2667" s="92"/>
      <c r="BC2667" s="92"/>
      <c r="BD2667" s="92"/>
      <c r="BE2667" s="92"/>
      <c r="BF2667" s="92"/>
      <c r="BG2667" s="92"/>
      <c r="BH2667" s="92"/>
      <c r="BI2667" s="92"/>
      <c r="BJ2667" s="92"/>
      <c r="BK2667" s="92"/>
      <c r="BL2667" s="92"/>
      <c r="BM2667" s="92"/>
      <c r="BN2667" s="92"/>
      <c r="BO2667" s="92"/>
      <c r="BP2667" s="92"/>
      <c r="BQ2667" s="92"/>
      <c r="BR2667" s="92"/>
      <c r="BS2667" s="92"/>
      <c r="BT2667" s="92"/>
      <c r="BU2667" s="92"/>
      <c r="BV2667" s="92"/>
      <c r="BW2667" s="92"/>
      <c r="BX2667" s="92"/>
      <c r="BY2667" s="92"/>
      <c r="BZ2667" s="92"/>
      <c r="CA2667" s="92"/>
      <c r="CB2667" s="92"/>
      <c r="CC2667" s="92"/>
      <c r="CD2667" s="92"/>
      <c r="CE2667" s="92"/>
      <c r="CF2667" s="92"/>
      <c r="CG2667" s="92"/>
      <c r="CH2667" s="92"/>
      <c r="CI2667" s="92"/>
      <c r="CJ2667" s="92"/>
      <c r="CK2667" s="92"/>
      <c r="CL2667" s="92"/>
      <c r="CM2667" s="92"/>
      <c r="CN2667" s="92"/>
      <c r="CO2667" s="92"/>
      <c r="CP2667" s="92"/>
      <c r="CQ2667" s="92"/>
      <c r="CR2667" s="92"/>
      <c r="CS2667" s="92"/>
      <c r="CT2667" s="92"/>
      <c r="CU2667" s="92"/>
      <c r="CV2667" s="92"/>
      <c r="CW2667" s="92"/>
      <c r="CX2667" s="92"/>
      <c r="CY2667" s="92"/>
      <c r="CZ2667" s="92"/>
      <c r="DA2667" s="92"/>
      <c r="DB2667" s="92"/>
      <c r="DC2667" s="92"/>
      <c r="DD2667" s="92"/>
      <c r="DE2667" s="92"/>
      <c r="DF2667" s="92"/>
      <c r="DG2667" s="92"/>
      <c r="DH2667" s="92"/>
      <c r="DI2667" s="92"/>
      <c r="DJ2667" s="92"/>
      <c r="DK2667" s="92"/>
      <c r="DL2667" s="92"/>
      <c r="DM2667" s="92"/>
      <c r="DN2667" s="92"/>
      <c r="DO2667" s="92"/>
      <c r="DP2667" s="92"/>
      <c r="DQ2667" s="92"/>
      <c r="DR2667" s="92"/>
      <c r="DS2667" s="92"/>
      <c r="DT2667" s="92"/>
      <c r="DU2667" s="92"/>
      <c r="DV2667" s="92"/>
      <c r="DW2667" s="92"/>
      <c r="DX2667" s="92"/>
      <c r="DY2667" s="92"/>
      <c r="DZ2667" s="92"/>
      <c r="EA2667" s="92"/>
      <c r="EB2667" s="92"/>
      <c r="EC2667" s="92"/>
      <c r="ED2667" s="92"/>
      <c r="EE2667" s="92"/>
      <c r="EF2667" s="92"/>
      <c r="EG2667" s="92"/>
      <c r="EH2667" s="92"/>
      <c r="EI2667" s="92"/>
      <c r="EJ2667" s="92"/>
      <c r="EK2667" s="92"/>
      <c r="EL2667" s="92"/>
      <c r="EM2667" s="92"/>
      <c r="EN2667" s="92"/>
      <c r="EO2667" s="92"/>
      <c r="EP2667" s="92"/>
      <c r="EQ2667" s="92"/>
      <c r="ER2667" s="92"/>
      <c r="ES2667" s="92"/>
      <c r="ET2667" s="92"/>
      <c r="EU2667" s="92"/>
      <c r="EV2667" s="92"/>
      <c r="EW2667" s="92"/>
      <c r="EX2667" s="92"/>
      <c r="EY2667" s="92"/>
      <c r="EZ2667" s="92"/>
      <c r="FA2667" s="92"/>
      <c r="FB2667" s="92"/>
      <c r="FC2667" s="92"/>
      <c r="FD2667" s="92"/>
      <c r="FE2667" s="92"/>
      <c r="FF2667" s="92"/>
      <c r="FG2667" s="92"/>
      <c r="FH2667" s="92"/>
      <c r="FI2667" s="92"/>
      <c r="FJ2667" s="92"/>
      <c r="FK2667" s="92"/>
      <c r="FL2667" s="92"/>
      <c r="FM2667" s="92"/>
      <c r="FN2667" s="92"/>
      <c r="FO2667" s="92"/>
      <c r="FP2667" s="92"/>
      <c r="FQ2667" s="92"/>
      <c r="FR2667" s="92"/>
      <c r="FS2667" s="92"/>
      <c r="FT2667" s="92"/>
      <c r="FU2667" s="92"/>
      <c r="FV2667" s="92"/>
      <c r="FW2667" s="92"/>
      <c r="FX2667" s="92"/>
      <c r="FY2667" s="92"/>
      <c r="FZ2667" s="92"/>
      <c r="GA2667" s="92"/>
      <c r="GB2667" s="92"/>
      <c r="GC2667" s="92"/>
      <c r="GD2667" s="92"/>
      <c r="GE2667" s="92"/>
      <c r="GF2667" s="92"/>
      <c r="GG2667" s="92"/>
      <c r="GH2667" s="92"/>
      <c r="GI2667" s="92"/>
      <c r="GJ2667" s="92"/>
      <c r="GK2667" s="92"/>
      <c r="GL2667" s="92"/>
      <c r="GM2667" s="92"/>
      <c r="GN2667" s="92"/>
      <c r="GO2667" s="92"/>
      <c r="GP2667" s="92"/>
      <c r="GQ2667" s="92"/>
      <c r="GR2667" s="92"/>
      <c r="GS2667" s="92"/>
      <c r="GT2667" s="92"/>
      <c r="GU2667" s="92"/>
      <c r="GV2667" s="92"/>
      <c r="GW2667" s="92"/>
      <c r="GX2667" s="92"/>
      <c r="GY2667" s="92"/>
      <c r="GZ2667" s="92"/>
      <c r="HA2667" s="92"/>
      <c r="HB2667" s="92"/>
      <c r="HC2667" s="92"/>
      <c r="HD2667" s="92"/>
      <c r="HE2667" s="92"/>
      <c r="HF2667" s="92"/>
      <c r="HG2667" s="92"/>
      <c r="HH2667" s="92"/>
      <c r="HI2667" s="92"/>
      <c r="HJ2667" s="92"/>
      <c r="HK2667" s="92"/>
      <c r="HL2667" s="92"/>
      <c r="HM2667" s="92"/>
      <c r="HN2667" s="92"/>
      <c r="HO2667" s="92"/>
      <c r="HP2667" s="92"/>
      <c r="HQ2667" s="92"/>
    </row>
    <row r="2668" spans="1:225" x14ac:dyDescent="0.35">
      <c r="A2668" s="287"/>
      <c r="B2668" s="287"/>
      <c r="C2668" s="297"/>
      <c r="D2668" s="281"/>
      <c r="E2668" s="287"/>
      <c r="F2668" s="287"/>
      <c r="G2668" s="287"/>
      <c r="H2668" s="116" t="s">
        <v>76</v>
      </c>
      <c r="I2668" s="86">
        <v>0</v>
      </c>
      <c r="J2668" s="86">
        <v>0</v>
      </c>
      <c r="K2668" s="86">
        <v>99</v>
      </c>
      <c r="L2668" s="92"/>
      <c r="M2668" s="92"/>
      <c r="N2668" s="92"/>
      <c r="O2668" s="92"/>
      <c r="P2668" s="92"/>
      <c r="Q2668" s="92"/>
      <c r="R2668" s="92"/>
      <c r="S2668" s="92"/>
      <c r="T2668" s="92"/>
      <c r="U2668" s="92"/>
      <c r="V2668" s="92"/>
      <c r="W2668" s="92"/>
      <c r="X2668" s="92"/>
      <c r="Y2668" s="92"/>
      <c r="Z2668" s="92"/>
      <c r="AA2668" s="92"/>
      <c r="AB2668" s="92"/>
      <c r="AC2668" s="92"/>
      <c r="AD2668" s="92"/>
      <c r="AE2668" s="92"/>
      <c r="AF2668" s="92"/>
      <c r="AG2668" s="92"/>
      <c r="AH2668" s="92"/>
      <c r="AI2668" s="92"/>
      <c r="AJ2668" s="92"/>
      <c r="AK2668" s="92"/>
      <c r="AL2668" s="92"/>
      <c r="AM2668" s="92"/>
      <c r="AN2668" s="92"/>
      <c r="AO2668" s="92"/>
      <c r="AP2668" s="92"/>
      <c r="AQ2668" s="92"/>
      <c r="AR2668" s="92"/>
      <c r="AS2668" s="92"/>
      <c r="AT2668" s="92"/>
      <c r="AU2668" s="92"/>
      <c r="AV2668" s="92"/>
      <c r="AW2668" s="92"/>
      <c r="AX2668" s="92"/>
      <c r="AY2668" s="92"/>
      <c r="AZ2668" s="92"/>
      <c r="BA2668" s="92"/>
      <c r="BB2668" s="92"/>
      <c r="BC2668" s="92"/>
      <c r="BD2668" s="92"/>
      <c r="BE2668" s="92"/>
      <c r="BF2668" s="92"/>
      <c r="BG2668" s="92"/>
      <c r="BH2668" s="92"/>
      <c r="BI2668" s="92"/>
      <c r="BJ2668" s="92"/>
      <c r="BK2668" s="92"/>
      <c r="BL2668" s="92"/>
      <c r="BM2668" s="92"/>
      <c r="BN2668" s="92"/>
      <c r="BO2668" s="92"/>
      <c r="BP2668" s="92"/>
      <c r="BQ2668" s="92"/>
      <c r="BR2668" s="92"/>
      <c r="BS2668" s="92"/>
      <c r="BT2668" s="92"/>
      <c r="BU2668" s="92"/>
      <c r="BV2668" s="92"/>
      <c r="BW2668" s="92"/>
      <c r="BX2668" s="92"/>
      <c r="BY2668" s="92"/>
      <c r="BZ2668" s="92"/>
      <c r="CA2668" s="92"/>
      <c r="CB2668" s="92"/>
      <c r="CC2668" s="92"/>
      <c r="CD2668" s="92"/>
      <c r="CE2668" s="92"/>
      <c r="CF2668" s="92"/>
      <c r="CG2668" s="92"/>
      <c r="CH2668" s="92"/>
      <c r="CI2668" s="92"/>
      <c r="CJ2668" s="92"/>
      <c r="CK2668" s="92"/>
      <c r="CL2668" s="92"/>
      <c r="CM2668" s="92"/>
      <c r="CN2668" s="92"/>
      <c r="CO2668" s="92"/>
      <c r="CP2668" s="92"/>
      <c r="CQ2668" s="92"/>
      <c r="CR2668" s="92"/>
      <c r="CS2668" s="92"/>
      <c r="CT2668" s="92"/>
      <c r="CU2668" s="92"/>
      <c r="CV2668" s="92"/>
      <c r="CW2668" s="92"/>
      <c r="CX2668" s="92"/>
      <c r="CY2668" s="92"/>
      <c r="CZ2668" s="92"/>
      <c r="DA2668" s="92"/>
      <c r="DB2668" s="92"/>
      <c r="DC2668" s="92"/>
      <c r="DD2668" s="92"/>
      <c r="DE2668" s="92"/>
      <c r="DF2668" s="92"/>
      <c r="DG2668" s="92"/>
      <c r="DH2668" s="92"/>
      <c r="DI2668" s="92"/>
      <c r="DJ2668" s="92"/>
      <c r="DK2668" s="92"/>
      <c r="DL2668" s="92"/>
      <c r="DM2668" s="92"/>
      <c r="DN2668" s="92"/>
      <c r="DO2668" s="92"/>
      <c r="DP2668" s="92"/>
      <c r="DQ2668" s="92"/>
      <c r="DR2668" s="92"/>
      <c r="DS2668" s="92"/>
      <c r="DT2668" s="92"/>
      <c r="DU2668" s="92"/>
      <c r="DV2668" s="92"/>
      <c r="DW2668" s="92"/>
      <c r="DX2668" s="92"/>
      <c r="DY2668" s="92"/>
      <c r="DZ2668" s="92"/>
      <c r="EA2668" s="92"/>
      <c r="EB2668" s="92"/>
      <c r="EC2668" s="92"/>
      <c r="ED2668" s="92"/>
      <c r="EE2668" s="92"/>
      <c r="EF2668" s="92"/>
      <c r="EG2668" s="92"/>
      <c r="EH2668" s="92"/>
      <c r="EI2668" s="92"/>
      <c r="EJ2668" s="92"/>
      <c r="EK2668" s="92"/>
      <c r="EL2668" s="92"/>
      <c r="EM2668" s="92"/>
      <c r="EN2668" s="92"/>
      <c r="EO2668" s="92"/>
      <c r="EP2668" s="92"/>
      <c r="EQ2668" s="92"/>
      <c r="ER2668" s="92"/>
      <c r="ES2668" s="92"/>
      <c r="ET2668" s="92"/>
      <c r="EU2668" s="92"/>
      <c r="EV2668" s="92"/>
      <c r="EW2668" s="92"/>
      <c r="EX2668" s="92"/>
      <c r="EY2668" s="92"/>
      <c r="EZ2668" s="92"/>
      <c r="FA2668" s="92"/>
      <c r="FB2668" s="92"/>
      <c r="FC2668" s="92"/>
      <c r="FD2668" s="92"/>
      <c r="FE2668" s="92"/>
      <c r="FF2668" s="92"/>
      <c r="FG2668" s="92"/>
      <c r="FH2668" s="92"/>
      <c r="FI2668" s="92"/>
      <c r="FJ2668" s="92"/>
      <c r="FK2668" s="92"/>
      <c r="FL2668" s="92"/>
      <c r="FM2668" s="92"/>
      <c r="FN2668" s="92"/>
      <c r="FO2668" s="92"/>
      <c r="FP2668" s="92"/>
      <c r="FQ2668" s="92"/>
      <c r="FR2668" s="92"/>
      <c r="FS2668" s="92"/>
      <c r="FT2668" s="92"/>
      <c r="FU2668" s="92"/>
      <c r="FV2668" s="92"/>
      <c r="FW2668" s="92"/>
      <c r="FX2668" s="92"/>
      <c r="FY2668" s="92"/>
      <c r="FZ2668" s="92"/>
      <c r="GA2668" s="92"/>
      <c r="GB2668" s="92"/>
      <c r="GC2668" s="92"/>
      <c r="GD2668" s="92"/>
      <c r="GE2668" s="92"/>
      <c r="GF2668" s="92"/>
      <c r="GG2668" s="92"/>
      <c r="GH2668" s="92"/>
      <c r="GI2668" s="92"/>
      <c r="GJ2668" s="92"/>
      <c r="GK2668" s="92"/>
      <c r="GL2668" s="92"/>
      <c r="GM2668" s="92"/>
      <c r="GN2668" s="92"/>
      <c r="GO2668" s="92"/>
      <c r="GP2668" s="92"/>
      <c r="GQ2668" s="92"/>
      <c r="GR2668" s="92"/>
      <c r="GS2668" s="92"/>
      <c r="GT2668" s="92"/>
      <c r="GU2668" s="92"/>
      <c r="GV2668" s="92"/>
      <c r="GW2668" s="92"/>
      <c r="GX2668" s="92"/>
      <c r="GY2668" s="92"/>
      <c r="GZ2668" s="92"/>
      <c r="HA2668" s="92"/>
      <c r="HB2668" s="92"/>
      <c r="HC2668" s="92"/>
      <c r="HD2668" s="92"/>
      <c r="HE2668" s="92"/>
      <c r="HF2668" s="92"/>
      <c r="HG2668" s="92"/>
      <c r="HH2668" s="92"/>
      <c r="HI2668" s="92"/>
      <c r="HJ2668" s="92"/>
      <c r="HK2668" s="92"/>
      <c r="HL2668" s="92"/>
      <c r="HM2668" s="92"/>
      <c r="HN2668" s="92"/>
      <c r="HO2668" s="92"/>
      <c r="HP2668" s="92"/>
      <c r="HQ2668" s="92"/>
    </row>
    <row r="2669" spans="1:225" s="107" customFormat="1" ht="15.75" customHeight="1" x14ac:dyDescent="0.35">
      <c r="A2669" s="308">
        <f>A2666+1</f>
        <v>18</v>
      </c>
      <c r="B2669" s="308">
        <v>6407</v>
      </c>
      <c r="C2669" s="301" t="s">
        <v>739</v>
      </c>
      <c r="D2669" s="274">
        <v>2722</v>
      </c>
      <c r="E2669" s="274" t="s">
        <v>71</v>
      </c>
      <c r="F2669" s="334">
        <v>5</v>
      </c>
      <c r="G2669" s="308" t="s">
        <v>72</v>
      </c>
      <c r="H2669" s="116" t="s">
        <v>73</v>
      </c>
      <c r="I2669" s="86">
        <f>I2670</f>
        <v>446408</v>
      </c>
      <c r="J2669" s="86">
        <f>J2670</f>
        <v>164</v>
      </c>
      <c r="K2669" s="86">
        <f>K2670</f>
        <v>164</v>
      </c>
    </row>
    <row r="2670" spans="1:225" s="107" customFormat="1" ht="46.5" x14ac:dyDescent="0.35">
      <c r="A2670" s="308">
        <v>65</v>
      </c>
      <c r="B2670" s="308"/>
      <c r="C2670" s="301"/>
      <c r="D2670" s="274"/>
      <c r="E2670" s="274"/>
      <c r="F2670" s="334"/>
      <c r="G2670" s="308"/>
      <c r="H2670" s="159" t="s">
        <v>705</v>
      </c>
      <c r="I2670" s="86">
        <f>D2669*K2670</f>
        <v>446408</v>
      </c>
      <c r="J2670" s="86">
        <f>I2670/D2669</f>
        <v>164</v>
      </c>
      <c r="K2670" s="86">
        <f>151+13</f>
        <v>164</v>
      </c>
    </row>
    <row r="2671" spans="1:225" s="107" customFormat="1" ht="15.75" customHeight="1" x14ac:dyDescent="0.35">
      <c r="A2671" s="308">
        <f>A2669+1</f>
        <v>19</v>
      </c>
      <c r="B2671" s="308">
        <v>6413</v>
      </c>
      <c r="C2671" s="301" t="s">
        <v>740</v>
      </c>
      <c r="D2671" s="274">
        <v>8338.86</v>
      </c>
      <c r="E2671" s="274" t="s">
        <v>71</v>
      </c>
      <c r="F2671" s="334">
        <v>5</v>
      </c>
      <c r="G2671" s="308" t="s">
        <v>72</v>
      </c>
      <c r="H2671" s="116" t="s">
        <v>73</v>
      </c>
      <c r="I2671" s="86">
        <f>I2672</f>
        <v>1367573.04</v>
      </c>
      <c r="J2671" s="86">
        <f>J2672</f>
        <v>164</v>
      </c>
      <c r="K2671" s="86">
        <f>K2672</f>
        <v>164</v>
      </c>
    </row>
    <row r="2672" spans="1:225" s="107" customFormat="1" ht="46.5" x14ac:dyDescent="0.35">
      <c r="A2672" s="308">
        <v>65</v>
      </c>
      <c r="B2672" s="308"/>
      <c r="C2672" s="301"/>
      <c r="D2672" s="274"/>
      <c r="E2672" s="274"/>
      <c r="F2672" s="334"/>
      <c r="G2672" s="308"/>
      <c r="H2672" s="159" t="s">
        <v>705</v>
      </c>
      <c r="I2672" s="86">
        <f>D2671*K2672</f>
        <v>1367573.04</v>
      </c>
      <c r="J2672" s="86">
        <f>I2672/D2671</f>
        <v>164</v>
      </c>
      <c r="K2672" s="86">
        <f>151+13</f>
        <v>164</v>
      </c>
    </row>
    <row r="2673" spans="1:225" ht="15.75" customHeight="1" x14ac:dyDescent="0.35">
      <c r="A2673" s="285">
        <f>A2671+1</f>
        <v>20</v>
      </c>
      <c r="B2673" s="285">
        <v>6447</v>
      </c>
      <c r="C2673" s="295" t="s">
        <v>523</v>
      </c>
      <c r="D2673" s="279">
        <v>4297.8</v>
      </c>
      <c r="E2673" s="285" t="s">
        <v>75</v>
      </c>
      <c r="F2673" s="285">
        <v>4</v>
      </c>
      <c r="G2673" s="285" t="s">
        <v>72</v>
      </c>
      <c r="H2673" s="116" t="s">
        <v>73</v>
      </c>
      <c r="I2673" s="86">
        <f>I2674+I2675</f>
        <v>19894516.199999999</v>
      </c>
      <c r="J2673" s="86">
        <f>J2674+J2675</f>
        <v>4629</v>
      </c>
      <c r="K2673" s="86">
        <f>K2674+K2675</f>
        <v>4728</v>
      </c>
      <c r="L2673" s="92"/>
      <c r="M2673" s="92"/>
      <c r="N2673" s="92"/>
      <c r="O2673" s="92"/>
      <c r="P2673" s="92"/>
      <c r="Q2673" s="92"/>
      <c r="R2673" s="92"/>
      <c r="S2673" s="92"/>
      <c r="T2673" s="92"/>
      <c r="U2673" s="92"/>
      <c r="V2673" s="92"/>
      <c r="W2673" s="92"/>
      <c r="X2673" s="92"/>
      <c r="Y2673" s="92"/>
      <c r="Z2673" s="92"/>
      <c r="AA2673" s="92"/>
      <c r="AB2673" s="92"/>
      <c r="AC2673" s="92"/>
      <c r="AD2673" s="92"/>
      <c r="AE2673" s="92"/>
      <c r="AF2673" s="92"/>
      <c r="AG2673" s="92"/>
      <c r="AH2673" s="92"/>
      <c r="AI2673" s="92"/>
      <c r="AJ2673" s="92"/>
      <c r="AK2673" s="92"/>
      <c r="AL2673" s="92"/>
      <c r="AM2673" s="92"/>
      <c r="AN2673" s="92"/>
      <c r="AO2673" s="92"/>
      <c r="AP2673" s="92"/>
      <c r="AQ2673" s="92"/>
      <c r="AR2673" s="92"/>
      <c r="AS2673" s="92"/>
      <c r="AT2673" s="92"/>
      <c r="AU2673" s="92"/>
      <c r="AV2673" s="92"/>
      <c r="AW2673" s="92"/>
      <c r="AX2673" s="92"/>
      <c r="AY2673" s="92"/>
      <c r="AZ2673" s="92"/>
      <c r="BA2673" s="92"/>
      <c r="BB2673" s="92"/>
      <c r="BC2673" s="92"/>
      <c r="BD2673" s="92"/>
      <c r="BE2673" s="92"/>
      <c r="BF2673" s="92"/>
      <c r="BG2673" s="92"/>
      <c r="BH2673" s="92"/>
      <c r="BI2673" s="92"/>
      <c r="BJ2673" s="92"/>
      <c r="BK2673" s="92"/>
      <c r="BL2673" s="92"/>
      <c r="BM2673" s="92"/>
      <c r="BN2673" s="92"/>
      <c r="BO2673" s="92"/>
      <c r="BP2673" s="92"/>
      <c r="BQ2673" s="92"/>
      <c r="BR2673" s="92"/>
      <c r="BS2673" s="92"/>
      <c r="BT2673" s="92"/>
      <c r="BU2673" s="92"/>
      <c r="BV2673" s="92"/>
      <c r="BW2673" s="92"/>
      <c r="BX2673" s="92"/>
      <c r="BY2673" s="92"/>
      <c r="BZ2673" s="92"/>
      <c r="CA2673" s="92"/>
      <c r="CB2673" s="92"/>
      <c r="CC2673" s="92"/>
      <c r="CD2673" s="92"/>
      <c r="CE2673" s="92"/>
      <c r="CF2673" s="92"/>
      <c r="CG2673" s="92"/>
      <c r="CH2673" s="92"/>
      <c r="CI2673" s="92"/>
      <c r="CJ2673" s="92"/>
      <c r="CK2673" s="92"/>
      <c r="CL2673" s="92"/>
      <c r="CM2673" s="92"/>
      <c r="CN2673" s="92"/>
      <c r="CO2673" s="92"/>
      <c r="CP2673" s="92"/>
      <c r="CQ2673" s="92"/>
      <c r="CR2673" s="92"/>
      <c r="CS2673" s="92"/>
      <c r="CT2673" s="92"/>
      <c r="CU2673" s="92"/>
      <c r="CV2673" s="92"/>
      <c r="CW2673" s="92"/>
      <c r="CX2673" s="92"/>
      <c r="CY2673" s="92"/>
      <c r="CZ2673" s="92"/>
      <c r="DA2673" s="92"/>
      <c r="DB2673" s="92"/>
      <c r="DC2673" s="92"/>
      <c r="DD2673" s="92"/>
      <c r="DE2673" s="92"/>
      <c r="DF2673" s="92"/>
      <c r="DG2673" s="92"/>
      <c r="DH2673" s="92"/>
      <c r="DI2673" s="92"/>
      <c r="DJ2673" s="92"/>
      <c r="DK2673" s="92"/>
      <c r="DL2673" s="92"/>
      <c r="DM2673" s="92"/>
      <c r="DN2673" s="92"/>
      <c r="DO2673" s="92"/>
      <c r="DP2673" s="92"/>
      <c r="DQ2673" s="92"/>
      <c r="DR2673" s="92"/>
      <c r="DS2673" s="92"/>
      <c r="DT2673" s="92"/>
      <c r="DU2673" s="92"/>
      <c r="DV2673" s="92"/>
      <c r="DW2673" s="92"/>
      <c r="DX2673" s="92"/>
      <c r="DY2673" s="92"/>
      <c r="DZ2673" s="92"/>
      <c r="EA2673" s="92"/>
      <c r="EB2673" s="92"/>
      <c r="EC2673" s="92"/>
      <c r="ED2673" s="92"/>
      <c r="EE2673" s="92"/>
      <c r="EF2673" s="92"/>
      <c r="EG2673" s="92"/>
      <c r="EH2673" s="92"/>
      <c r="EI2673" s="92"/>
      <c r="EJ2673" s="92"/>
      <c r="EK2673" s="92"/>
      <c r="EL2673" s="92"/>
      <c r="EM2673" s="92"/>
      <c r="EN2673" s="92"/>
      <c r="EO2673" s="92"/>
      <c r="EP2673" s="92"/>
      <c r="EQ2673" s="92"/>
      <c r="ER2673" s="92"/>
      <c r="ES2673" s="92"/>
      <c r="ET2673" s="92"/>
      <c r="EU2673" s="92"/>
      <c r="EV2673" s="92"/>
      <c r="EW2673" s="92"/>
      <c r="EX2673" s="92"/>
      <c r="EY2673" s="92"/>
      <c r="EZ2673" s="92"/>
      <c r="FA2673" s="92"/>
      <c r="FB2673" s="92"/>
      <c r="FC2673" s="92"/>
      <c r="FD2673" s="92"/>
      <c r="FE2673" s="92"/>
      <c r="FF2673" s="92"/>
      <c r="FG2673" s="92"/>
      <c r="FH2673" s="92"/>
      <c r="FI2673" s="92"/>
      <c r="FJ2673" s="92"/>
      <c r="FK2673" s="92"/>
      <c r="FL2673" s="92"/>
      <c r="FM2673" s="92"/>
      <c r="FN2673" s="92"/>
      <c r="FO2673" s="92"/>
      <c r="FP2673" s="92"/>
      <c r="FQ2673" s="92"/>
      <c r="FR2673" s="92"/>
      <c r="FS2673" s="92"/>
      <c r="FT2673" s="92"/>
      <c r="FU2673" s="92"/>
      <c r="FV2673" s="92"/>
      <c r="FW2673" s="92"/>
      <c r="FX2673" s="92"/>
      <c r="FY2673" s="92"/>
      <c r="FZ2673" s="92"/>
      <c r="GA2673" s="92"/>
      <c r="GB2673" s="92"/>
      <c r="GC2673" s="92"/>
      <c r="GD2673" s="92"/>
      <c r="GE2673" s="92"/>
      <c r="GF2673" s="92"/>
      <c r="GG2673" s="92"/>
      <c r="GH2673" s="92"/>
      <c r="GI2673" s="92"/>
      <c r="GJ2673" s="92"/>
      <c r="GK2673" s="92"/>
      <c r="GL2673" s="92"/>
      <c r="GM2673" s="92"/>
      <c r="GN2673" s="92"/>
      <c r="GO2673" s="92"/>
      <c r="GP2673" s="92"/>
      <c r="GQ2673" s="92"/>
      <c r="GR2673" s="92"/>
      <c r="GS2673" s="92"/>
      <c r="GT2673" s="92"/>
      <c r="GU2673" s="92"/>
      <c r="GV2673" s="92"/>
      <c r="GW2673" s="92"/>
      <c r="GX2673" s="92"/>
      <c r="GY2673" s="92"/>
      <c r="GZ2673" s="92"/>
      <c r="HA2673" s="92"/>
      <c r="HB2673" s="92"/>
      <c r="HC2673" s="92"/>
      <c r="HD2673" s="92"/>
      <c r="HE2673" s="92"/>
      <c r="HF2673" s="92"/>
      <c r="HG2673" s="92"/>
      <c r="HH2673" s="92"/>
      <c r="HI2673" s="92"/>
      <c r="HJ2673" s="92"/>
      <c r="HK2673" s="92"/>
      <c r="HL2673" s="92"/>
      <c r="HM2673" s="92"/>
      <c r="HN2673" s="92"/>
      <c r="HO2673" s="92"/>
      <c r="HP2673" s="92"/>
      <c r="HQ2673" s="92"/>
    </row>
    <row r="2674" spans="1:225" x14ac:dyDescent="0.35">
      <c r="A2674" s="286"/>
      <c r="B2674" s="286"/>
      <c r="C2674" s="296"/>
      <c r="D2674" s="280"/>
      <c r="E2674" s="286"/>
      <c r="F2674" s="286"/>
      <c r="G2674" s="286"/>
      <c r="H2674" s="116" t="s">
        <v>667</v>
      </c>
      <c r="I2674" s="86">
        <f>D2673*K2674</f>
        <v>19894516.199999999</v>
      </c>
      <c r="J2674" s="86">
        <f>I2674/D2673</f>
        <v>4629</v>
      </c>
      <c r="K2674" s="86">
        <v>4629</v>
      </c>
      <c r="L2674" s="92"/>
      <c r="M2674" s="92"/>
      <c r="N2674" s="92"/>
      <c r="O2674" s="92"/>
      <c r="P2674" s="92"/>
      <c r="Q2674" s="92"/>
      <c r="R2674" s="92"/>
      <c r="S2674" s="92"/>
      <c r="T2674" s="92"/>
      <c r="U2674" s="92"/>
      <c r="V2674" s="92"/>
      <c r="W2674" s="92"/>
      <c r="X2674" s="92"/>
      <c r="Y2674" s="92"/>
      <c r="Z2674" s="92"/>
      <c r="AA2674" s="92"/>
      <c r="AB2674" s="92"/>
      <c r="AC2674" s="92"/>
      <c r="AD2674" s="92"/>
      <c r="AE2674" s="92"/>
      <c r="AF2674" s="92"/>
      <c r="AG2674" s="92"/>
      <c r="AH2674" s="92"/>
      <c r="AI2674" s="92"/>
      <c r="AJ2674" s="92"/>
      <c r="AK2674" s="92"/>
      <c r="AL2674" s="92"/>
      <c r="AM2674" s="92"/>
      <c r="AN2674" s="92"/>
      <c r="AO2674" s="92"/>
      <c r="AP2674" s="92"/>
      <c r="AQ2674" s="92"/>
      <c r="AR2674" s="92"/>
      <c r="AS2674" s="92"/>
      <c r="AT2674" s="92"/>
      <c r="AU2674" s="92"/>
      <c r="AV2674" s="92"/>
      <c r="AW2674" s="92"/>
      <c r="AX2674" s="92"/>
      <c r="AY2674" s="92"/>
      <c r="AZ2674" s="92"/>
      <c r="BA2674" s="92"/>
      <c r="BB2674" s="92"/>
      <c r="BC2674" s="92"/>
      <c r="BD2674" s="92"/>
      <c r="BE2674" s="92"/>
      <c r="BF2674" s="92"/>
      <c r="BG2674" s="92"/>
      <c r="BH2674" s="92"/>
      <c r="BI2674" s="92"/>
      <c r="BJ2674" s="92"/>
      <c r="BK2674" s="92"/>
      <c r="BL2674" s="92"/>
      <c r="BM2674" s="92"/>
      <c r="BN2674" s="92"/>
      <c r="BO2674" s="92"/>
      <c r="BP2674" s="92"/>
      <c r="BQ2674" s="92"/>
      <c r="BR2674" s="92"/>
      <c r="BS2674" s="92"/>
      <c r="BT2674" s="92"/>
      <c r="BU2674" s="92"/>
      <c r="BV2674" s="92"/>
      <c r="BW2674" s="92"/>
      <c r="BX2674" s="92"/>
      <c r="BY2674" s="92"/>
      <c r="BZ2674" s="92"/>
      <c r="CA2674" s="92"/>
      <c r="CB2674" s="92"/>
      <c r="CC2674" s="92"/>
      <c r="CD2674" s="92"/>
      <c r="CE2674" s="92"/>
      <c r="CF2674" s="92"/>
      <c r="CG2674" s="92"/>
      <c r="CH2674" s="92"/>
      <c r="CI2674" s="92"/>
      <c r="CJ2674" s="92"/>
      <c r="CK2674" s="92"/>
      <c r="CL2674" s="92"/>
      <c r="CM2674" s="92"/>
      <c r="CN2674" s="92"/>
      <c r="CO2674" s="92"/>
      <c r="CP2674" s="92"/>
      <c r="CQ2674" s="92"/>
      <c r="CR2674" s="92"/>
      <c r="CS2674" s="92"/>
      <c r="CT2674" s="92"/>
      <c r="CU2674" s="92"/>
      <c r="CV2674" s="92"/>
      <c r="CW2674" s="92"/>
      <c r="CX2674" s="92"/>
      <c r="CY2674" s="92"/>
      <c r="CZ2674" s="92"/>
      <c r="DA2674" s="92"/>
      <c r="DB2674" s="92"/>
      <c r="DC2674" s="92"/>
      <c r="DD2674" s="92"/>
      <c r="DE2674" s="92"/>
      <c r="DF2674" s="92"/>
      <c r="DG2674" s="92"/>
      <c r="DH2674" s="92"/>
      <c r="DI2674" s="92"/>
      <c r="DJ2674" s="92"/>
      <c r="DK2674" s="92"/>
      <c r="DL2674" s="92"/>
      <c r="DM2674" s="92"/>
      <c r="DN2674" s="92"/>
      <c r="DO2674" s="92"/>
      <c r="DP2674" s="92"/>
      <c r="DQ2674" s="92"/>
      <c r="DR2674" s="92"/>
      <c r="DS2674" s="92"/>
      <c r="DT2674" s="92"/>
      <c r="DU2674" s="92"/>
      <c r="DV2674" s="92"/>
      <c r="DW2674" s="92"/>
      <c r="DX2674" s="92"/>
      <c r="DY2674" s="92"/>
      <c r="DZ2674" s="92"/>
      <c r="EA2674" s="92"/>
      <c r="EB2674" s="92"/>
      <c r="EC2674" s="92"/>
      <c r="ED2674" s="92"/>
      <c r="EE2674" s="92"/>
      <c r="EF2674" s="92"/>
      <c r="EG2674" s="92"/>
      <c r="EH2674" s="92"/>
      <c r="EI2674" s="92"/>
      <c r="EJ2674" s="92"/>
      <c r="EK2674" s="92"/>
      <c r="EL2674" s="92"/>
      <c r="EM2674" s="92"/>
      <c r="EN2674" s="92"/>
      <c r="EO2674" s="92"/>
      <c r="EP2674" s="92"/>
      <c r="EQ2674" s="92"/>
      <c r="ER2674" s="92"/>
      <c r="ES2674" s="92"/>
      <c r="ET2674" s="92"/>
      <c r="EU2674" s="92"/>
      <c r="EV2674" s="92"/>
      <c r="EW2674" s="92"/>
      <c r="EX2674" s="92"/>
      <c r="EY2674" s="92"/>
      <c r="EZ2674" s="92"/>
      <c r="FA2674" s="92"/>
      <c r="FB2674" s="92"/>
      <c r="FC2674" s="92"/>
      <c r="FD2674" s="92"/>
      <c r="FE2674" s="92"/>
      <c r="FF2674" s="92"/>
      <c r="FG2674" s="92"/>
      <c r="FH2674" s="92"/>
      <c r="FI2674" s="92"/>
      <c r="FJ2674" s="92"/>
      <c r="FK2674" s="92"/>
      <c r="FL2674" s="92"/>
      <c r="FM2674" s="92"/>
      <c r="FN2674" s="92"/>
      <c r="FO2674" s="92"/>
      <c r="FP2674" s="92"/>
      <c r="FQ2674" s="92"/>
      <c r="FR2674" s="92"/>
      <c r="FS2674" s="92"/>
      <c r="FT2674" s="92"/>
      <c r="FU2674" s="92"/>
      <c r="FV2674" s="92"/>
      <c r="FW2674" s="92"/>
      <c r="FX2674" s="92"/>
      <c r="FY2674" s="92"/>
      <c r="FZ2674" s="92"/>
      <c r="GA2674" s="92"/>
      <c r="GB2674" s="92"/>
      <c r="GC2674" s="92"/>
      <c r="GD2674" s="92"/>
      <c r="GE2674" s="92"/>
      <c r="GF2674" s="92"/>
      <c r="GG2674" s="92"/>
      <c r="GH2674" s="92"/>
      <c r="GI2674" s="92"/>
      <c r="GJ2674" s="92"/>
      <c r="GK2674" s="92"/>
      <c r="GL2674" s="92"/>
      <c r="GM2674" s="92"/>
      <c r="GN2674" s="92"/>
      <c r="GO2674" s="92"/>
      <c r="GP2674" s="92"/>
      <c r="GQ2674" s="92"/>
      <c r="GR2674" s="92"/>
      <c r="GS2674" s="92"/>
      <c r="GT2674" s="92"/>
      <c r="GU2674" s="92"/>
      <c r="GV2674" s="92"/>
      <c r="GW2674" s="92"/>
      <c r="GX2674" s="92"/>
      <c r="GY2674" s="92"/>
      <c r="GZ2674" s="92"/>
      <c r="HA2674" s="92"/>
      <c r="HB2674" s="92"/>
      <c r="HC2674" s="92"/>
      <c r="HD2674" s="92"/>
      <c r="HE2674" s="92"/>
      <c r="HF2674" s="92"/>
      <c r="HG2674" s="92"/>
      <c r="HH2674" s="92"/>
      <c r="HI2674" s="92"/>
      <c r="HJ2674" s="92"/>
      <c r="HK2674" s="92"/>
      <c r="HL2674" s="92"/>
      <c r="HM2674" s="92"/>
      <c r="HN2674" s="92"/>
      <c r="HO2674" s="92"/>
      <c r="HP2674" s="92"/>
      <c r="HQ2674" s="92"/>
    </row>
    <row r="2675" spans="1:225" x14ac:dyDescent="0.35">
      <c r="A2675" s="287"/>
      <c r="B2675" s="287"/>
      <c r="C2675" s="297"/>
      <c r="D2675" s="281"/>
      <c r="E2675" s="287"/>
      <c r="F2675" s="287"/>
      <c r="G2675" s="287"/>
      <c r="H2675" s="116" t="s">
        <v>76</v>
      </c>
      <c r="I2675" s="86">
        <v>0</v>
      </c>
      <c r="J2675" s="86">
        <v>0</v>
      </c>
      <c r="K2675" s="86">
        <v>99</v>
      </c>
      <c r="L2675" s="92"/>
      <c r="M2675" s="92"/>
      <c r="N2675" s="92"/>
      <c r="O2675" s="92"/>
      <c r="P2675" s="92"/>
      <c r="Q2675" s="92"/>
      <c r="R2675" s="92"/>
      <c r="S2675" s="92"/>
      <c r="T2675" s="92"/>
      <c r="U2675" s="92"/>
      <c r="V2675" s="92"/>
      <c r="W2675" s="92"/>
      <c r="X2675" s="92"/>
      <c r="Y2675" s="92"/>
      <c r="Z2675" s="92"/>
      <c r="AA2675" s="92"/>
      <c r="AB2675" s="92"/>
      <c r="AC2675" s="92"/>
      <c r="AD2675" s="92"/>
      <c r="AE2675" s="92"/>
      <c r="AF2675" s="92"/>
      <c r="AG2675" s="92"/>
      <c r="AH2675" s="92"/>
      <c r="AI2675" s="92"/>
      <c r="AJ2675" s="92"/>
      <c r="AK2675" s="92"/>
      <c r="AL2675" s="92"/>
      <c r="AM2675" s="92"/>
      <c r="AN2675" s="92"/>
      <c r="AO2675" s="92"/>
      <c r="AP2675" s="92"/>
      <c r="AQ2675" s="92"/>
      <c r="AR2675" s="92"/>
      <c r="AS2675" s="92"/>
      <c r="AT2675" s="92"/>
      <c r="AU2675" s="92"/>
      <c r="AV2675" s="92"/>
      <c r="AW2675" s="92"/>
      <c r="AX2675" s="92"/>
      <c r="AY2675" s="92"/>
      <c r="AZ2675" s="92"/>
      <c r="BA2675" s="92"/>
      <c r="BB2675" s="92"/>
      <c r="BC2675" s="92"/>
      <c r="BD2675" s="92"/>
      <c r="BE2675" s="92"/>
      <c r="BF2675" s="92"/>
      <c r="BG2675" s="92"/>
      <c r="BH2675" s="92"/>
      <c r="BI2675" s="92"/>
      <c r="BJ2675" s="92"/>
      <c r="BK2675" s="92"/>
      <c r="BL2675" s="92"/>
      <c r="BM2675" s="92"/>
      <c r="BN2675" s="92"/>
      <c r="BO2675" s="92"/>
      <c r="BP2675" s="92"/>
      <c r="BQ2675" s="92"/>
      <c r="BR2675" s="92"/>
      <c r="BS2675" s="92"/>
      <c r="BT2675" s="92"/>
      <c r="BU2675" s="92"/>
      <c r="BV2675" s="92"/>
      <c r="BW2675" s="92"/>
      <c r="BX2675" s="92"/>
      <c r="BY2675" s="92"/>
      <c r="BZ2675" s="92"/>
      <c r="CA2675" s="92"/>
      <c r="CB2675" s="92"/>
      <c r="CC2675" s="92"/>
      <c r="CD2675" s="92"/>
      <c r="CE2675" s="92"/>
      <c r="CF2675" s="92"/>
      <c r="CG2675" s="92"/>
      <c r="CH2675" s="92"/>
      <c r="CI2675" s="92"/>
      <c r="CJ2675" s="92"/>
      <c r="CK2675" s="92"/>
      <c r="CL2675" s="92"/>
      <c r="CM2675" s="92"/>
      <c r="CN2675" s="92"/>
      <c r="CO2675" s="92"/>
      <c r="CP2675" s="92"/>
      <c r="CQ2675" s="92"/>
      <c r="CR2675" s="92"/>
      <c r="CS2675" s="92"/>
      <c r="CT2675" s="92"/>
      <c r="CU2675" s="92"/>
      <c r="CV2675" s="92"/>
      <c r="CW2675" s="92"/>
      <c r="CX2675" s="92"/>
      <c r="CY2675" s="92"/>
      <c r="CZ2675" s="92"/>
      <c r="DA2675" s="92"/>
      <c r="DB2675" s="92"/>
      <c r="DC2675" s="92"/>
      <c r="DD2675" s="92"/>
      <c r="DE2675" s="92"/>
      <c r="DF2675" s="92"/>
      <c r="DG2675" s="92"/>
      <c r="DH2675" s="92"/>
      <c r="DI2675" s="92"/>
      <c r="DJ2675" s="92"/>
      <c r="DK2675" s="92"/>
      <c r="DL2675" s="92"/>
      <c r="DM2675" s="92"/>
      <c r="DN2675" s="92"/>
      <c r="DO2675" s="92"/>
      <c r="DP2675" s="92"/>
      <c r="DQ2675" s="92"/>
      <c r="DR2675" s="92"/>
      <c r="DS2675" s="92"/>
      <c r="DT2675" s="92"/>
      <c r="DU2675" s="92"/>
      <c r="DV2675" s="92"/>
      <c r="DW2675" s="92"/>
      <c r="DX2675" s="92"/>
      <c r="DY2675" s="92"/>
      <c r="DZ2675" s="92"/>
      <c r="EA2675" s="92"/>
      <c r="EB2675" s="92"/>
      <c r="EC2675" s="92"/>
      <c r="ED2675" s="92"/>
      <c r="EE2675" s="92"/>
      <c r="EF2675" s="92"/>
      <c r="EG2675" s="92"/>
      <c r="EH2675" s="92"/>
      <c r="EI2675" s="92"/>
      <c r="EJ2675" s="92"/>
      <c r="EK2675" s="92"/>
      <c r="EL2675" s="92"/>
      <c r="EM2675" s="92"/>
      <c r="EN2675" s="92"/>
      <c r="EO2675" s="92"/>
      <c r="EP2675" s="92"/>
      <c r="EQ2675" s="92"/>
      <c r="ER2675" s="92"/>
      <c r="ES2675" s="92"/>
      <c r="ET2675" s="92"/>
      <c r="EU2675" s="92"/>
      <c r="EV2675" s="92"/>
      <c r="EW2675" s="92"/>
      <c r="EX2675" s="92"/>
      <c r="EY2675" s="92"/>
      <c r="EZ2675" s="92"/>
      <c r="FA2675" s="92"/>
      <c r="FB2675" s="92"/>
      <c r="FC2675" s="92"/>
      <c r="FD2675" s="92"/>
      <c r="FE2675" s="92"/>
      <c r="FF2675" s="92"/>
      <c r="FG2675" s="92"/>
      <c r="FH2675" s="92"/>
      <c r="FI2675" s="92"/>
      <c r="FJ2675" s="92"/>
      <c r="FK2675" s="92"/>
      <c r="FL2675" s="92"/>
      <c r="FM2675" s="92"/>
      <c r="FN2675" s="92"/>
      <c r="FO2675" s="92"/>
      <c r="FP2675" s="92"/>
      <c r="FQ2675" s="92"/>
      <c r="FR2675" s="92"/>
      <c r="FS2675" s="92"/>
      <c r="FT2675" s="92"/>
      <c r="FU2675" s="92"/>
      <c r="FV2675" s="92"/>
      <c r="FW2675" s="92"/>
      <c r="FX2675" s="92"/>
      <c r="FY2675" s="92"/>
      <c r="FZ2675" s="92"/>
      <c r="GA2675" s="92"/>
      <c r="GB2675" s="92"/>
      <c r="GC2675" s="92"/>
      <c r="GD2675" s="92"/>
      <c r="GE2675" s="92"/>
      <c r="GF2675" s="92"/>
      <c r="GG2675" s="92"/>
      <c r="GH2675" s="92"/>
      <c r="GI2675" s="92"/>
      <c r="GJ2675" s="92"/>
      <c r="GK2675" s="92"/>
      <c r="GL2675" s="92"/>
      <c r="GM2675" s="92"/>
      <c r="GN2675" s="92"/>
      <c r="GO2675" s="92"/>
      <c r="GP2675" s="92"/>
      <c r="GQ2675" s="92"/>
      <c r="GR2675" s="92"/>
      <c r="GS2675" s="92"/>
      <c r="GT2675" s="92"/>
      <c r="GU2675" s="92"/>
      <c r="GV2675" s="92"/>
      <c r="GW2675" s="92"/>
      <c r="GX2675" s="92"/>
      <c r="GY2675" s="92"/>
      <c r="GZ2675" s="92"/>
      <c r="HA2675" s="92"/>
      <c r="HB2675" s="92"/>
      <c r="HC2675" s="92"/>
      <c r="HD2675" s="92"/>
      <c r="HE2675" s="92"/>
      <c r="HF2675" s="92"/>
      <c r="HG2675" s="92"/>
      <c r="HH2675" s="92"/>
      <c r="HI2675" s="92"/>
      <c r="HJ2675" s="92"/>
      <c r="HK2675" s="92"/>
      <c r="HL2675" s="92"/>
      <c r="HM2675" s="92"/>
      <c r="HN2675" s="92"/>
      <c r="HO2675" s="92"/>
      <c r="HP2675" s="92"/>
      <c r="HQ2675" s="92"/>
    </row>
    <row r="2676" spans="1:225" ht="15.75" customHeight="1" x14ac:dyDescent="0.35">
      <c r="A2676" s="285">
        <f>A2673+1</f>
        <v>21</v>
      </c>
      <c r="B2676" s="285">
        <v>6453</v>
      </c>
      <c r="C2676" s="295" t="s">
        <v>525</v>
      </c>
      <c r="D2676" s="279">
        <v>2955.7</v>
      </c>
      <c r="E2676" s="285" t="s">
        <v>75</v>
      </c>
      <c r="F2676" s="285">
        <v>4</v>
      </c>
      <c r="G2676" s="285" t="s">
        <v>72</v>
      </c>
      <c r="H2676" s="116" t="s">
        <v>73</v>
      </c>
      <c r="I2676" s="86">
        <f>I2677+I2678</f>
        <v>13681935.300000001</v>
      </c>
      <c r="J2676" s="86">
        <f>J2677+J2678</f>
        <v>4629</v>
      </c>
      <c r="K2676" s="86">
        <f>K2677+K2678</f>
        <v>4728</v>
      </c>
      <c r="L2676" s="92"/>
      <c r="M2676" s="92"/>
      <c r="N2676" s="92"/>
      <c r="O2676" s="92"/>
      <c r="P2676" s="92"/>
      <c r="Q2676" s="92"/>
      <c r="R2676" s="92"/>
      <c r="S2676" s="92"/>
      <c r="T2676" s="92"/>
      <c r="U2676" s="92"/>
      <c r="V2676" s="92"/>
      <c r="W2676" s="92"/>
      <c r="X2676" s="92"/>
      <c r="Y2676" s="92"/>
      <c r="Z2676" s="92"/>
      <c r="AA2676" s="92"/>
      <c r="AB2676" s="92"/>
      <c r="AC2676" s="92"/>
      <c r="AD2676" s="92"/>
      <c r="AE2676" s="92"/>
      <c r="AF2676" s="92"/>
      <c r="AG2676" s="92"/>
      <c r="AH2676" s="92"/>
      <c r="AI2676" s="92"/>
      <c r="AJ2676" s="92"/>
      <c r="AK2676" s="92"/>
      <c r="AL2676" s="92"/>
      <c r="AM2676" s="92"/>
      <c r="AN2676" s="92"/>
      <c r="AO2676" s="92"/>
      <c r="AP2676" s="92"/>
      <c r="AQ2676" s="92"/>
      <c r="AR2676" s="92"/>
      <c r="AS2676" s="92"/>
      <c r="AT2676" s="92"/>
      <c r="AU2676" s="92"/>
      <c r="AV2676" s="92"/>
      <c r="AW2676" s="92"/>
      <c r="AX2676" s="92"/>
      <c r="AY2676" s="92"/>
      <c r="AZ2676" s="92"/>
      <c r="BA2676" s="92"/>
      <c r="BB2676" s="92"/>
      <c r="BC2676" s="92"/>
      <c r="BD2676" s="92"/>
      <c r="BE2676" s="92"/>
      <c r="BF2676" s="92"/>
      <c r="BG2676" s="92"/>
      <c r="BH2676" s="92"/>
      <c r="BI2676" s="92"/>
      <c r="BJ2676" s="92"/>
      <c r="BK2676" s="92"/>
      <c r="BL2676" s="92"/>
      <c r="BM2676" s="92"/>
      <c r="BN2676" s="92"/>
      <c r="BO2676" s="92"/>
      <c r="BP2676" s="92"/>
      <c r="BQ2676" s="92"/>
      <c r="BR2676" s="92"/>
      <c r="BS2676" s="92"/>
      <c r="BT2676" s="92"/>
      <c r="BU2676" s="92"/>
      <c r="BV2676" s="92"/>
      <c r="BW2676" s="92"/>
      <c r="BX2676" s="92"/>
      <c r="BY2676" s="92"/>
      <c r="BZ2676" s="92"/>
      <c r="CA2676" s="92"/>
      <c r="CB2676" s="92"/>
      <c r="CC2676" s="92"/>
      <c r="CD2676" s="92"/>
      <c r="CE2676" s="92"/>
      <c r="CF2676" s="92"/>
      <c r="CG2676" s="92"/>
      <c r="CH2676" s="92"/>
      <c r="CI2676" s="92"/>
      <c r="CJ2676" s="92"/>
      <c r="CK2676" s="92"/>
      <c r="CL2676" s="92"/>
      <c r="CM2676" s="92"/>
      <c r="CN2676" s="92"/>
      <c r="CO2676" s="92"/>
      <c r="CP2676" s="92"/>
      <c r="CQ2676" s="92"/>
      <c r="CR2676" s="92"/>
      <c r="CS2676" s="92"/>
      <c r="CT2676" s="92"/>
      <c r="CU2676" s="92"/>
      <c r="CV2676" s="92"/>
      <c r="CW2676" s="92"/>
      <c r="CX2676" s="92"/>
      <c r="CY2676" s="92"/>
      <c r="CZ2676" s="92"/>
      <c r="DA2676" s="92"/>
      <c r="DB2676" s="92"/>
      <c r="DC2676" s="92"/>
      <c r="DD2676" s="92"/>
      <c r="DE2676" s="92"/>
      <c r="DF2676" s="92"/>
      <c r="DG2676" s="92"/>
      <c r="DH2676" s="92"/>
      <c r="DI2676" s="92"/>
      <c r="DJ2676" s="92"/>
      <c r="DK2676" s="92"/>
      <c r="DL2676" s="92"/>
      <c r="DM2676" s="92"/>
      <c r="DN2676" s="92"/>
      <c r="DO2676" s="92"/>
      <c r="DP2676" s="92"/>
      <c r="DQ2676" s="92"/>
      <c r="DR2676" s="92"/>
      <c r="DS2676" s="92"/>
      <c r="DT2676" s="92"/>
      <c r="DU2676" s="92"/>
      <c r="DV2676" s="92"/>
      <c r="DW2676" s="92"/>
      <c r="DX2676" s="92"/>
      <c r="DY2676" s="92"/>
      <c r="DZ2676" s="92"/>
      <c r="EA2676" s="92"/>
      <c r="EB2676" s="92"/>
      <c r="EC2676" s="92"/>
      <c r="ED2676" s="92"/>
      <c r="EE2676" s="92"/>
      <c r="EF2676" s="92"/>
      <c r="EG2676" s="92"/>
      <c r="EH2676" s="92"/>
      <c r="EI2676" s="92"/>
      <c r="EJ2676" s="92"/>
      <c r="EK2676" s="92"/>
      <c r="EL2676" s="92"/>
      <c r="EM2676" s="92"/>
      <c r="EN2676" s="92"/>
      <c r="EO2676" s="92"/>
      <c r="EP2676" s="92"/>
      <c r="EQ2676" s="92"/>
      <c r="ER2676" s="92"/>
      <c r="ES2676" s="92"/>
      <c r="ET2676" s="92"/>
      <c r="EU2676" s="92"/>
      <c r="EV2676" s="92"/>
      <c r="EW2676" s="92"/>
      <c r="EX2676" s="92"/>
      <c r="EY2676" s="92"/>
      <c r="EZ2676" s="92"/>
      <c r="FA2676" s="92"/>
      <c r="FB2676" s="92"/>
      <c r="FC2676" s="92"/>
      <c r="FD2676" s="92"/>
      <c r="FE2676" s="92"/>
      <c r="FF2676" s="92"/>
      <c r="FG2676" s="92"/>
      <c r="FH2676" s="92"/>
      <c r="FI2676" s="92"/>
      <c r="FJ2676" s="92"/>
      <c r="FK2676" s="92"/>
      <c r="FL2676" s="92"/>
      <c r="FM2676" s="92"/>
      <c r="FN2676" s="92"/>
      <c r="FO2676" s="92"/>
      <c r="FP2676" s="92"/>
      <c r="FQ2676" s="92"/>
      <c r="FR2676" s="92"/>
      <c r="FS2676" s="92"/>
      <c r="FT2676" s="92"/>
      <c r="FU2676" s="92"/>
      <c r="FV2676" s="92"/>
      <c r="FW2676" s="92"/>
      <c r="FX2676" s="92"/>
      <c r="FY2676" s="92"/>
      <c r="FZ2676" s="92"/>
      <c r="GA2676" s="92"/>
      <c r="GB2676" s="92"/>
      <c r="GC2676" s="92"/>
      <c r="GD2676" s="92"/>
      <c r="GE2676" s="92"/>
      <c r="GF2676" s="92"/>
      <c r="GG2676" s="92"/>
      <c r="GH2676" s="92"/>
      <c r="GI2676" s="92"/>
      <c r="GJ2676" s="92"/>
      <c r="GK2676" s="92"/>
      <c r="GL2676" s="92"/>
      <c r="GM2676" s="92"/>
      <c r="GN2676" s="92"/>
      <c r="GO2676" s="92"/>
      <c r="GP2676" s="92"/>
      <c r="GQ2676" s="92"/>
      <c r="GR2676" s="92"/>
      <c r="GS2676" s="92"/>
      <c r="GT2676" s="92"/>
      <c r="GU2676" s="92"/>
      <c r="GV2676" s="92"/>
      <c r="GW2676" s="92"/>
      <c r="GX2676" s="92"/>
      <c r="GY2676" s="92"/>
      <c r="GZ2676" s="92"/>
      <c r="HA2676" s="92"/>
      <c r="HB2676" s="92"/>
      <c r="HC2676" s="92"/>
      <c r="HD2676" s="92"/>
      <c r="HE2676" s="92"/>
      <c r="HF2676" s="92"/>
      <c r="HG2676" s="92"/>
      <c r="HH2676" s="92"/>
      <c r="HI2676" s="92"/>
      <c r="HJ2676" s="92"/>
      <c r="HK2676" s="92"/>
      <c r="HL2676" s="92"/>
      <c r="HM2676" s="92"/>
      <c r="HN2676" s="92"/>
      <c r="HO2676" s="92"/>
      <c r="HP2676" s="92"/>
      <c r="HQ2676" s="92"/>
    </row>
    <row r="2677" spans="1:225" x14ac:dyDescent="0.35">
      <c r="A2677" s="286"/>
      <c r="B2677" s="286"/>
      <c r="C2677" s="296"/>
      <c r="D2677" s="280"/>
      <c r="E2677" s="286"/>
      <c r="F2677" s="286"/>
      <c r="G2677" s="286"/>
      <c r="H2677" s="116" t="s">
        <v>667</v>
      </c>
      <c r="I2677" s="86">
        <f>D2676*K2677</f>
        <v>13681935.300000001</v>
      </c>
      <c r="J2677" s="86">
        <f>I2677/D2676</f>
        <v>4629</v>
      </c>
      <c r="K2677" s="86">
        <v>4629</v>
      </c>
      <c r="L2677" s="92"/>
      <c r="M2677" s="92"/>
      <c r="N2677" s="92"/>
      <c r="O2677" s="92"/>
      <c r="P2677" s="92"/>
      <c r="Q2677" s="92"/>
      <c r="R2677" s="92"/>
      <c r="S2677" s="92"/>
      <c r="T2677" s="92"/>
      <c r="U2677" s="92"/>
      <c r="V2677" s="92"/>
      <c r="W2677" s="92"/>
      <c r="X2677" s="92"/>
      <c r="Y2677" s="92"/>
      <c r="Z2677" s="92"/>
      <c r="AA2677" s="92"/>
      <c r="AB2677" s="92"/>
      <c r="AC2677" s="92"/>
      <c r="AD2677" s="92"/>
      <c r="AE2677" s="92"/>
      <c r="AF2677" s="92"/>
      <c r="AG2677" s="92"/>
      <c r="AH2677" s="92"/>
      <c r="AI2677" s="92"/>
      <c r="AJ2677" s="92"/>
      <c r="AK2677" s="92"/>
      <c r="AL2677" s="92"/>
      <c r="AM2677" s="92"/>
      <c r="AN2677" s="92"/>
      <c r="AO2677" s="92"/>
      <c r="AP2677" s="92"/>
      <c r="AQ2677" s="92"/>
      <c r="AR2677" s="92"/>
      <c r="AS2677" s="92"/>
      <c r="AT2677" s="92"/>
      <c r="AU2677" s="92"/>
      <c r="AV2677" s="92"/>
      <c r="AW2677" s="92"/>
      <c r="AX2677" s="92"/>
      <c r="AY2677" s="92"/>
      <c r="AZ2677" s="92"/>
      <c r="BA2677" s="92"/>
      <c r="BB2677" s="92"/>
      <c r="BC2677" s="92"/>
      <c r="BD2677" s="92"/>
      <c r="BE2677" s="92"/>
      <c r="BF2677" s="92"/>
      <c r="BG2677" s="92"/>
      <c r="BH2677" s="92"/>
      <c r="BI2677" s="92"/>
      <c r="BJ2677" s="92"/>
      <c r="BK2677" s="92"/>
      <c r="BL2677" s="92"/>
      <c r="BM2677" s="92"/>
      <c r="BN2677" s="92"/>
      <c r="BO2677" s="92"/>
      <c r="BP2677" s="92"/>
      <c r="BQ2677" s="92"/>
      <c r="BR2677" s="92"/>
      <c r="BS2677" s="92"/>
      <c r="BT2677" s="92"/>
      <c r="BU2677" s="92"/>
      <c r="BV2677" s="92"/>
      <c r="BW2677" s="92"/>
      <c r="BX2677" s="92"/>
      <c r="BY2677" s="92"/>
      <c r="BZ2677" s="92"/>
      <c r="CA2677" s="92"/>
      <c r="CB2677" s="92"/>
      <c r="CC2677" s="92"/>
      <c r="CD2677" s="92"/>
      <c r="CE2677" s="92"/>
      <c r="CF2677" s="92"/>
      <c r="CG2677" s="92"/>
      <c r="CH2677" s="92"/>
      <c r="CI2677" s="92"/>
      <c r="CJ2677" s="92"/>
      <c r="CK2677" s="92"/>
      <c r="CL2677" s="92"/>
      <c r="CM2677" s="92"/>
      <c r="CN2677" s="92"/>
      <c r="CO2677" s="92"/>
      <c r="CP2677" s="92"/>
      <c r="CQ2677" s="92"/>
      <c r="CR2677" s="92"/>
      <c r="CS2677" s="92"/>
      <c r="CT2677" s="92"/>
      <c r="CU2677" s="92"/>
      <c r="CV2677" s="92"/>
      <c r="CW2677" s="92"/>
      <c r="CX2677" s="92"/>
      <c r="CY2677" s="92"/>
      <c r="CZ2677" s="92"/>
      <c r="DA2677" s="92"/>
      <c r="DB2677" s="92"/>
      <c r="DC2677" s="92"/>
      <c r="DD2677" s="92"/>
      <c r="DE2677" s="92"/>
      <c r="DF2677" s="92"/>
      <c r="DG2677" s="92"/>
      <c r="DH2677" s="92"/>
      <c r="DI2677" s="92"/>
      <c r="DJ2677" s="92"/>
      <c r="DK2677" s="92"/>
      <c r="DL2677" s="92"/>
      <c r="DM2677" s="92"/>
      <c r="DN2677" s="92"/>
      <c r="DO2677" s="92"/>
      <c r="DP2677" s="92"/>
      <c r="DQ2677" s="92"/>
      <c r="DR2677" s="92"/>
      <c r="DS2677" s="92"/>
      <c r="DT2677" s="92"/>
      <c r="DU2677" s="92"/>
      <c r="DV2677" s="92"/>
      <c r="DW2677" s="92"/>
      <c r="DX2677" s="92"/>
      <c r="DY2677" s="92"/>
      <c r="DZ2677" s="92"/>
      <c r="EA2677" s="92"/>
      <c r="EB2677" s="92"/>
      <c r="EC2677" s="92"/>
      <c r="ED2677" s="92"/>
      <c r="EE2677" s="92"/>
      <c r="EF2677" s="92"/>
      <c r="EG2677" s="92"/>
      <c r="EH2677" s="92"/>
      <c r="EI2677" s="92"/>
      <c r="EJ2677" s="92"/>
      <c r="EK2677" s="92"/>
      <c r="EL2677" s="92"/>
      <c r="EM2677" s="92"/>
      <c r="EN2677" s="92"/>
      <c r="EO2677" s="92"/>
      <c r="EP2677" s="92"/>
      <c r="EQ2677" s="92"/>
      <c r="ER2677" s="92"/>
      <c r="ES2677" s="92"/>
      <c r="ET2677" s="92"/>
      <c r="EU2677" s="92"/>
      <c r="EV2677" s="92"/>
      <c r="EW2677" s="92"/>
      <c r="EX2677" s="92"/>
      <c r="EY2677" s="92"/>
      <c r="EZ2677" s="92"/>
      <c r="FA2677" s="92"/>
      <c r="FB2677" s="92"/>
      <c r="FC2677" s="92"/>
      <c r="FD2677" s="92"/>
      <c r="FE2677" s="92"/>
      <c r="FF2677" s="92"/>
      <c r="FG2677" s="92"/>
      <c r="FH2677" s="92"/>
      <c r="FI2677" s="92"/>
      <c r="FJ2677" s="92"/>
      <c r="FK2677" s="92"/>
      <c r="FL2677" s="92"/>
      <c r="FM2677" s="92"/>
      <c r="FN2677" s="92"/>
      <c r="FO2677" s="92"/>
      <c r="FP2677" s="92"/>
      <c r="FQ2677" s="92"/>
      <c r="FR2677" s="92"/>
      <c r="FS2677" s="92"/>
      <c r="FT2677" s="92"/>
      <c r="FU2677" s="92"/>
      <c r="FV2677" s="92"/>
      <c r="FW2677" s="92"/>
      <c r="FX2677" s="92"/>
      <c r="FY2677" s="92"/>
      <c r="FZ2677" s="92"/>
      <c r="GA2677" s="92"/>
      <c r="GB2677" s="92"/>
      <c r="GC2677" s="92"/>
      <c r="GD2677" s="92"/>
      <c r="GE2677" s="92"/>
      <c r="GF2677" s="92"/>
      <c r="GG2677" s="92"/>
      <c r="GH2677" s="92"/>
      <c r="GI2677" s="92"/>
      <c r="GJ2677" s="92"/>
      <c r="GK2677" s="92"/>
      <c r="GL2677" s="92"/>
      <c r="GM2677" s="92"/>
      <c r="GN2677" s="92"/>
      <c r="GO2677" s="92"/>
      <c r="GP2677" s="92"/>
      <c r="GQ2677" s="92"/>
      <c r="GR2677" s="92"/>
      <c r="GS2677" s="92"/>
      <c r="GT2677" s="92"/>
      <c r="GU2677" s="92"/>
      <c r="GV2677" s="92"/>
      <c r="GW2677" s="92"/>
      <c r="GX2677" s="92"/>
      <c r="GY2677" s="92"/>
      <c r="GZ2677" s="92"/>
      <c r="HA2677" s="92"/>
      <c r="HB2677" s="92"/>
      <c r="HC2677" s="92"/>
      <c r="HD2677" s="92"/>
      <c r="HE2677" s="92"/>
      <c r="HF2677" s="92"/>
      <c r="HG2677" s="92"/>
      <c r="HH2677" s="92"/>
      <c r="HI2677" s="92"/>
      <c r="HJ2677" s="92"/>
      <c r="HK2677" s="92"/>
      <c r="HL2677" s="92"/>
      <c r="HM2677" s="92"/>
      <c r="HN2677" s="92"/>
      <c r="HO2677" s="92"/>
      <c r="HP2677" s="92"/>
      <c r="HQ2677" s="92"/>
    </row>
    <row r="2678" spans="1:225" x14ac:dyDescent="0.35">
      <c r="A2678" s="287"/>
      <c r="B2678" s="287"/>
      <c r="C2678" s="297"/>
      <c r="D2678" s="281"/>
      <c r="E2678" s="287"/>
      <c r="F2678" s="287"/>
      <c r="G2678" s="287"/>
      <c r="H2678" s="116" t="s">
        <v>76</v>
      </c>
      <c r="I2678" s="86">
        <v>0</v>
      </c>
      <c r="J2678" s="86">
        <v>0</v>
      </c>
      <c r="K2678" s="86">
        <v>99</v>
      </c>
      <c r="L2678" s="92"/>
      <c r="M2678" s="92"/>
      <c r="N2678" s="92"/>
      <c r="O2678" s="92"/>
      <c r="P2678" s="92"/>
      <c r="Q2678" s="92"/>
      <c r="R2678" s="92"/>
      <c r="S2678" s="92"/>
      <c r="T2678" s="92"/>
      <c r="U2678" s="92"/>
      <c r="V2678" s="92"/>
      <c r="W2678" s="92"/>
      <c r="X2678" s="92"/>
      <c r="Y2678" s="92"/>
      <c r="Z2678" s="92"/>
      <c r="AA2678" s="92"/>
      <c r="AB2678" s="92"/>
      <c r="AC2678" s="92"/>
      <c r="AD2678" s="92"/>
      <c r="AE2678" s="92"/>
      <c r="AF2678" s="92"/>
      <c r="AG2678" s="92"/>
      <c r="AH2678" s="92"/>
      <c r="AI2678" s="92"/>
      <c r="AJ2678" s="92"/>
      <c r="AK2678" s="92"/>
      <c r="AL2678" s="92"/>
      <c r="AM2678" s="92"/>
      <c r="AN2678" s="92"/>
      <c r="AO2678" s="92"/>
      <c r="AP2678" s="92"/>
      <c r="AQ2678" s="92"/>
      <c r="AR2678" s="92"/>
      <c r="AS2678" s="92"/>
      <c r="AT2678" s="92"/>
      <c r="AU2678" s="92"/>
      <c r="AV2678" s="92"/>
      <c r="AW2678" s="92"/>
      <c r="AX2678" s="92"/>
      <c r="AY2678" s="92"/>
      <c r="AZ2678" s="92"/>
      <c r="BA2678" s="92"/>
      <c r="BB2678" s="92"/>
      <c r="BC2678" s="92"/>
      <c r="BD2678" s="92"/>
      <c r="BE2678" s="92"/>
      <c r="BF2678" s="92"/>
      <c r="BG2678" s="92"/>
      <c r="BH2678" s="92"/>
      <c r="BI2678" s="92"/>
      <c r="BJ2678" s="92"/>
      <c r="BK2678" s="92"/>
      <c r="BL2678" s="92"/>
      <c r="BM2678" s="92"/>
      <c r="BN2678" s="92"/>
      <c r="BO2678" s="92"/>
      <c r="BP2678" s="92"/>
      <c r="BQ2678" s="92"/>
      <c r="BR2678" s="92"/>
      <c r="BS2678" s="92"/>
      <c r="BT2678" s="92"/>
      <c r="BU2678" s="92"/>
      <c r="BV2678" s="92"/>
      <c r="BW2678" s="92"/>
      <c r="BX2678" s="92"/>
      <c r="BY2678" s="92"/>
      <c r="BZ2678" s="92"/>
      <c r="CA2678" s="92"/>
      <c r="CB2678" s="92"/>
      <c r="CC2678" s="92"/>
      <c r="CD2678" s="92"/>
      <c r="CE2678" s="92"/>
      <c r="CF2678" s="92"/>
      <c r="CG2678" s="92"/>
      <c r="CH2678" s="92"/>
      <c r="CI2678" s="92"/>
      <c r="CJ2678" s="92"/>
      <c r="CK2678" s="92"/>
      <c r="CL2678" s="92"/>
      <c r="CM2678" s="92"/>
      <c r="CN2678" s="92"/>
      <c r="CO2678" s="92"/>
      <c r="CP2678" s="92"/>
      <c r="CQ2678" s="92"/>
      <c r="CR2678" s="92"/>
      <c r="CS2678" s="92"/>
      <c r="CT2678" s="92"/>
      <c r="CU2678" s="92"/>
      <c r="CV2678" s="92"/>
      <c r="CW2678" s="92"/>
      <c r="CX2678" s="92"/>
      <c r="CY2678" s="92"/>
      <c r="CZ2678" s="92"/>
      <c r="DA2678" s="92"/>
      <c r="DB2678" s="92"/>
      <c r="DC2678" s="92"/>
      <c r="DD2678" s="92"/>
      <c r="DE2678" s="92"/>
      <c r="DF2678" s="92"/>
      <c r="DG2678" s="92"/>
      <c r="DH2678" s="92"/>
      <c r="DI2678" s="92"/>
      <c r="DJ2678" s="92"/>
      <c r="DK2678" s="92"/>
      <c r="DL2678" s="92"/>
      <c r="DM2678" s="92"/>
      <c r="DN2678" s="92"/>
      <c r="DO2678" s="92"/>
      <c r="DP2678" s="92"/>
      <c r="DQ2678" s="92"/>
      <c r="DR2678" s="92"/>
      <c r="DS2678" s="92"/>
      <c r="DT2678" s="92"/>
      <c r="DU2678" s="92"/>
      <c r="DV2678" s="92"/>
      <c r="DW2678" s="92"/>
      <c r="DX2678" s="92"/>
      <c r="DY2678" s="92"/>
      <c r="DZ2678" s="92"/>
      <c r="EA2678" s="92"/>
      <c r="EB2678" s="92"/>
      <c r="EC2678" s="92"/>
      <c r="ED2678" s="92"/>
      <c r="EE2678" s="92"/>
      <c r="EF2678" s="92"/>
      <c r="EG2678" s="92"/>
      <c r="EH2678" s="92"/>
      <c r="EI2678" s="92"/>
      <c r="EJ2678" s="92"/>
      <c r="EK2678" s="92"/>
      <c r="EL2678" s="92"/>
      <c r="EM2678" s="92"/>
      <c r="EN2678" s="92"/>
      <c r="EO2678" s="92"/>
      <c r="EP2678" s="92"/>
      <c r="EQ2678" s="92"/>
      <c r="ER2678" s="92"/>
      <c r="ES2678" s="92"/>
      <c r="ET2678" s="92"/>
      <c r="EU2678" s="92"/>
      <c r="EV2678" s="92"/>
      <c r="EW2678" s="92"/>
      <c r="EX2678" s="92"/>
      <c r="EY2678" s="92"/>
      <c r="EZ2678" s="92"/>
      <c r="FA2678" s="92"/>
      <c r="FB2678" s="92"/>
      <c r="FC2678" s="92"/>
      <c r="FD2678" s="92"/>
      <c r="FE2678" s="92"/>
      <c r="FF2678" s="92"/>
      <c r="FG2678" s="92"/>
      <c r="FH2678" s="92"/>
      <c r="FI2678" s="92"/>
      <c r="FJ2678" s="92"/>
      <c r="FK2678" s="92"/>
      <c r="FL2678" s="92"/>
      <c r="FM2678" s="92"/>
      <c r="FN2678" s="92"/>
      <c r="FO2678" s="92"/>
      <c r="FP2678" s="92"/>
      <c r="FQ2678" s="92"/>
      <c r="FR2678" s="92"/>
      <c r="FS2678" s="92"/>
      <c r="FT2678" s="92"/>
      <c r="FU2678" s="92"/>
      <c r="FV2678" s="92"/>
      <c r="FW2678" s="92"/>
      <c r="FX2678" s="92"/>
      <c r="FY2678" s="92"/>
      <c r="FZ2678" s="92"/>
      <c r="GA2678" s="92"/>
      <c r="GB2678" s="92"/>
      <c r="GC2678" s="92"/>
      <c r="GD2678" s="92"/>
      <c r="GE2678" s="92"/>
      <c r="GF2678" s="92"/>
      <c r="GG2678" s="92"/>
      <c r="GH2678" s="92"/>
      <c r="GI2678" s="92"/>
      <c r="GJ2678" s="92"/>
      <c r="GK2678" s="92"/>
      <c r="GL2678" s="92"/>
      <c r="GM2678" s="92"/>
      <c r="GN2678" s="92"/>
      <c r="GO2678" s="92"/>
      <c r="GP2678" s="92"/>
      <c r="GQ2678" s="92"/>
      <c r="GR2678" s="92"/>
      <c r="GS2678" s="92"/>
      <c r="GT2678" s="92"/>
      <c r="GU2678" s="92"/>
      <c r="GV2678" s="92"/>
      <c r="GW2678" s="92"/>
      <c r="GX2678" s="92"/>
      <c r="GY2678" s="92"/>
      <c r="GZ2678" s="92"/>
      <c r="HA2678" s="92"/>
      <c r="HB2678" s="92"/>
      <c r="HC2678" s="92"/>
      <c r="HD2678" s="92"/>
      <c r="HE2678" s="92"/>
      <c r="HF2678" s="92"/>
      <c r="HG2678" s="92"/>
      <c r="HH2678" s="92"/>
      <c r="HI2678" s="92"/>
      <c r="HJ2678" s="92"/>
      <c r="HK2678" s="92"/>
      <c r="HL2678" s="92"/>
      <c r="HM2678" s="92"/>
      <c r="HN2678" s="92"/>
      <c r="HO2678" s="92"/>
      <c r="HP2678" s="92"/>
      <c r="HQ2678" s="92"/>
    </row>
    <row r="2679" spans="1:225" ht="15.75" customHeight="1" x14ac:dyDescent="0.35">
      <c r="A2679" s="285">
        <f>A2676+1</f>
        <v>22</v>
      </c>
      <c r="B2679" s="285">
        <v>6461</v>
      </c>
      <c r="C2679" s="295" t="s">
        <v>526</v>
      </c>
      <c r="D2679" s="279">
        <v>483.4</v>
      </c>
      <c r="E2679" s="285" t="s">
        <v>665</v>
      </c>
      <c r="F2679" s="285">
        <v>2</v>
      </c>
      <c r="G2679" s="285" t="s">
        <v>72</v>
      </c>
      <c r="H2679" s="116" t="s">
        <v>73</v>
      </c>
      <c r="I2679" s="86">
        <f>I2680+I2681</f>
        <v>3344161.2</v>
      </c>
      <c r="J2679" s="86">
        <f>J2680+J2681</f>
        <v>6918</v>
      </c>
      <c r="K2679" s="86">
        <f>K2680+K2681</f>
        <v>7066</v>
      </c>
      <c r="L2679" s="92"/>
      <c r="M2679" s="92"/>
      <c r="N2679" s="92"/>
      <c r="O2679" s="92"/>
      <c r="P2679" s="92"/>
      <c r="Q2679" s="92"/>
      <c r="R2679" s="92"/>
      <c r="S2679" s="92"/>
      <c r="T2679" s="92"/>
      <c r="U2679" s="92"/>
      <c r="V2679" s="92"/>
      <c r="W2679" s="92"/>
      <c r="X2679" s="92"/>
      <c r="Y2679" s="92"/>
      <c r="Z2679" s="92"/>
      <c r="AA2679" s="92"/>
      <c r="AB2679" s="92"/>
      <c r="AC2679" s="92"/>
      <c r="AD2679" s="92"/>
      <c r="AE2679" s="92"/>
      <c r="AF2679" s="92"/>
      <c r="AG2679" s="92"/>
      <c r="AH2679" s="92"/>
      <c r="AI2679" s="92"/>
      <c r="AJ2679" s="92"/>
      <c r="AK2679" s="92"/>
      <c r="AL2679" s="92"/>
      <c r="AM2679" s="92"/>
      <c r="AN2679" s="92"/>
      <c r="AO2679" s="92"/>
      <c r="AP2679" s="92"/>
      <c r="AQ2679" s="92"/>
      <c r="AR2679" s="92"/>
      <c r="AS2679" s="92"/>
      <c r="AT2679" s="92"/>
      <c r="AU2679" s="92"/>
      <c r="AV2679" s="92"/>
      <c r="AW2679" s="92"/>
      <c r="AX2679" s="92"/>
      <c r="AY2679" s="92"/>
      <c r="AZ2679" s="92"/>
      <c r="BA2679" s="92"/>
      <c r="BB2679" s="92"/>
      <c r="BC2679" s="92"/>
      <c r="BD2679" s="92"/>
      <c r="BE2679" s="92"/>
      <c r="BF2679" s="92"/>
      <c r="BG2679" s="92"/>
      <c r="BH2679" s="92"/>
      <c r="BI2679" s="92"/>
      <c r="BJ2679" s="92"/>
      <c r="BK2679" s="92"/>
      <c r="BL2679" s="92"/>
      <c r="BM2679" s="92"/>
      <c r="BN2679" s="92"/>
      <c r="BO2679" s="92"/>
      <c r="BP2679" s="92"/>
      <c r="BQ2679" s="92"/>
      <c r="BR2679" s="92"/>
      <c r="BS2679" s="92"/>
      <c r="BT2679" s="92"/>
      <c r="BU2679" s="92"/>
      <c r="BV2679" s="92"/>
      <c r="BW2679" s="92"/>
      <c r="BX2679" s="92"/>
      <c r="BY2679" s="92"/>
      <c r="BZ2679" s="92"/>
      <c r="CA2679" s="92"/>
      <c r="CB2679" s="92"/>
      <c r="CC2679" s="92"/>
      <c r="CD2679" s="92"/>
      <c r="CE2679" s="92"/>
      <c r="CF2679" s="92"/>
      <c r="CG2679" s="92"/>
      <c r="CH2679" s="92"/>
      <c r="CI2679" s="92"/>
      <c r="CJ2679" s="92"/>
      <c r="CK2679" s="92"/>
      <c r="CL2679" s="92"/>
      <c r="CM2679" s="92"/>
      <c r="CN2679" s="92"/>
      <c r="CO2679" s="92"/>
      <c r="CP2679" s="92"/>
      <c r="CQ2679" s="92"/>
      <c r="CR2679" s="92"/>
      <c r="CS2679" s="92"/>
      <c r="CT2679" s="92"/>
      <c r="CU2679" s="92"/>
      <c r="CV2679" s="92"/>
      <c r="CW2679" s="92"/>
      <c r="CX2679" s="92"/>
      <c r="CY2679" s="92"/>
      <c r="CZ2679" s="92"/>
      <c r="DA2679" s="92"/>
      <c r="DB2679" s="92"/>
      <c r="DC2679" s="92"/>
      <c r="DD2679" s="92"/>
      <c r="DE2679" s="92"/>
      <c r="DF2679" s="92"/>
      <c r="DG2679" s="92"/>
      <c r="DH2679" s="92"/>
      <c r="DI2679" s="92"/>
      <c r="DJ2679" s="92"/>
      <c r="DK2679" s="92"/>
      <c r="DL2679" s="92"/>
      <c r="DM2679" s="92"/>
      <c r="DN2679" s="92"/>
      <c r="DO2679" s="92"/>
      <c r="DP2679" s="92"/>
      <c r="DQ2679" s="92"/>
      <c r="DR2679" s="92"/>
      <c r="DS2679" s="92"/>
      <c r="DT2679" s="92"/>
      <c r="DU2679" s="92"/>
      <c r="DV2679" s="92"/>
      <c r="DW2679" s="92"/>
      <c r="DX2679" s="92"/>
      <c r="DY2679" s="92"/>
      <c r="DZ2679" s="92"/>
      <c r="EA2679" s="92"/>
      <c r="EB2679" s="92"/>
      <c r="EC2679" s="92"/>
      <c r="ED2679" s="92"/>
      <c r="EE2679" s="92"/>
      <c r="EF2679" s="92"/>
      <c r="EG2679" s="92"/>
      <c r="EH2679" s="92"/>
      <c r="EI2679" s="92"/>
      <c r="EJ2679" s="92"/>
      <c r="EK2679" s="92"/>
      <c r="EL2679" s="92"/>
      <c r="EM2679" s="92"/>
      <c r="EN2679" s="92"/>
      <c r="EO2679" s="92"/>
      <c r="EP2679" s="92"/>
      <c r="EQ2679" s="92"/>
      <c r="ER2679" s="92"/>
      <c r="ES2679" s="92"/>
      <c r="ET2679" s="92"/>
      <c r="EU2679" s="92"/>
      <c r="EV2679" s="92"/>
      <c r="EW2679" s="92"/>
      <c r="EX2679" s="92"/>
      <c r="EY2679" s="92"/>
      <c r="EZ2679" s="92"/>
      <c r="FA2679" s="92"/>
      <c r="FB2679" s="92"/>
      <c r="FC2679" s="92"/>
      <c r="FD2679" s="92"/>
      <c r="FE2679" s="92"/>
      <c r="FF2679" s="92"/>
      <c r="FG2679" s="92"/>
      <c r="FH2679" s="92"/>
      <c r="FI2679" s="92"/>
      <c r="FJ2679" s="92"/>
      <c r="FK2679" s="92"/>
      <c r="FL2679" s="92"/>
      <c r="FM2679" s="92"/>
      <c r="FN2679" s="92"/>
      <c r="FO2679" s="92"/>
      <c r="FP2679" s="92"/>
      <c r="FQ2679" s="92"/>
      <c r="FR2679" s="92"/>
      <c r="FS2679" s="92"/>
      <c r="FT2679" s="92"/>
      <c r="FU2679" s="92"/>
      <c r="FV2679" s="92"/>
      <c r="FW2679" s="92"/>
      <c r="FX2679" s="92"/>
      <c r="FY2679" s="92"/>
      <c r="FZ2679" s="92"/>
      <c r="GA2679" s="92"/>
      <c r="GB2679" s="92"/>
      <c r="GC2679" s="92"/>
      <c r="GD2679" s="92"/>
      <c r="GE2679" s="92"/>
      <c r="GF2679" s="92"/>
      <c r="GG2679" s="92"/>
      <c r="GH2679" s="92"/>
      <c r="GI2679" s="92"/>
      <c r="GJ2679" s="92"/>
      <c r="GK2679" s="92"/>
      <c r="GL2679" s="92"/>
      <c r="GM2679" s="92"/>
      <c r="GN2679" s="92"/>
      <c r="GO2679" s="92"/>
      <c r="GP2679" s="92"/>
      <c r="GQ2679" s="92"/>
      <c r="GR2679" s="92"/>
      <c r="GS2679" s="92"/>
      <c r="GT2679" s="92"/>
      <c r="GU2679" s="92"/>
      <c r="GV2679" s="92"/>
      <c r="GW2679" s="92"/>
      <c r="GX2679" s="92"/>
      <c r="GY2679" s="92"/>
      <c r="GZ2679" s="92"/>
      <c r="HA2679" s="92"/>
      <c r="HB2679" s="92"/>
      <c r="HC2679" s="92"/>
      <c r="HD2679" s="92"/>
      <c r="HE2679" s="92"/>
      <c r="HF2679" s="92"/>
      <c r="HG2679" s="92"/>
      <c r="HH2679" s="92"/>
      <c r="HI2679" s="92"/>
      <c r="HJ2679" s="92"/>
      <c r="HK2679" s="92"/>
      <c r="HL2679" s="92"/>
      <c r="HM2679" s="92"/>
      <c r="HN2679" s="92"/>
      <c r="HO2679" s="92"/>
      <c r="HP2679" s="92"/>
      <c r="HQ2679" s="92"/>
    </row>
    <row r="2680" spans="1:225" x14ac:dyDescent="0.35">
      <c r="A2680" s="286"/>
      <c r="B2680" s="286"/>
      <c r="C2680" s="296"/>
      <c r="D2680" s="280"/>
      <c r="E2680" s="286"/>
      <c r="F2680" s="286"/>
      <c r="G2680" s="286"/>
      <c r="H2680" s="116" t="s">
        <v>667</v>
      </c>
      <c r="I2680" s="86">
        <f>D2679*K2680</f>
        <v>3344161.2</v>
      </c>
      <c r="J2680" s="86">
        <f>I2680/D2679</f>
        <v>6918</v>
      </c>
      <c r="K2680" s="86">
        <v>6918</v>
      </c>
      <c r="L2680" s="92"/>
      <c r="M2680" s="92"/>
      <c r="N2680" s="92"/>
      <c r="O2680" s="92"/>
      <c r="P2680" s="92"/>
      <c r="Q2680" s="92"/>
      <c r="R2680" s="92"/>
      <c r="S2680" s="92"/>
      <c r="T2680" s="92"/>
      <c r="U2680" s="92"/>
      <c r="V2680" s="92"/>
      <c r="W2680" s="92"/>
      <c r="X2680" s="92"/>
      <c r="Y2680" s="92"/>
      <c r="Z2680" s="92"/>
      <c r="AA2680" s="92"/>
      <c r="AB2680" s="92"/>
      <c r="AC2680" s="92"/>
      <c r="AD2680" s="92"/>
      <c r="AE2680" s="92"/>
      <c r="AF2680" s="92"/>
      <c r="AG2680" s="92"/>
      <c r="AH2680" s="92"/>
      <c r="AI2680" s="92"/>
      <c r="AJ2680" s="92"/>
      <c r="AK2680" s="92"/>
      <c r="AL2680" s="92"/>
      <c r="AM2680" s="92"/>
      <c r="AN2680" s="92"/>
      <c r="AO2680" s="92"/>
      <c r="AP2680" s="92"/>
      <c r="AQ2680" s="92"/>
      <c r="AR2680" s="92"/>
      <c r="AS2680" s="92"/>
      <c r="AT2680" s="92"/>
      <c r="AU2680" s="92"/>
      <c r="AV2680" s="92"/>
      <c r="AW2680" s="92"/>
      <c r="AX2680" s="92"/>
      <c r="AY2680" s="92"/>
      <c r="AZ2680" s="92"/>
      <c r="BA2680" s="92"/>
      <c r="BB2680" s="92"/>
      <c r="BC2680" s="92"/>
      <c r="BD2680" s="92"/>
      <c r="BE2680" s="92"/>
      <c r="BF2680" s="92"/>
      <c r="BG2680" s="92"/>
      <c r="BH2680" s="92"/>
      <c r="BI2680" s="92"/>
      <c r="BJ2680" s="92"/>
      <c r="BK2680" s="92"/>
      <c r="BL2680" s="92"/>
      <c r="BM2680" s="92"/>
      <c r="BN2680" s="92"/>
      <c r="BO2680" s="92"/>
      <c r="BP2680" s="92"/>
      <c r="BQ2680" s="92"/>
      <c r="BR2680" s="92"/>
      <c r="BS2680" s="92"/>
      <c r="BT2680" s="92"/>
      <c r="BU2680" s="92"/>
      <c r="BV2680" s="92"/>
      <c r="BW2680" s="92"/>
      <c r="BX2680" s="92"/>
      <c r="BY2680" s="92"/>
      <c r="BZ2680" s="92"/>
      <c r="CA2680" s="92"/>
      <c r="CB2680" s="92"/>
      <c r="CC2680" s="92"/>
      <c r="CD2680" s="92"/>
      <c r="CE2680" s="92"/>
      <c r="CF2680" s="92"/>
      <c r="CG2680" s="92"/>
      <c r="CH2680" s="92"/>
      <c r="CI2680" s="92"/>
      <c r="CJ2680" s="92"/>
      <c r="CK2680" s="92"/>
      <c r="CL2680" s="92"/>
      <c r="CM2680" s="92"/>
      <c r="CN2680" s="92"/>
      <c r="CO2680" s="92"/>
      <c r="CP2680" s="92"/>
      <c r="CQ2680" s="92"/>
      <c r="CR2680" s="92"/>
      <c r="CS2680" s="92"/>
      <c r="CT2680" s="92"/>
      <c r="CU2680" s="92"/>
      <c r="CV2680" s="92"/>
      <c r="CW2680" s="92"/>
      <c r="CX2680" s="92"/>
      <c r="CY2680" s="92"/>
      <c r="CZ2680" s="92"/>
      <c r="DA2680" s="92"/>
      <c r="DB2680" s="92"/>
      <c r="DC2680" s="92"/>
      <c r="DD2680" s="92"/>
      <c r="DE2680" s="92"/>
      <c r="DF2680" s="92"/>
      <c r="DG2680" s="92"/>
      <c r="DH2680" s="92"/>
      <c r="DI2680" s="92"/>
      <c r="DJ2680" s="92"/>
      <c r="DK2680" s="92"/>
      <c r="DL2680" s="92"/>
      <c r="DM2680" s="92"/>
      <c r="DN2680" s="92"/>
      <c r="DO2680" s="92"/>
      <c r="DP2680" s="92"/>
      <c r="DQ2680" s="92"/>
      <c r="DR2680" s="92"/>
      <c r="DS2680" s="92"/>
      <c r="DT2680" s="92"/>
      <c r="DU2680" s="92"/>
      <c r="DV2680" s="92"/>
      <c r="DW2680" s="92"/>
      <c r="DX2680" s="92"/>
      <c r="DY2680" s="92"/>
      <c r="DZ2680" s="92"/>
      <c r="EA2680" s="92"/>
      <c r="EB2680" s="92"/>
      <c r="EC2680" s="92"/>
      <c r="ED2680" s="92"/>
      <c r="EE2680" s="92"/>
      <c r="EF2680" s="92"/>
      <c r="EG2680" s="92"/>
      <c r="EH2680" s="92"/>
      <c r="EI2680" s="92"/>
      <c r="EJ2680" s="92"/>
      <c r="EK2680" s="92"/>
      <c r="EL2680" s="92"/>
      <c r="EM2680" s="92"/>
      <c r="EN2680" s="92"/>
      <c r="EO2680" s="92"/>
      <c r="EP2680" s="92"/>
      <c r="EQ2680" s="92"/>
      <c r="ER2680" s="92"/>
      <c r="ES2680" s="92"/>
      <c r="ET2680" s="92"/>
      <c r="EU2680" s="92"/>
      <c r="EV2680" s="92"/>
      <c r="EW2680" s="92"/>
      <c r="EX2680" s="92"/>
      <c r="EY2680" s="92"/>
      <c r="EZ2680" s="92"/>
      <c r="FA2680" s="92"/>
      <c r="FB2680" s="92"/>
      <c r="FC2680" s="92"/>
      <c r="FD2680" s="92"/>
      <c r="FE2680" s="92"/>
      <c r="FF2680" s="92"/>
      <c r="FG2680" s="92"/>
      <c r="FH2680" s="92"/>
      <c r="FI2680" s="92"/>
      <c r="FJ2680" s="92"/>
      <c r="FK2680" s="92"/>
      <c r="FL2680" s="92"/>
      <c r="FM2680" s="92"/>
      <c r="FN2680" s="92"/>
      <c r="FO2680" s="92"/>
      <c r="FP2680" s="92"/>
      <c r="FQ2680" s="92"/>
      <c r="FR2680" s="92"/>
      <c r="FS2680" s="92"/>
      <c r="FT2680" s="92"/>
      <c r="FU2680" s="92"/>
      <c r="FV2680" s="92"/>
      <c r="FW2680" s="92"/>
      <c r="FX2680" s="92"/>
      <c r="FY2680" s="92"/>
      <c r="FZ2680" s="92"/>
      <c r="GA2680" s="92"/>
      <c r="GB2680" s="92"/>
      <c r="GC2680" s="92"/>
      <c r="GD2680" s="92"/>
      <c r="GE2680" s="92"/>
      <c r="GF2680" s="92"/>
      <c r="GG2680" s="92"/>
      <c r="GH2680" s="92"/>
      <c r="GI2680" s="92"/>
      <c r="GJ2680" s="92"/>
      <c r="GK2680" s="92"/>
      <c r="GL2680" s="92"/>
      <c r="GM2680" s="92"/>
      <c r="GN2680" s="92"/>
      <c r="GO2680" s="92"/>
      <c r="GP2680" s="92"/>
      <c r="GQ2680" s="92"/>
      <c r="GR2680" s="92"/>
      <c r="GS2680" s="92"/>
      <c r="GT2680" s="92"/>
      <c r="GU2680" s="92"/>
      <c r="GV2680" s="92"/>
      <c r="GW2680" s="92"/>
      <c r="GX2680" s="92"/>
      <c r="GY2680" s="92"/>
      <c r="GZ2680" s="92"/>
      <c r="HA2680" s="92"/>
      <c r="HB2680" s="92"/>
      <c r="HC2680" s="92"/>
      <c r="HD2680" s="92"/>
      <c r="HE2680" s="92"/>
      <c r="HF2680" s="92"/>
      <c r="HG2680" s="92"/>
      <c r="HH2680" s="92"/>
      <c r="HI2680" s="92"/>
      <c r="HJ2680" s="92"/>
      <c r="HK2680" s="92"/>
      <c r="HL2680" s="92"/>
      <c r="HM2680" s="92"/>
      <c r="HN2680" s="92"/>
      <c r="HO2680" s="92"/>
      <c r="HP2680" s="92"/>
      <c r="HQ2680" s="92"/>
    </row>
    <row r="2681" spans="1:225" x14ac:dyDescent="0.35">
      <c r="A2681" s="287"/>
      <c r="B2681" s="287"/>
      <c r="C2681" s="297"/>
      <c r="D2681" s="281"/>
      <c r="E2681" s="287"/>
      <c r="F2681" s="287"/>
      <c r="G2681" s="287"/>
      <c r="H2681" s="116" t="s">
        <v>76</v>
      </c>
      <c r="I2681" s="86">
        <v>0</v>
      </c>
      <c r="J2681" s="86">
        <v>0</v>
      </c>
      <c r="K2681" s="86">
        <v>148</v>
      </c>
      <c r="L2681" s="92"/>
      <c r="M2681" s="92"/>
      <c r="N2681" s="92"/>
      <c r="O2681" s="92"/>
      <c r="P2681" s="92"/>
      <c r="Q2681" s="92"/>
      <c r="R2681" s="92"/>
      <c r="S2681" s="92"/>
      <c r="T2681" s="92"/>
      <c r="U2681" s="92"/>
      <c r="V2681" s="92"/>
      <c r="W2681" s="92"/>
      <c r="X2681" s="92"/>
      <c r="Y2681" s="92"/>
      <c r="Z2681" s="92"/>
      <c r="AA2681" s="92"/>
      <c r="AB2681" s="92"/>
      <c r="AC2681" s="92"/>
      <c r="AD2681" s="92"/>
      <c r="AE2681" s="92"/>
      <c r="AF2681" s="92"/>
      <c r="AG2681" s="92"/>
      <c r="AH2681" s="92"/>
      <c r="AI2681" s="92"/>
      <c r="AJ2681" s="92"/>
      <c r="AK2681" s="92"/>
      <c r="AL2681" s="92"/>
      <c r="AM2681" s="92"/>
      <c r="AN2681" s="92"/>
      <c r="AO2681" s="92"/>
      <c r="AP2681" s="92"/>
      <c r="AQ2681" s="92"/>
      <c r="AR2681" s="92"/>
      <c r="AS2681" s="92"/>
      <c r="AT2681" s="92"/>
      <c r="AU2681" s="92"/>
      <c r="AV2681" s="92"/>
      <c r="AW2681" s="92"/>
      <c r="AX2681" s="92"/>
      <c r="AY2681" s="92"/>
      <c r="AZ2681" s="92"/>
      <c r="BA2681" s="92"/>
      <c r="BB2681" s="92"/>
      <c r="BC2681" s="92"/>
      <c r="BD2681" s="92"/>
      <c r="BE2681" s="92"/>
      <c r="BF2681" s="92"/>
      <c r="BG2681" s="92"/>
      <c r="BH2681" s="92"/>
      <c r="BI2681" s="92"/>
      <c r="BJ2681" s="92"/>
      <c r="BK2681" s="92"/>
      <c r="BL2681" s="92"/>
      <c r="BM2681" s="92"/>
      <c r="BN2681" s="92"/>
      <c r="BO2681" s="92"/>
      <c r="BP2681" s="92"/>
      <c r="BQ2681" s="92"/>
      <c r="BR2681" s="92"/>
      <c r="BS2681" s="92"/>
      <c r="BT2681" s="92"/>
      <c r="BU2681" s="92"/>
      <c r="BV2681" s="92"/>
      <c r="BW2681" s="92"/>
      <c r="BX2681" s="92"/>
      <c r="BY2681" s="92"/>
      <c r="BZ2681" s="92"/>
      <c r="CA2681" s="92"/>
      <c r="CB2681" s="92"/>
      <c r="CC2681" s="92"/>
      <c r="CD2681" s="92"/>
      <c r="CE2681" s="92"/>
      <c r="CF2681" s="92"/>
      <c r="CG2681" s="92"/>
      <c r="CH2681" s="92"/>
      <c r="CI2681" s="92"/>
      <c r="CJ2681" s="92"/>
      <c r="CK2681" s="92"/>
      <c r="CL2681" s="92"/>
      <c r="CM2681" s="92"/>
      <c r="CN2681" s="92"/>
      <c r="CO2681" s="92"/>
      <c r="CP2681" s="92"/>
      <c r="CQ2681" s="92"/>
      <c r="CR2681" s="92"/>
      <c r="CS2681" s="92"/>
      <c r="CT2681" s="92"/>
      <c r="CU2681" s="92"/>
      <c r="CV2681" s="92"/>
      <c r="CW2681" s="92"/>
      <c r="CX2681" s="92"/>
      <c r="CY2681" s="92"/>
      <c r="CZ2681" s="92"/>
      <c r="DA2681" s="92"/>
      <c r="DB2681" s="92"/>
      <c r="DC2681" s="92"/>
      <c r="DD2681" s="92"/>
      <c r="DE2681" s="92"/>
      <c r="DF2681" s="92"/>
      <c r="DG2681" s="92"/>
      <c r="DH2681" s="92"/>
      <c r="DI2681" s="92"/>
      <c r="DJ2681" s="92"/>
      <c r="DK2681" s="92"/>
      <c r="DL2681" s="92"/>
      <c r="DM2681" s="92"/>
      <c r="DN2681" s="92"/>
      <c r="DO2681" s="92"/>
      <c r="DP2681" s="92"/>
      <c r="DQ2681" s="92"/>
      <c r="DR2681" s="92"/>
      <c r="DS2681" s="92"/>
      <c r="DT2681" s="92"/>
      <c r="DU2681" s="92"/>
      <c r="DV2681" s="92"/>
      <c r="DW2681" s="92"/>
      <c r="DX2681" s="92"/>
      <c r="DY2681" s="92"/>
      <c r="DZ2681" s="92"/>
      <c r="EA2681" s="92"/>
      <c r="EB2681" s="92"/>
      <c r="EC2681" s="92"/>
      <c r="ED2681" s="92"/>
      <c r="EE2681" s="92"/>
      <c r="EF2681" s="92"/>
      <c r="EG2681" s="92"/>
      <c r="EH2681" s="92"/>
      <c r="EI2681" s="92"/>
      <c r="EJ2681" s="92"/>
      <c r="EK2681" s="92"/>
      <c r="EL2681" s="92"/>
      <c r="EM2681" s="92"/>
      <c r="EN2681" s="92"/>
      <c r="EO2681" s="92"/>
      <c r="EP2681" s="92"/>
      <c r="EQ2681" s="92"/>
      <c r="ER2681" s="92"/>
      <c r="ES2681" s="92"/>
      <c r="ET2681" s="92"/>
      <c r="EU2681" s="92"/>
      <c r="EV2681" s="92"/>
      <c r="EW2681" s="92"/>
      <c r="EX2681" s="92"/>
      <c r="EY2681" s="92"/>
      <c r="EZ2681" s="92"/>
      <c r="FA2681" s="92"/>
      <c r="FB2681" s="92"/>
      <c r="FC2681" s="92"/>
      <c r="FD2681" s="92"/>
      <c r="FE2681" s="92"/>
      <c r="FF2681" s="92"/>
      <c r="FG2681" s="92"/>
      <c r="FH2681" s="92"/>
      <c r="FI2681" s="92"/>
      <c r="FJ2681" s="92"/>
      <c r="FK2681" s="92"/>
      <c r="FL2681" s="92"/>
      <c r="FM2681" s="92"/>
      <c r="FN2681" s="92"/>
      <c r="FO2681" s="92"/>
      <c r="FP2681" s="92"/>
      <c r="FQ2681" s="92"/>
      <c r="FR2681" s="92"/>
      <c r="FS2681" s="92"/>
      <c r="FT2681" s="92"/>
      <c r="FU2681" s="92"/>
      <c r="FV2681" s="92"/>
      <c r="FW2681" s="92"/>
      <c r="FX2681" s="92"/>
      <c r="FY2681" s="92"/>
      <c r="FZ2681" s="92"/>
      <c r="GA2681" s="92"/>
      <c r="GB2681" s="92"/>
      <c r="GC2681" s="92"/>
      <c r="GD2681" s="92"/>
      <c r="GE2681" s="92"/>
      <c r="GF2681" s="92"/>
      <c r="GG2681" s="92"/>
      <c r="GH2681" s="92"/>
      <c r="GI2681" s="92"/>
      <c r="GJ2681" s="92"/>
      <c r="GK2681" s="92"/>
      <c r="GL2681" s="92"/>
      <c r="GM2681" s="92"/>
      <c r="GN2681" s="92"/>
      <c r="GO2681" s="92"/>
      <c r="GP2681" s="92"/>
      <c r="GQ2681" s="92"/>
      <c r="GR2681" s="92"/>
      <c r="GS2681" s="92"/>
      <c r="GT2681" s="92"/>
      <c r="GU2681" s="92"/>
      <c r="GV2681" s="92"/>
      <c r="GW2681" s="92"/>
      <c r="GX2681" s="92"/>
      <c r="GY2681" s="92"/>
      <c r="GZ2681" s="92"/>
      <c r="HA2681" s="92"/>
      <c r="HB2681" s="92"/>
      <c r="HC2681" s="92"/>
      <c r="HD2681" s="92"/>
      <c r="HE2681" s="92"/>
      <c r="HF2681" s="92"/>
      <c r="HG2681" s="92"/>
      <c r="HH2681" s="92"/>
      <c r="HI2681" s="92"/>
      <c r="HJ2681" s="92"/>
      <c r="HK2681" s="92"/>
      <c r="HL2681" s="92"/>
      <c r="HM2681" s="92"/>
      <c r="HN2681" s="92"/>
      <c r="HO2681" s="92"/>
      <c r="HP2681" s="92"/>
      <c r="HQ2681" s="92"/>
    </row>
    <row r="2682" spans="1:225" s="92" customFormat="1" ht="15.75" customHeight="1" x14ac:dyDescent="0.3">
      <c r="A2682" s="285">
        <f>A2679+1</f>
        <v>23</v>
      </c>
      <c r="B2682" s="285">
        <v>6476</v>
      </c>
      <c r="C2682" s="295" t="s">
        <v>230</v>
      </c>
      <c r="D2682" s="279">
        <v>525</v>
      </c>
      <c r="E2682" s="285" t="s">
        <v>665</v>
      </c>
      <c r="F2682" s="285">
        <v>2</v>
      </c>
      <c r="G2682" s="285" t="s">
        <v>72</v>
      </c>
      <c r="H2682" s="116" t="s">
        <v>73</v>
      </c>
      <c r="I2682" s="86">
        <f>I2683+I2684</f>
        <v>3631950</v>
      </c>
      <c r="J2682" s="86">
        <f>J2683+J2684</f>
        <v>6918</v>
      </c>
      <c r="K2682" s="86">
        <f>K2683+K2684</f>
        <v>7066</v>
      </c>
    </row>
    <row r="2683" spans="1:225" s="92" customFormat="1" x14ac:dyDescent="0.3">
      <c r="A2683" s="286">
        <v>65</v>
      </c>
      <c r="B2683" s="286"/>
      <c r="C2683" s="296"/>
      <c r="D2683" s="280"/>
      <c r="E2683" s="286"/>
      <c r="F2683" s="286"/>
      <c r="G2683" s="286"/>
      <c r="H2683" s="116" t="s">
        <v>667</v>
      </c>
      <c r="I2683" s="86">
        <f>D2682*K2683</f>
        <v>3631950</v>
      </c>
      <c r="J2683" s="86">
        <f>I2683/D2682</f>
        <v>6918</v>
      </c>
      <c r="K2683" s="86">
        <v>6918</v>
      </c>
    </row>
    <row r="2684" spans="1:225" s="92" customFormat="1" x14ac:dyDescent="0.3">
      <c r="A2684" s="287"/>
      <c r="B2684" s="287"/>
      <c r="C2684" s="297"/>
      <c r="D2684" s="281"/>
      <c r="E2684" s="287"/>
      <c r="F2684" s="287"/>
      <c r="G2684" s="287"/>
      <c r="H2684" s="116" t="s">
        <v>76</v>
      </c>
      <c r="I2684" s="86">
        <v>0</v>
      </c>
      <c r="J2684" s="86">
        <v>0</v>
      </c>
      <c r="K2684" s="86">
        <v>148</v>
      </c>
    </row>
    <row r="2685" spans="1:225" s="92" customFormat="1" x14ac:dyDescent="0.3">
      <c r="A2685" s="308">
        <f>A2682+1</f>
        <v>24</v>
      </c>
      <c r="B2685" s="308">
        <v>6490</v>
      </c>
      <c r="C2685" s="301" t="s">
        <v>656</v>
      </c>
      <c r="D2685" s="274">
        <v>3518.3</v>
      </c>
      <c r="E2685" s="274" t="s">
        <v>71</v>
      </c>
      <c r="F2685" s="334">
        <v>5</v>
      </c>
      <c r="G2685" s="308" t="s">
        <v>72</v>
      </c>
      <c r="H2685" s="116" t="s">
        <v>73</v>
      </c>
      <c r="I2685" s="86">
        <f>I2686</f>
        <v>577001.19999999995</v>
      </c>
      <c r="J2685" s="86">
        <f>J2686</f>
        <v>164</v>
      </c>
      <c r="K2685" s="86">
        <f>K2686</f>
        <v>164</v>
      </c>
    </row>
    <row r="2686" spans="1:225" s="92" customFormat="1" ht="46.5" x14ac:dyDescent="0.3">
      <c r="A2686" s="308">
        <v>65</v>
      </c>
      <c r="B2686" s="308"/>
      <c r="C2686" s="301"/>
      <c r="D2686" s="274"/>
      <c r="E2686" s="274"/>
      <c r="F2686" s="334"/>
      <c r="G2686" s="308"/>
      <c r="H2686" s="159" t="s">
        <v>705</v>
      </c>
      <c r="I2686" s="86">
        <f>D2685*K2686</f>
        <v>577001.19999999995</v>
      </c>
      <c r="J2686" s="86">
        <f>I2686/D2685</f>
        <v>164</v>
      </c>
      <c r="K2686" s="86">
        <f>151+13</f>
        <v>164</v>
      </c>
    </row>
    <row r="2687" spans="1:225" s="92" customFormat="1" ht="15.75" customHeight="1" x14ac:dyDescent="0.3">
      <c r="A2687" s="335">
        <f>A2685+1</f>
        <v>25</v>
      </c>
      <c r="B2687" s="335">
        <v>6550</v>
      </c>
      <c r="C2687" s="348" t="s">
        <v>232</v>
      </c>
      <c r="D2687" s="279">
        <v>485.6</v>
      </c>
      <c r="E2687" s="335" t="s">
        <v>665</v>
      </c>
      <c r="F2687" s="335">
        <v>2</v>
      </c>
      <c r="G2687" s="285" t="s">
        <v>82</v>
      </c>
      <c r="H2687" s="116" t="s">
        <v>73</v>
      </c>
      <c r="I2687" s="86">
        <f>I2688+I2689</f>
        <v>1740730.32</v>
      </c>
      <c r="J2687" s="86">
        <f>J2688+J2689</f>
        <v>3584.7</v>
      </c>
      <c r="K2687" s="86">
        <f>K2688+K2689</f>
        <v>5231</v>
      </c>
    </row>
    <row r="2688" spans="1:225" s="92" customFormat="1" x14ac:dyDescent="0.3">
      <c r="A2688" s="336"/>
      <c r="B2688" s="336"/>
      <c r="C2688" s="349"/>
      <c r="D2688" s="280"/>
      <c r="E2688" s="336"/>
      <c r="F2688" s="336"/>
      <c r="G2688" s="286"/>
      <c r="H2688" s="116" t="s">
        <v>667</v>
      </c>
      <c r="I2688" s="86">
        <f>D2687*K2688*70/100</f>
        <v>1740730.32</v>
      </c>
      <c r="J2688" s="86">
        <f>I2688/D2687</f>
        <v>3584.7</v>
      </c>
      <c r="K2688" s="86">
        <v>5121</v>
      </c>
    </row>
    <row r="2689" spans="1:23" s="92" customFormat="1" x14ac:dyDescent="0.3">
      <c r="A2689" s="337"/>
      <c r="B2689" s="337"/>
      <c r="C2689" s="350"/>
      <c r="D2689" s="281"/>
      <c r="E2689" s="337"/>
      <c r="F2689" s="337"/>
      <c r="G2689" s="287"/>
      <c r="H2689" s="116" t="s">
        <v>76</v>
      </c>
      <c r="I2689" s="86">
        <v>0</v>
      </c>
      <c r="J2689" s="86">
        <v>0</v>
      </c>
      <c r="K2689" s="86">
        <v>110</v>
      </c>
    </row>
    <row r="2690" spans="1:23" s="92" customFormat="1" ht="15.75" customHeight="1" x14ac:dyDescent="0.3">
      <c r="A2690" s="335">
        <f>A2687+1</f>
        <v>26</v>
      </c>
      <c r="B2690" s="335">
        <v>6551</v>
      </c>
      <c r="C2690" s="348" t="s">
        <v>234</v>
      </c>
      <c r="D2690" s="279">
        <v>476</v>
      </c>
      <c r="E2690" s="335" t="s">
        <v>665</v>
      </c>
      <c r="F2690" s="335">
        <v>2</v>
      </c>
      <c r="G2690" s="285" t="s">
        <v>82</v>
      </c>
      <c r="H2690" s="116" t="s">
        <v>73</v>
      </c>
      <c r="I2690" s="86">
        <f>I2691+I2692</f>
        <v>1706317.2</v>
      </c>
      <c r="J2690" s="86">
        <f>J2691+J2692</f>
        <v>3584.7</v>
      </c>
      <c r="K2690" s="86">
        <f>K2691+K2692</f>
        <v>5231</v>
      </c>
    </row>
    <row r="2691" spans="1:23" s="92" customFormat="1" x14ac:dyDescent="0.3">
      <c r="A2691" s="336"/>
      <c r="B2691" s="336"/>
      <c r="C2691" s="349"/>
      <c r="D2691" s="280"/>
      <c r="E2691" s="336"/>
      <c r="F2691" s="336"/>
      <c r="G2691" s="286"/>
      <c r="H2691" s="116" t="s">
        <v>74</v>
      </c>
      <c r="I2691" s="86">
        <f>D2690*K2691*0.7</f>
        <v>1706317.2</v>
      </c>
      <c r="J2691" s="86">
        <f>I2691/D2690</f>
        <v>3584.7</v>
      </c>
      <c r="K2691" s="86">
        <v>5121</v>
      </c>
    </row>
    <row r="2692" spans="1:23" s="92" customFormat="1" x14ac:dyDescent="0.3">
      <c r="A2692" s="337"/>
      <c r="B2692" s="337"/>
      <c r="C2692" s="350"/>
      <c r="D2692" s="281"/>
      <c r="E2692" s="337"/>
      <c r="F2692" s="337"/>
      <c r="G2692" s="287"/>
      <c r="H2692" s="116" t="s">
        <v>76</v>
      </c>
      <c r="I2692" s="86">
        <v>0</v>
      </c>
      <c r="J2692" s="86">
        <v>0</v>
      </c>
      <c r="K2692" s="86">
        <v>110</v>
      </c>
    </row>
    <row r="2693" spans="1:23" x14ac:dyDescent="0.35">
      <c r="A2693" s="153" t="s">
        <v>46</v>
      </c>
      <c r="B2693" s="143"/>
      <c r="C2693" s="152"/>
      <c r="D2693" s="125">
        <f>D2694+D2699+D2704+D2715+D2726+D2729+D2738+D2741+D2744+D2746+D2749+D2752</f>
        <v>36727.660000000003</v>
      </c>
      <c r="E2693" s="125"/>
      <c r="F2693" s="125"/>
      <c r="G2693" s="125"/>
      <c r="H2693" s="158"/>
      <c r="I2693" s="158">
        <f>I2694+I2699+I2704+I2715+I2726+I2729+I2738+I2741+I2744+I2746+I2749+I2752</f>
        <v>51951736.340000004</v>
      </c>
      <c r="J2693" s="158"/>
      <c r="K2693" s="158"/>
    </row>
    <row r="2694" spans="1:23" ht="15.75" customHeight="1" x14ac:dyDescent="0.35">
      <c r="A2694" s="251">
        <v>1</v>
      </c>
      <c r="B2694" s="251">
        <v>5086</v>
      </c>
      <c r="C2694" s="315" t="s">
        <v>657</v>
      </c>
      <c r="D2694" s="253">
        <v>3129.5</v>
      </c>
      <c r="E2694" s="253" t="s">
        <v>75</v>
      </c>
      <c r="F2694" s="255">
        <v>5</v>
      </c>
      <c r="G2694" s="149"/>
      <c r="H2694" s="159" t="s">
        <v>73</v>
      </c>
      <c r="I2694" s="158">
        <f>I2695+I2696+I2697+I2698</f>
        <v>500720</v>
      </c>
      <c r="J2694" s="158">
        <f>J2695+J2696+J2697+J2698</f>
        <v>160</v>
      </c>
      <c r="K2694" s="158">
        <f>K2695+K2696+K2697+K2698</f>
        <v>160</v>
      </c>
      <c r="L2694" s="7"/>
      <c r="M2694" s="7"/>
      <c r="N2694" s="7"/>
      <c r="O2694" s="7"/>
      <c r="P2694" s="7"/>
      <c r="Q2694" s="7"/>
      <c r="R2694" s="7"/>
      <c r="S2694" s="7"/>
      <c r="T2694" s="7"/>
      <c r="U2694" s="7"/>
      <c r="V2694" s="7"/>
      <c r="W2694" s="7"/>
    </row>
    <row r="2695" spans="1:23" ht="31" x14ac:dyDescent="0.35">
      <c r="A2695" s="251"/>
      <c r="B2695" s="251"/>
      <c r="C2695" s="315"/>
      <c r="D2695" s="253"/>
      <c r="E2695" s="253"/>
      <c r="F2695" s="255"/>
      <c r="G2695" s="123" t="s">
        <v>77</v>
      </c>
      <c r="H2695" s="159" t="s">
        <v>666</v>
      </c>
      <c r="I2695" s="158">
        <f>K2695*D2694</f>
        <v>291043.5</v>
      </c>
      <c r="J2695" s="158">
        <f>I2695/D2694</f>
        <v>93</v>
      </c>
      <c r="K2695" s="158">
        <f>86+7</f>
        <v>93</v>
      </c>
      <c r="L2695" s="7"/>
      <c r="M2695" s="7"/>
      <c r="N2695" s="7"/>
      <c r="O2695" s="7"/>
      <c r="P2695" s="7"/>
      <c r="Q2695" s="7"/>
      <c r="R2695" s="7"/>
      <c r="S2695" s="7"/>
      <c r="T2695" s="7"/>
      <c r="U2695" s="7"/>
      <c r="V2695" s="7"/>
      <c r="W2695" s="7"/>
    </row>
    <row r="2696" spans="1:23" ht="46.5" x14ac:dyDescent="0.35">
      <c r="A2696" s="251"/>
      <c r="B2696" s="251"/>
      <c r="C2696" s="315"/>
      <c r="D2696" s="253"/>
      <c r="E2696" s="253"/>
      <c r="F2696" s="255"/>
      <c r="G2696" s="123" t="s">
        <v>78</v>
      </c>
      <c r="H2696" s="159" t="s">
        <v>666</v>
      </c>
      <c r="I2696" s="158">
        <f>K2696*D2694</f>
        <v>71978.5</v>
      </c>
      <c r="J2696" s="158">
        <f>I2696/D2694</f>
        <v>23</v>
      </c>
      <c r="K2696" s="158">
        <f>21+2</f>
        <v>23</v>
      </c>
      <c r="L2696" s="7"/>
      <c r="M2696" s="7"/>
      <c r="N2696" s="7"/>
      <c r="O2696" s="7"/>
      <c r="P2696" s="7"/>
      <c r="Q2696" s="7"/>
      <c r="R2696" s="7"/>
      <c r="S2696" s="7"/>
      <c r="T2696" s="7"/>
      <c r="U2696" s="7"/>
      <c r="V2696" s="7"/>
      <c r="W2696" s="7"/>
    </row>
    <row r="2697" spans="1:23" ht="31" x14ac:dyDescent="0.35">
      <c r="A2697" s="251"/>
      <c r="B2697" s="251"/>
      <c r="C2697" s="315"/>
      <c r="D2697" s="253"/>
      <c r="E2697" s="253"/>
      <c r="F2697" s="255"/>
      <c r="G2697" s="123" t="s">
        <v>79</v>
      </c>
      <c r="H2697" s="159" t="s">
        <v>666</v>
      </c>
      <c r="I2697" s="158">
        <f>K2697*D2694</f>
        <v>71978.5</v>
      </c>
      <c r="J2697" s="158">
        <f>I2697/D2694</f>
        <v>23</v>
      </c>
      <c r="K2697" s="158">
        <f>21+2</f>
        <v>23</v>
      </c>
      <c r="L2697" s="7"/>
      <c r="M2697" s="7"/>
      <c r="N2697" s="7"/>
      <c r="O2697" s="7"/>
      <c r="P2697" s="7"/>
      <c r="Q2697" s="7"/>
      <c r="R2697" s="7"/>
      <c r="S2697" s="7"/>
      <c r="T2697" s="7"/>
      <c r="U2697" s="7"/>
      <c r="V2697" s="7"/>
      <c r="W2697" s="7"/>
    </row>
    <row r="2698" spans="1:23" ht="31" x14ac:dyDescent="0.35">
      <c r="A2698" s="251"/>
      <c r="B2698" s="251"/>
      <c r="C2698" s="315"/>
      <c r="D2698" s="253"/>
      <c r="E2698" s="253"/>
      <c r="F2698" s="255"/>
      <c r="G2698" s="123" t="s">
        <v>90</v>
      </c>
      <c r="H2698" s="159" t="s">
        <v>666</v>
      </c>
      <c r="I2698" s="158">
        <f>K2698*D2694</f>
        <v>65719.5</v>
      </c>
      <c r="J2698" s="158">
        <f>I2698/D2694</f>
        <v>21</v>
      </c>
      <c r="K2698" s="158">
        <f>19+2</f>
        <v>21</v>
      </c>
      <c r="L2698" s="7"/>
      <c r="M2698" s="7"/>
      <c r="N2698" s="7"/>
      <c r="O2698" s="7"/>
      <c r="P2698" s="7"/>
      <c r="Q2698" s="7"/>
      <c r="R2698" s="7"/>
      <c r="S2698" s="7"/>
      <c r="T2698" s="7"/>
      <c r="U2698" s="7"/>
      <c r="V2698" s="7"/>
      <c r="W2698" s="7"/>
    </row>
    <row r="2699" spans="1:23" ht="15.75" customHeight="1" x14ac:dyDescent="0.35">
      <c r="A2699" s="251">
        <f>A2694+1</f>
        <v>2</v>
      </c>
      <c r="B2699" s="251">
        <v>5087</v>
      </c>
      <c r="C2699" s="315" t="s">
        <v>658</v>
      </c>
      <c r="D2699" s="253">
        <v>2620.1999999999998</v>
      </c>
      <c r="E2699" s="253" t="s">
        <v>71</v>
      </c>
      <c r="F2699" s="255">
        <v>5</v>
      </c>
      <c r="G2699" s="149"/>
      <c r="H2699" s="159" t="s">
        <v>73</v>
      </c>
      <c r="I2699" s="158">
        <f>I2700+I2701+I2702+I2703</f>
        <v>487357.2</v>
      </c>
      <c r="J2699" s="158">
        <f>J2700+J2701+J2702+J2703</f>
        <v>186</v>
      </c>
      <c r="K2699" s="158">
        <f>K2700+K2701+K2702+K2703</f>
        <v>186</v>
      </c>
      <c r="L2699" s="7"/>
      <c r="M2699" s="7"/>
      <c r="N2699" s="7"/>
      <c r="O2699" s="7"/>
      <c r="P2699" s="7"/>
      <c r="Q2699" s="7"/>
      <c r="R2699" s="7"/>
      <c r="S2699" s="7"/>
      <c r="T2699" s="7"/>
      <c r="U2699" s="7"/>
      <c r="V2699" s="7"/>
      <c r="W2699" s="7"/>
    </row>
    <row r="2700" spans="1:23" ht="31" x14ac:dyDescent="0.35">
      <c r="A2700" s="251"/>
      <c r="B2700" s="251"/>
      <c r="C2700" s="315"/>
      <c r="D2700" s="253"/>
      <c r="E2700" s="253"/>
      <c r="F2700" s="255"/>
      <c r="G2700" s="123" t="s">
        <v>77</v>
      </c>
      <c r="H2700" s="159" t="s">
        <v>666</v>
      </c>
      <c r="I2700" s="158">
        <f>K2700*D2699</f>
        <v>311803.8</v>
      </c>
      <c r="J2700" s="158">
        <f>I2700/D2699</f>
        <v>119</v>
      </c>
      <c r="K2700" s="158">
        <f>110+9</f>
        <v>119</v>
      </c>
      <c r="L2700" s="7"/>
      <c r="M2700" s="7"/>
      <c r="N2700" s="7"/>
      <c r="O2700" s="7"/>
      <c r="P2700" s="7"/>
      <c r="Q2700" s="7"/>
      <c r="R2700" s="7"/>
      <c r="S2700" s="7"/>
      <c r="T2700" s="7"/>
      <c r="U2700" s="7"/>
      <c r="V2700" s="7"/>
      <c r="W2700" s="7"/>
    </row>
    <row r="2701" spans="1:23" ht="46.5" x14ac:dyDescent="0.35">
      <c r="A2701" s="251"/>
      <c r="B2701" s="251"/>
      <c r="C2701" s="315"/>
      <c r="D2701" s="253"/>
      <c r="E2701" s="253"/>
      <c r="F2701" s="255"/>
      <c r="G2701" s="123" t="s">
        <v>78</v>
      </c>
      <c r="H2701" s="159" t="s">
        <v>666</v>
      </c>
      <c r="I2701" s="158">
        <f>K2701*D2699</f>
        <v>60264.6</v>
      </c>
      <c r="J2701" s="158">
        <f>I2701/D2699</f>
        <v>23</v>
      </c>
      <c r="K2701" s="158">
        <f>21+2</f>
        <v>23</v>
      </c>
      <c r="L2701" s="7"/>
      <c r="M2701" s="7"/>
      <c r="N2701" s="7"/>
      <c r="O2701" s="7"/>
      <c r="P2701" s="7"/>
      <c r="Q2701" s="7"/>
      <c r="R2701" s="7"/>
      <c r="S2701" s="7"/>
      <c r="T2701" s="7"/>
      <c r="U2701" s="7"/>
      <c r="V2701" s="7"/>
      <c r="W2701" s="7"/>
    </row>
    <row r="2702" spans="1:23" ht="31" x14ac:dyDescent="0.35">
      <c r="A2702" s="251"/>
      <c r="B2702" s="251"/>
      <c r="C2702" s="315"/>
      <c r="D2702" s="253"/>
      <c r="E2702" s="253"/>
      <c r="F2702" s="255"/>
      <c r="G2702" s="123" t="s">
        <v>79</v>
      </c>
      <c r="H2702" s="159" t="s">
        <v>666</v>
      </c>
      <c r="I2702" s="158">
        <f>K2702*D2699</f>
        <v>60264.6</v>
      </c>
      <c r="J2702" s="158">
        <f>I2702/D2699</f>
        <v>23</v>
      </c>
      <c r="K2702" s="158">
        <f>21+2</f>
        <v>23</v>
      </c>
      <c r="L2702" s="7"/>
      <c r="M2702" s="7"/>
      <c r="N2702" s="7"/>
      <c r="O2702" s="7"/>
      <c r="P2702" s="7"/>
      <c r="Q2702" s="7"/>
      <c r="R2702" s="7"/>
      <c r="S2702" s="7"/>
      <c r="T2702" s="7"/>
      <c r="U2702" s="7"/>
      <c r="V2702" s="7"/>
      <c r="W2702" s="7"/>
    </row>
    <row r="2703" spans="1:23" ht="31" x14ac:dyDescent="0.35">
      <c r="A2703" s="251"/>
      <c r="B2703" s="251"/>
      <c r="C2703" s="315"/>
      <c r="D2703" s="253"/>
      <c r="E2703" s="253"/>
      <c r="F2703" s="255"/>
      <c r="G2703" s="123" t="s">
        <v>90</v>
      </c>
      <c r="H2703" s="159" t="s">
        <v>666</v>
      </c>
      <c r="I2703" s="158">
        <f>K2703*D2699</f>
        <v>55024.2</v>
      </c>
      <c r="J2703" s="158">
        <f>I2703/D2699</f>
        <v>21</v>
      </c>
      <c r="K2703" s="158">
        <f>19+2</f>
        <v>21</v>
      </c>
      <c r="L2703" s="7"/>
      <c r="M2703" s="7"/>
      <c r="N2703" s="7"/>
      <c r="O2703" s="7"/>
      <c r="P2703" s="7"/>
      <c r="Q2703" s="7"/>
      <c r="R2703" s="7"/>
      <c r="S2703" s="7"/>
      <c r="T2703" s="7"/>
      <c r="U2703" s="7"/>
      <c r="V2703" s="7"/>
      <c r="W2703" s="7"/>
    </row>
    <row r="2704" spans="1:23" ht="15.75" customHeight="1" x14ac:dyDescent="0.35">
      <c r="A2704" s="256">
        <f>A2699+1</f>
        <v>3</v>
      </c>
      <c r="B2704" s="256">
        <v>5098</v>
      </c>
      <c r="C2704" s="316" t="s">
        <v>530</v>
      </c>
      <c r="D2704" s="279">
        <v>374.5</v>
      </c>
      <c r="E2704" s="279" t="s">
        <v>71</v>
      </c>
      <c r="F2704" s="291">
        <v>2</v>
      </c>
      <c r="G2704" s="149"/>
      <c r="H2704" s="159" t="s">
        <v>73</v>
      </c>
      <c r="I2704" s="158">
        <f>I2705+I2706+I2707+I2708+I2709+I2710+I2711+I2712+I2713+I2714</f>
        <v>2998621.5</v>
      </c>
      <c r="J2704" s="158">
        <f>J2705+J2706+J2707+J2708+J2709+J2710+J2711+J2712+J2713+J2714</f>
        <v>8007</v>
      </c>
      <c r="K2704" s="158">
        <f>K2705+K2706+K2707+K2708+K2709+K2710+K2711+K2712+K2713+K2714</f>
        <v>8007</v>
      </c>
      <c r="L2704" s="7"/>
      <c r="M2704" s="7"/>
      <c r="N2704" s="7"/>
      <c r="O2704" s="7"/>
      <c r="P2704" s="7"/>
      <c r="Q2704" s="7"/>
      <c r="R2704" s="7"/>
      <c r="S2704" s="7"/>
      <c r="T2704" s="7"/>
      <c r="U2704" s="7"/>
      <c r="V2704" s="7"/>
      <c r="W2704" s="7"/>
    </row>
    <row r="2705" spans="1:226" x14ac:dyDescent="0.35">
      <c r="A2705" s="257"/>
      <c r="B2705" s="257"/>
      <c r="C2705" s="317"/>
      <c r="D2705" s="280"/>
      <c r="E2705" s="280"/>
      <c r="F2705" s="292"/>
      <c r="G2705" s="251" t="s">
        <v>77</v>
      </c>
      <c r="H2705" s="167" t="s">
        <v>74</v>
      </c>
      <c r="I2705" s="158">
        <f>D2704*K2705</f>
        <v>1027253.5</v>
      </c>
      <c r="J2705" s="158">
        <f>I2705/D2704</f>
        <v>2743</v>
      </c>
      <c r="K2705" s="158">
        <v>2743</v>
      </c>
      <c r="L2705" s="7"/>
      <c r="M2705" s="7"/>
      <c r="N2705" s="7"/>
      <c r="O2705" s="7"/>
      <c r="P2705" s="7"/>
      <c r="Q2705" s="7"/>
      <c r="R2705" s="7"/>
      <c r="S2705" s="7"/>
      <c r="T2705" s="7"/>
      <c r="U2705" s="7"/>
      <c r="V2705" s="7"/>
      <c r="W2705" s="7"/>
    </row>
    <row r="2706" spans="1:226" x14ac:dyDescent="0.35">
      <c r="A2706" s="257"/>
      <c r="B2706" s="257"/>
      <c r="C2706" s="317"/>
      <c r="D2706" s="280"/>
      <c r="E2706" s="280"/>
      <c r="F2706" s="292"/>
      <c r="G2706" s="251"/>
      <c r="H2706" s="167" t="s">
        <v>76</v>
      </c>
      <c r="I2706" s="158">
        <f>D2704*K2706</f>
        <v>22095.5</v>
      </c>
      <c r="J2706" s="158">
        <f>I2706/D2704</f>
        <v>59</v>
      </c>
      <c r="K2706" s="158">
        <v>59</v>
      </c>
      <c r="L2706" s="7"/>
      <c r="M2706" s="7"/>
      <c r="N2706" s="7"/>
      <c r="O2706" s="7"/>
      <c r="P2706" s="7"/>
      <c r="Q2706" s="7"/>
      <c r="R2706" s="7"/>
      <c r="S2706" s="7"/>
      <c r="T2706" s="7"/>
      <c r="U2706" s="7"/>
      <c r="V2706" s="7"/>
      <c r="W2706" s="7"/>
    </row>
    <row r="2707" spans="1:226" x14ac:dyDescent="0.35">
      <c r="A2707" s="257"/>
      <c r="B2707" s="257"/>
      <c r="C2707" s="317"/>
      <c r="D2707" s="280"/>
      <c r="E2707" s="280"/>
      <c r="F2707" s="292"/>
      <c r="G2707" s="251" t="s">
        <v>78</v>
      </c>
      <c r="H2707" s="167" t="s">
        <v>74</v>
      </c>
      <c r="I2707" s="158">
        <f>D2704*K2707</f>
        <v>198485</v>
      </c>
      <c r="J2707" s="158">
        <f>I2707/D2704</f>
        <v>530</v>
      </c>
      <c r="K2707" s="158">
        <v>530</v>
      </c>
      <c r="L2707" s="7"/>
      <c r="M2707" s="7"/>
      <c r="N2707" s="7"/>
      <c r="O2707" s="7"/>
      <c r="P2707" s="7"/>
      <c r="Q2707" s="7"/>
      <c r="R2707" s="7"/>
      <c r="S2707" s="7"/>
      <c r="T2707" s="7"/>
      <c r="U2707" s="7"/>
      <c r="V2707" s="7"/>
      <c r="W2707" s="7"/>
    </row>
    <row r="2708" spans="1:226" s="1" customFormat="1" x14ac:dyDescent="0.35">
      <c r="A2708" s="257"/>
      <c r="B2708" s="257"/>
      <c r="C2708" s="317"/>
      <c r="D2708" s="280"/>
      <c r="E2708" s="280"/>
      <c r="F2708" s="292"/>
      <c r="G2708" s="251"/>
      <c r="H2708" s="167" t="s">
        <v>76</v>
      </c>
      <c r="I2708" s="158">
        <f>D2704*K2708</f>
        <v>4119.5</v>
      </c>
      <c r="J2708" s="158">
        <f>I2708/D2704</f>
        <v>11</v>
      </c>
      <c r="K2708" s="158">
        <v>11</v>
      </c>
      <c r="L2708" s="7"/>
      <c r="M2708" s="7"/>
      <c r="N2708" s="7"/>
      <c r="O2708" s="7"/>
      <c r="P2708" s="7"/>
      <c r="Q2708" s="7"/>
      <c r="R2708" s="7"/>
      <c r="S2708" s="7"/>
      <c r="T2708" s="7"/>
      <c r="U2708" s="7"/>
      <c r="V2708" s="7"/>
      <c r="W2708" s="7"/>
      <c r="X2708" s="7"/>
      <c r="Y2708" s="7"/>
      <c r="Z2708" s="7"/>
      <c r="AA2708" s="7"/>
      <c r="AB2708" s="7"/>
      <c r="AC2708" s="7"/>
      <c r="AD2708" s="7"/>
      <c r="AE2708" s="7"/>
      <c r="AF2708" s="7"/>
      <c r="AG2708" s="7"/>
      <c r="AH2708" s="7"/>
      <c r="AI2708" s="7"/>
      <c r="AJ2708" s="7"/>
      <c r="AK2708" s="7"/>
      <c r="AL2708" s="7"/>
      <c r="AM2708" s="7"/>
      <c r="AN2708" s="7"/>
      <c r="AO2708" s="7"/>
      <c r="AP2708" s="7"/>
      <c r="AQ2708" s="7"/>
      <c r="AR2708" s="7"/>
      <c r="AS2708" s="7"/>
      <c r="AT2708" s="7"/>
      <c r="AU2708" s="7"/>
      <c r="AV2708" s="7"/>
      <c r="AW2708" s="7"/>
      <c r="AX2708" s="7"/>
      <c r="AY2708" s="7"/>
      <c r="AZ2708" s="7"/>
      <c r="BA2708" s="7"/>
      <c r="BB2708" s="7"/>
      <c r="BC2708" s="7"/>
      <c r="BD2708" s="7"/>
      <c r="BE2708" s="7"/>
      <c r="BF2708" s="7"/>
      <c r="BG2708" s="7"/>
      <c r="BH2708" s="7"/>
      <c r="BI2708" s="7"/>
      <c r="BJ2708" s="7"/>
      <c r="BK2708" s="7"/>
      <c r="BL2708" s="7"/>
      <c r="BM2708" s="7"/>
      <c r="BN2708" s="7"/>
      <c r="BO2708" s="7"/>
      <c r="BP2708" s="7"/>
      <c r="BQ2708" s="7"/>
      <c r="BR2708" s="7"/>
      <c r="BS2708" s="7"/>
      <c r="BT2708" s="7"/>
      <c r="BU2708" s="7"/>
      <c r="BV2708" s="7"/>
      <c r="BW2708" s="7"/>
      <c r="BX2708" s="7"/>
      <c r="BY2708" s="7"/>
      <c r="BZ2708" s="7"/>
      <c r="CA2708" s="7"/>
      <c r="CB2708" s="7"/>
      <c r="CC2708" s="7"/>
      <c r="CD2708" s="7"/>
      <c r="CE2708" s="7"/>
      <c r="CF2708" s="7"/>
      <c r="CG2708" s="7"/>
      <c r="CH2708" s="7"/>
      <c r="CI2708" s="7"/>
      <c r="CJ2708" s="7"/>
      <c r="CK2708" s="7"/>
      <c r="CL2708" s="7"/>
      <c r="CM2708" s="7"/>
      <c r="CN2708" s="7"/>
      <c r="CO2708" s="7"/>
      <c r="CP2708" s="7"/>
      <c r="CQ2708" s="7"/>
      <c r="CR2708" s="7"/>
      <c r="CS2708" s="7"/>
      <c r="CT2708" s="7"/>
      <c r="CU2708" s="7"/>
      <c r="CV2708" s="7"/>
      <c r="CW2708" s="7"/>
      <c r="CX2708" s="7"/>
      <c r="CY2708" s="7"/>
      <c r="CZ2708" s="7"/>
      <c r="DA2708" s="7"/>
      <c r="DB2708" s="7"/>
      <c r="DC2708" s="7"/>
      <c r="DD2708" s="7"/>
      <c r="DE2708" s="7"/>
      <c r="DF2708" s="7"/>
      <c r="DG2708" s="7"/>
      <c r="DH2708" s="7"/>
      <c r="DI2708" s="7"/>
      <c r="DJ2708" s="7"/>
      <c r="DK2708" s="7"/>
      <c r="DL2708" s="7"/>
      <c r="DM2708" s="7"/>
      <c r="DN2708" s="7"/>
      <c r="DO2708" s="7"/>
      <c r="DP2708" s="7"/>
      <c r="DQ2708" s="7"/>
      <c r="DR2708" s="7"/>
      <c r="DS2708" s="7"/>
      <c r="DT2708" s="7"/>
      <c r="DU2708" s="7"/>
      <c r="DV2708" s="7"/>
      <c r="DW2708" s="7"/>
      <c r="DX2708" s="7"/>
      <c r="DY2708" s="7"/>
      <c r="DZ2708" s="7"/>
      <c r="EA2708" s="7"/>
      <c r="EB2708" s="7"/>
      <c r="EC2708" s="7"/>
      <c r="ED2708" s="7"/>
      <c r="EE2708" s="7"/>
      <c r="EF2708" s="7"/>
      <c r="EG2708" s="7"/>
      <c r="EH2708" s="7"/>
      <c r="EI2708" s="7"/>
      <c r="EJ2708" s="7"/>
      <c r="EK2708" s="7"/>
      <c r="EL2708" s="7"/>
      <c r="EM2708" s="7"/>
      <c r="EN2708" s="7"/>
      <c r="EO2708" s="7"/>
      <c r="EP2708" s="7"/>
      <c r="EQ2708" s="7"/>
      <c r="ER2708" s="7"/>
      <c r="ES2708" s="7"/>
      <c r="ET2708" s="7"/>
      <c r="EU2708" s="7"/>
      <c r="EV2708" s="7"/>
      <c r="EW2708" s="7"/>
      <c r="EX2708" s="7"/>
      <c r="EY2708" s="7"/>
      <c r="EZ2708" s="7"/>
      <c r="FA2708" s="7"/>
      <c r="FB2708" s="7"/>
      <c r="FC2708" s="7"/>
      <c r="FD2708" s="7"/>
      <c r="FE2708" s="7"/>
      <c r="FF2708" s="7"/>
      <c r="FG2708" s="7"/>
      <c r="FH2708" s="7"/>
      <c r="FI2708" s="7"/>
      <c r="FJ2708" s="7"/>
      <c r="FK2708" s="7"/>
      <c r="FL2708" s="7"/>
      <c r="FM2708" s="7"/>
      <c r="FN2708" s="7"/>
      <c r="FO2708" s="7"/>
      <c r="FP2708" s="7"/>
      <c r="FQ2708" s="7"/>
      <c r="FR2708" s="7"/>
      <c r="FS2708" s="7"/>
      <c r="FT2708" s="7"/>
      <c r="FU2708" s="7"/>
      <c r="FV2708" s="7"/>
      <c r="FW2708" s="7"/>
      <c r="FX2708" s="7"/>
      <c r="FY2708" s="7"/>
      <c r="FZ2708" s="7"/>
      <c r="GA2708" s="7"/>
      <c r="GB2708" s="7"/>
      <c r="GC2708" s="7"/>
      <c r="GD2708" s="7"/>
      <c r="GE2708" s="7"/>
      <c r="GF2708" s="7"/>
      <c r="GG2708" s="7"/>
      <c r="GH2708" s="7"/>
      <c r="GI2708" s="7"/>
      <c r="GJ2708" s="7"/>
      <c r="GK2708" s="7"/>
      <c r="GL2708" s="7"/>
      <c r="GM2708" s="7"/>
      <c r="GN2708" s="7"/>
      <c r="GO2708" s="7"/>
      <c r="GP2708" s="7"/>
      <c r="GQ2708" s="7"/>
      <c r="GR2708" s="7"/>
      <c r="GS2708" s="7"/>
      <c r="GT2708" s="7"/>
      <c r="GU2708" s="7"/>
      <c r="GV2708" s="7"/>
      <c r="GW2708" s="7"/>
      <c r="GX2708" s="7"/>
      <c r="GY2708" s="7"/>
      <c r="GZ2708" s="7"/>
      <c r="HA2708" s="7"/>
      <c r="HB2708" s="7"/>
      <c r="HC2708" s="7"/>
      <c r="HD2708" s="7"/>
      <c r="HE2708" s="7"/>
      <c r="HF2708" s="7"/>
      <c r="HG2708" s="7"/>
      <c r="HH2708" s="7"/>
      <c r="HI2708" s="7"/>
      <c r="HJ2708" s="7"/>
      <c r="HK2708" s="7"/>
      <c r="HL2708" s="7"/>
      <c r="HM2708" s="7"/>
      <c r="HN2708" s="7"/>
      <c r="HO2708" s="7"/>
      <c r="HP2708" s="7"/>
      <c r="HQ2708" s="7"/>
    </row>
    <row r="2709" spans="1:226" s="1" customFormat="1" x14ac:dyDescent="0.35">
      <c r="A2709" s="257"/>
      <c r="B2709" s="257"/>
      <c r="C2709" s="317"/>
      <c r="D2709" s="280"/>
      <c r="E2709" s="280"/>
      <c r="F2709" s="292"/>
      <c r="G2709" s="251" t="s">
        <v>79</v>
      </c>
      <c r="H2709" s="167" t="s">
        <v>74</v>
      </c>
      <c r="I2709" s="158">
        <f>D2704*K2709</f>
        <v>194740</v>
      </c>
      <c r="J2709" s="158">
        <f>I2709/D2704</f>
        <v>520</v>
      </c>
      <c r="K2709" s="158">
        <v>520</v>
      </c>
      <c r="L2709" s="7"/>
      <c r="M2709" s="7"/>
      <c r="N2709" s="7"/>
      <c r="O2709" s="7"/>
      <c r="P2709" s="7"/>
      <c r="Q2709" s="7"/>
      <c r="R2709" s="7"/>
      <c r="S2709" s="7"/>
      <c r="T2709" s="7"/>
      <c r="U2709" s="7"/>
      <c r="V2709" s="7"/>
      <c r="W2709" s="7"/>
      <c r="X2709" s="7"/>
      <c r="Y2709" s="7"/>
      <c r="Z2709" s="7"/>
      <c r="AA2709" s="7"/>
      <c r="AB2709" s="7"/>
      <c r="AC2709" s="7"/>
      <c r="AD2709" s="7"/>
      <c r="AE2709" s="7"/>
      <c r="AF2709" s="7"/>
      <c r="AG2709" s="7"/>
      <c r="AH2709" s="7"/>
      <c r="AI2709" s="7"/>
      <c r="AJ2709" s="7"/>
      <c r="AK2709" s="7"/>
      <c r="AL2709" s="7"/>
      <c r="AM2709" s="7"/>
      <c r="AN2709" s="7"/>
      <c r="AO2709" s="7"/>
      <c r="AP2709" s="7"/>
      <c r="AQ2709" s="7"/>
      <c r="AR2709" s="7"/>
      <c r="AS2709" s="7"/>
      <c r="AT2709" s="7"/>
      <c r="AU2709" s="7"/>
      <c r="AV2709" s="7"/>
      <c r="AW2709" s="7"/>
      <c r="AX2709" s="7"/>
      <c r="AY2709" s="7"/>
      <c r="AZ2709" s="7"/>
      <c r="BA2709" s="7"/>
      <c r="BB2709" s="7"/>
      <c r="BC2709" s="7"/>
      <c r="BD2709" s="7"/>
      <c r="BE2709" s="7"/>
      <c r="BF2709" s="7"/>
      <c r="BG2709" s="7"/>
      <c r="BH2709" s="7"/>
      <c r="BI2709" s="7"/>
      <c r="BJ2709" s="7"/>
      <c r="BK2709" s="7"/>
      <c r="BL2709" s="7"/>
      <c r="BM2709" s="7"/>
      <c r="BN2709" s="7"/>
      <c r="BO2709" s="7"/>
      <c r="BP2709" s="7"/>
      <c r="BQ2709" s="7"/>
      <c r="BR2709" s="7"/>
      <c r="BS2709" s="7"/>
      <c r="BT2709" s="7"/>
      <c r="BU2709" s="7"/>
      <c r="BV2709" s="7"/>
      <c r="BW2709" s="7"/>
      <c r="BX2709" s="7"/>
      <c r="BY2709" s="7"/>
      <c r="BZ2709" s="7"/>
      <c r="CA2709" s="7"/>
      <c r="CB2709" s="7"/>
      <c r="CC2709" s="7"/>
      <c r="CD2709" s="7"/>
      <c r="CE2709" s="7"/>
      <c r="CF2709" s="7"/>
      <c r="CG2709" s="7"/>
      <c r="CH2709" s="7"/>
      <c r="CI2709" s="7"/>
      <c r="CJ2709" s="7"/>
      <c r="CK2709" s="7"/>
      <c r="CL2709" s="7"/>
      <c r="CM2709" s="7"/>
      <c r="CN2709" s="7"/>
      <c r="CO2709" s="7"/>
      <c r="CP2709" s="7"/>
      <c r="CQ2709" s="7"/>
      <c r="CR2709" s="7"/>
      <c r="CS2709" s="7"/>
      <c r="CT2709" s="7"/>
      <c r="CU2709" s="7"/>
      <c r="CV2709" s="7"/>
      <c r="CW2709" s="7"/>
      <c r="CX2709" s="7"/>
      <c r="CY2709" s="7"/>
      <c r="CZ2709" s="7"/>
      <c r="DA2709" s="7"/>
      <c r="DB2709" s="7"/>
      <c r="DC2709" s="7"/>
      <c r="DD2709" s="7"/>
      <c r="DE2709" s="7"/>
      <c r="DF2709" s="7"/>
      <c r="DG2709" s="7"/>
      <c r="DH2709" s="7"/>
      <c r="DI2709" s="7"/>
      <c r="DJ2709" s="7"/>
      <c r="DK2709" s="7"/>
      <c r="DL2709" s="7"/>
      <c r="DM2709" s="7"/>
      <c r="DN2709" s="7"/>
      <c r="DO2709" s="7"/>
      <c r="DP2709" s="7"/>
      <c r="DQ2709" s="7"/>
      <c r="DR2709" s="7"/>
      <c r="DS2709" s="7"/>
      <c r="DT2709" s="7"/>
      <c r="DU2709" s="7"/>
      <c r="DV2709" s="7"/>
      <c r="DW2709" s="7"/>
      <c r="DX2709" s="7"/>
      <c r="DY2709" s="7"/>
      <c r="DZ2709" s="7"/>
      <c r="EA2709" s="7"/>
      <c r="EB2709" s="7"/>
      <c r="EC2709" s="7"/>
      <c r="ED2709" s="7"/>
      <c r="EE2709" s="7"/>
      <c r="EF2709" s="7"/>
      <c r="EG2709" s="7"/>
      <c r="EH2709" s="7"/>
      <c r="EI2709" s="7"/>
      <c r="EJ2709" s="7"/>
      <c r="EK2709" s="7"/>
      <c r="EL2709" s="7"/>
      <c r="EM2709" s="7"/>
      <c r="EN2709" s="7"/>
      <c r="EO2709" s="7"/>
      <c r="EP2709" s="7"/>
      <c r="EQ2709" s="7"/>
      <c r="ER2709" s="7"/>
      <c r="ES2709" s="7"/>
      <c r="ET2709" s="7"/>
      <c r="EU2709" s="7"/>
      <c r="EV2709" s="7"/>
      <c r="EW2709" s="7"/>
      <c r="EX2709" s="7"/>
      <c r="EY2709" s="7"/>
      <c r="EZ2709" s="7"/>
      <c r="FA2709" s="7"/>
      <c r="FB2709" s="7"/>
      <c r="FC2709" s="7"/>
      <c r="FD2709" s="7"/>
      <c r="FE2709" s="7"/>
      <c r="FF2709" s="7"/>
      <c r="FG2709" s="7"/>
      <c r="FH2709" s="7"/>
      <c r="FI2709" s="7"/>
      <c r="FJ2709" s="7"/>
      <c r="FK2709" s="7"/>
      <c r="FL2709" s="7"/>
      <c r="FM2709" s="7"/>
      <c r="FN2709" s="7"/>
      <c r="FO2709" s="7"/>
      <c r="FP2709" s="7"/>
      <c r="FQ2709" s="7"/>
      <c r="FR2709" s="7"/>
      <c r="FS2709" s="7"/>
      <c r="FT2709" s="7"/>
      <c r="FU2709" s="7"/>
      <c r="FV2709" s="7"/>
      <c r="FW2709" s="7"/>
      <c r="FX2709" s="7"/>
      <c r="FY2709" s="7"/>
      <c r="FZ2709" s="7"/>
      <c r="GA2709" s="7"/>
      <c r="GB2709" s="7"/>
      <c r="GC2709" s="7"/>
      <c r="GD2709" s="7"/>
      <c r="GE2709" s="7"/>
      <c r="GF2709" s="7"/>
      <c r="GG2709" s="7"/>
      <c r="GH2709" s="7"/>
      <c r="GI2709" s="7"/>
      <c r="GJ2709" s="7"/>
      <c r="GK2709" s="7"/>
      <c r="GL2709" s="7"/>
      <c r="GM2709" s="7"/>
      <c r="GN2709" s="7"/>
      <c r="GO2709" s="7"/>
      <c r="GP2709" s="7"/>
      <c r="GQ2709" s="7"/>
      <c r="GR2709" s="7"/>
      <c r="GS2709" s="7"/>
      <c r="GT2709" s="7"/>
      <c r="GU2709" s="7"/>
      <c r="GV2709" s="7"/>
      <c r="GW2709" s="7"/>
      <c r="GX2709" s="7"/>
      <c r="GY2709" s="7"/>
      <c r="GZ2709" s="7"/>
      <c r="HA2709" s="7"/>
      <c r="HB2709" s="7"/>
      <c r="HC2709" s="7"/>
      <c r="HD2709" s="7"/>
      <c r="HE2709" s="7"/>
      <c r="HF2709" s="7"/>
      <c r="HG2709" s="7"/>
      <c r="HH2709" s="7"/>
      <c r="HI2709" s="7"/>
      <c r="HJ2709" s="7"/>
      <c r="HK2709" s="7"/>
      <c r="HL2709" s="7"/>
      <c r="HM2709" s="7"/>
      <c r="HN2709" s="7"/>
      <c r="HO2709" s="7"/>
      <c r="HP2709" s="7"/>
      <c r="HQ2709" s="7"/>
    </row>
    <row r="2710" spans="1:226" s="1" customFormat="1" x14ac:dyDescent="0.35">
      <c r="A2710" s="257"/>
      <c r="B2710" s="257"/>
      <c r="C2710" s="317"/>
      <c r="D2710" s="280"/>
      <c r="E2710" s="280"/>
      <c r="F2710" s="292"/>
      <c r="G2710" s="251"/>
      <c r="H2710" s="167" t="s">
        <v>76</v>
      </c>
      <c r="I2710" s="158">
        <f>D2704*K2710</f>
        <v>4119.5</v>
      </c>
      <c r="J2710" s="158">
        <f>I2710/D2704</f>
        <v>11</v>
      </c>
      <c r="K2710" s="158">
        <v>11</v>
      </c>
      <c r="L2710" s="7"/>
      <c r="M2710" s="7"/>
      <c r="N2710" s="7"/>
      <c r="O2710" s="7"/>
      <c r="P2710" s="7"/>
      <c r="Q2710" s="7"/>
      <c r="R2710" s="7"/>
      <c r="S2710" s="7"/>
      <c r="T2710" s="7"/>
      <c r="U2710" s="7"/>
      <c r="V2710" s="7"/>
      <c r="W2710" s="7"/>
      <c r="X2710" s="7"/>
      <c r="Y2710" s="7"/>
      <c r="Z2710" s="7"/>
      <c r="AA2710" s="7"/>
      <c r="AB2710" s="7"/>
      <c r="AC2710" s="7"/>
      <c r="AD2710" s="7"/>
      <c r="AE2710" s="7"/>
      <c r="AF2710" s="7"/>
      <c r="AG2710" s="7"/>
      <c r="AH2710" s="7"/>
      <c r="AI2710" s="7"/>
      <c r="AJ2710" s="7"/>
      <c r="AK2710" s="7"/>
      <c r="AL2710" s="7"/>
      <c r="AM2710" s="7"/>
      <c r="AN2710" s="7"/>
      <c r="AO2710" s="7"/>
      <c r="AP2710" s="7"/>
      <c r="AQ2710" s="7"/>
      <c r="AR2710" s="7"/>
      <c r="AS2710" s="7"/>
      <c r="AT2710" s="7"/>
      <c r="AU2710" s="7"/>
      <c r="AV2710" s="7"/>
      <c r="AW2710" s="7"/>
      <c r="AX2710" s="7"/>
      <c r="AY2710" s="7"/>
      <c r="AZ2710" s="7"/>
      <c r="BA2710" s="7"/>
      <c r="BB2710" s="7"/>
      <c r="BC2710" s="7"/>
      <c r="BD2710" s="7"/>
      <c r="BE2710" s="7"/>
      <c r="BF2710" s="7"/>
      <c r="BG2710" s="7"/>
      <c r="BH2710" s="7"/>
      <c r="BI2710" s="7"/>
      <c r="BJ2710" s="7"/>
      <c r="BK2710" s="7"/>
      <c r="BL2710" s="7"/>
      <c r="BM2710" s="7"/>
      <c r="BN2710" s="7"/>
      <c r="BO2710" s="7"/>
      <c r="BP2710" s="7"/>
      <c r="BQ2710" s="7"/>
      <c r="BR2710" s="7"/>
      <c r="BS2710" s="7"/>
      <c r="BT2710" s="7"/>
      <c r="BU2710" s="7"/>
      <c r="BV2710" s="7"/>
      <c r="BW2710" s="7"/>
      <c r="BX2710" s="7"/>
      <c r="BY2710" s="7"/>
      <c r="BZ2710" s="7"/>
      <c r="CA2710" s="7"/>
      <c r="CB2710" s="7"/>
      <c r="CC2710" s="7"/>
      <c r="CD2710" s="7"/>
      <c r="CE2710" s="7"/>
      <c r="CF2710" s="7"/>
      <c r="CG2710" s="7"/>
      <c r="CH2710" s="7"/>
      <c r="CI2710" s="7"/>
      <c r="CJ2710" s="7"/>
      <c r="CK2710" s="7"/>
      <c r="CL2710" s="7"/>
      <c r="CM2710" s="7"/>
      <c r="CN2710" s="7"/>
      <c r="CO2710" s="7"/>
      <c r="CP2710" s="7"/>
      <c r="CQ2710" s="7"/>
      <c r="CR2710" s="7"/>
      <c r="CS2710" s="7"/>
      <c r="CT2710" s="7"/>
      <c r="CU2710" s="7"/>
      <c r="CV2710" s="7"/>
      <c r="CW2710" s="7"/>
      <c r="CX2710" s="7"/>
      <c r="CY2710" s="7"/>
      <c r="CZ2710" s="7"/>
      <c r="DA2710" s="7"/>
      <c r="DB2710" s="7"/>
      <c r="DC2710" s="7"/>
      <c r="DD2710" s="7"/>
      <c r="DE2710" s="7"/>
      <c r="DF2710" s="7"/>
      <c r="DG2710" s="7"/>
      <c r="DH2710" s="7"/>
      <c r="DI2710" s="7"/>
      <c r="DJ2710" s="7"/>
      <c r="DK2710" s="7"/>
      <c r="DL2710" s="7"/>
      <c r="DM2710" s="7"/>
      <c r="DN2710" s="7"/>
      <c r="DO2710" s="7"/>
      <c r="DP2710" s="7"/>
      <c r="DQ2710" s="7"/>
      <c r="DR2710" s="7"/>
      <c r="DS2710" s="7"/>
      <c r="DT2710" s="7"/>
      <c r="DU2710" s="7"/>
      <c r="DV2710" s="7"/>
      <c r="DW2710" s="7"/>
      <c r="DX2710" s="7"/>
      <c r="DY2710" s="7"/>
      <c r="DZ2710" s="7"/>
      <c r="EA2710" s="7"/>
      <c r="EB2710" s="7"/>
      <c r="EC2710" s="7"/>
      <c r="ED2710" s="7"/>
      <c r="EE2710" s="7"/>
      <c r="EF2710" s="7"/>
      <c r="EG2710" s="7"/>
      <c r="EH2710" s="7"/>
      <c r="EI2710" s="7"/>
      <c r="EJ2710" s="7"/>
      <c r="EK2710" s="7"/>
      <c r="EL2710" s="7"/>
      <c r="EM2710" s="7"/>
      <c r="EN2710" s="7"/>
      <c r="EO2710" s="7"/>
      <c r="EP2710" s="7"/>
      <c r="EQ2710" s="7"/>
      <c r="ER2710" s="7"/>
      <c r="ES2710" s="7"/>
      <c r="ET2710" s="7"/>
      <c r="EU2710" s="7"/>
      <c r="EV2710" s="7"/>
      <c r="EW2710" s="7"/>
      <c r="EX2710" s="7"/>
      <c r="EY2710" s="7"/>
      <c r="EZ2710" s="7"/>
      <c r="FA2710" s="7"/>
      <c r="FB2710" s="7"/>
      <c r="FC2710" s="7"/>
      <c r="FD2710" s="7"/>
      <c r="FE2710" s="7"/>
      <c r="FF2710" s="7"/>
      <c r="FG2710" s="7"/>
      <c r="FH2710" s="7"/>
      <c r="FI2710" s="7"/>
      <c r="FJ2710" s="7"/>
      <c r="FK2710" s="7"/>
      <c r="FL2710" s="7"/>
      <c r="FM2710" s="7"/>
      <c r="FN2710" s="7"/>
      <c r="FO2710" s="7"/>
      <c r="FP2710" s="7"/>
      <c r="FQ2710" s="7"/>
      <c r="FR2710" s="7"/>
      <c r="FS2710" s="7"/>
      <c r="FT2710" s="7"/>
      <c r="FU2710" s="7"/>
      <c r="FV2710" s="7"/>
      <c r="FW2710" s="7"/>
      <c r="FX2710" s="7"/>
      <c r="FY2710" s="7"/>
      <c r="FZ2710" s="7"/>
      <c r="GA2710" s="7"/>
      <c r="GB2710" s="7"/>
      <c r="GC2710" s="7"/>
      <c r="GD2710" s="7"/>
      <c r="GE2710" s="7"/>
      <c r="GF2710" s="7"/>
      <c r="GG2710" s="7"/>
      <c r="GH2710" s="7"/>
      <c r="GI2710" s="7"/>
      <c r="GJ2710" s="7"/>
      <c r="GK2710" s="7"/>
      <c r="GL2710" s="7"/>
      <c r="GM2710" s="7"/>
      <c r="GN2710" s="7"/>
      <c r="GO2710" s="7"/>
      <c r="GP2710" s="7"/>
      <c r="GQ2710" s="7"/>
      <c r="GR2710" s="7"/>
      <c r="GS2710" s="7"/>
      <c r="GT2710" s="7"/>
      <c r="GU2710" s="7"/>
      <c r="GV2710" s="7"/>
      <c r="GW2710" s="7"/>
      <c r="GX2710" s="7"/>
      <c r="GY2710" s="7"/>
      <c r="GZ2710" s="7"/>
      <c r="HA2710" s="7"/>
      <c r="HB2710" s="7"/>
      <c r="HC2710" s="7"/>
      <c r="HD2710" s="7"/>
      <c r="HE2710" s="7"/>
      <c r="HF2710" s="7"/>
      <c r="HG2710" s="7"/>
      <c r="HH2710" s="7"/>
      <c r="HI2710" s="7"/>
      <c r="HJ2710" s="7"/>
      <c r="HK2710" s="7"/>
      <c r="HL2710" s="7"/>
      <c r="HM2710" s="7"/>
      <c r="HN2710" s="7"/>
      <c r="HO2710" s="7"/>
      <c r="HP2710" s="7"/>
      <c r="HQ2710" s="7"/>
    </row>
    <row r="2711" spans="1:226" x14ac:dyDescent="0.35">
      <c r="A2711" s="257"/>
      <c r="B2711" s="257"/>
      <c r="C2711" s="317"/>
      <c r="D2711" s="280"/>
      <c r="E2711" s="280"/>
      <c r="F2711" s="292"/>
      <c r="G2711" s="251" t="s">
        <v>90</v>
      </c>
      <c r="H2711" s="167" t="s">
        <v>74</v>
      </c>
      <c r="I2711" s="158">
        <f>D2704*K2711</f>
        <v>182381.5</v>
      </c>
      <c r="J2711" s="158">
        <f>I2711/D2704</f>
        <v>487</v>
      </c>
      <c r="K2711" s="158">
        <v>487</v>
      </c>
      <c r="L2711" s="7"/>
      <c r="M2711" s="7"/>
      <c r="N2711" s="7"/>
      <c r="O2711" s="7"/>
      <c r="P2711" s="7"/>
      <c r="Q2711" s="7"/>
      <c r="R2711" s="7"/>
      <c r="S2711" s="7"/>
      <c r="T2711" s="7"/>
      <c r="U2711" s="7"/>
      <c r="V2711" s="7"/>
      <c r="W2711" s="7"/>
      <c r="HR2711" s="9"/>
    </row>
    <row r="2712" spans="1:226" s="1" customFormat="1" x14ac:dyDescent="0.35">
      <c r="A2712" s="257"/>
      <c r="B2712" s="257"/>
      <c r="C2712" s="317"/>
      <c r="D2712" s="280"/>
      <c r="E2712" s="280"/>
      <c r="F2712" s="292"/>
      <c r="G2712" s="251"/>
      <c r="H2712" s="167" t="s">
        <v>76</v>
      </c>
      <c r="I2712" s="158">
        <f>D2704*K2712</f>
        <v>3745</v>
      </c>
      <c r="J2712" s="158">
        <f>I2712/D2704</f>
        <v>10</v>
      </c>
      <c r="K2712" s="158">
        <v>10</v>
      </c>
      <c r="L2712" s="7"/>
      <c r="M2712" s="7"/>
      <c r="N2712" s="7"/>
      <c r="O2712" s="7"/>
      <c r="P2712" s="7"/>
      <c r="Q2712" s="7"/>
      <c r="R2712" s="7"/>
      <c r="S2712" s="7"/>
      <c r="T2712" s="7"/>
      <c r="U2712" s="7"/>
      <c r="V2712" s="7"/>
      <c r="W2712" s="7"/>
      <c r="X2712" s="7"/>
      <c r="Y2712" s="7"/>
      <c r="Z2712" s="7"/>
      <c r="AA2712" s="7"/>
      <c r="AB2712" s="7"/>
      <c r="AC2712" s="7"/>
      <c r="AD2712" s="7"/>
      <c r="AE2712" s="7"/>
      <c r="AF2712" s="7"/>
      <c r="AG2712" s="7"/>
      <c r="AH2712" s="7"/>
      <c r="AI2712" s="7"/>
      <c r="AJ2712" s="7"/>
      <c r="AK2712" s="7"/>
      <c r="AL2712" s="7"/>
      <c r="AM2712" s="7"/>
      <c r="AN2712" s="7"/>
      <c r="AO2712" s="7"/>
      <c r="AP2712" s="7"/>
      <c r="AQ2712" s="7"/>
      <c r="AR2712" s="7"/>
      <c r="AS2712" s="7"/>
      <c r="AT2712" s="7"/>
      <c r="AU2712" s="7"/>
      <c r="AV2712" s="7"/>
      <c r="AW2712" s="7"/>
      <c r="AX2712" s="7"/>
      <c r="AY2712" s="7"/>
      <c r="AZ2712" s="7"/>
      <c r="BA2712" s="7"/>
      <c r="BB2712" s="7"/>
      <c r="BC2712" s="7"/>
      <c r="BD2712" s="7"/>
      <c r="BE2712" s="7"/>
      <c r="BF2712" s="7"/>
      <c r="BG2712" s="7"/>
      <c r="BH2712" s="7"/>
      <c r="BI2712" s="7"/>
      <c r="BJ2712" s="7"/>
      <c r="BK2712" s="7"/>
      <c r="BL2712" s="7"/>
      <c r="BM2712" s="7"/>
      <c r="BN2712" s="7"/>
      <c r="BO2712" s="7"/>
      <c r="BP2712" s="7"/>
      <c r="BQ2712" s="7"/>
      <c r="BR2712" s="7"/>
      <c r="BS2712" s="7"/>
      <c r="BT2712" s="7"/>
      <c r="BU2712" s="7"/>
      <c r="BV2712" s="7"/>
      <c r="BW2712" s="7"/>
      <c r="BX2712" s="7"/>
      <c r="BY2712" s="7"/>
      <c r="BZ2712" s="7"/>
      <c r="CA2712" s="7"/>
      <c r="CB2712" s="7"/>
      <c r="CC2712" s="7"/>
      <c r="CD2712" s="7"/>
      <c r="CE2712" s="7"/>
      <c r="CF2712" s="7"/>
      <c r="CG2712" s="7"/>
      <c r="CH2712" s="7"/>
      <c r="CI2712" s="7"/>
      <c r="CJ2712" s="7"/>
      <c r="CK2712" s="7"/>
      <c r="CL2712" s="7"/>
      <c r="CM2712" s="7"/>
      <c r="CN2712" s="7"/>
      <c r="CO2712" s="7"/>
      <c r="CP2712" s="7"/>
      <c r="CQ2712" s="7"/>
      <c r="CR2712" s="7"/>
      <c r="CS2712" s="7"/>
      <c r="CT2712" s="7"/>
      <c r="CU2712" s="7"/>
      <c r="CV2712" s="7"/>
      <c r="CW2712" s="7"/>
      <c r="CX2712" s="7"/>
      <c r="CY2712" s="7"/>
      <c r="CZ2712" s="7"/>
      <c r="DA2712" s="7"/>
      <c r="DB2712" s="7"/>
      <c r="DC2712" s="7"/>
      <c r="DD2712" s="7"/>
      <c r="DE2712" s="7"/>
      <c r="DF2712" s="7"/>
      <c r="DG2712" s="7"/>
      <c r="DH2712" s="7"/>
      <c r="DI2712" s="7"/>
      <c r="DJ2712" s="7"/>
      <c r="DK2712" s="7"/>
      <c r="DL2712" s="7"/>
      <c r="DM2712" s="7"/>
      <c r="DN2712" s="7"/>
      <c r="DO2712" s="7"/>
      <c r="DP2712" s="7"/>
      <c r="DQ2712" s="7"/>
      <c r="DR2712" s="7"/>
      <c r="DS2712" s="7"/>
      <c r="DT2712" s="7"/>
      <c r="DU2712" s="7"/>
      <c r="DV2712" s="7"/>
      <c r="DW2712" s="7"/>
      <c r="DX2712" s="7"/>
      <c r="DY2712" s="7"/>
      <c r="DZ2712" s="7"/>
      <c r="EA2712" s="7"/>
      <c r="EB2712" s="7"/>
      <c r="EC2712" s="7"/>
      <c r="ED2712" s="7"/>
      <c r="EE2712" s="7"/>
      <c r="EF2712" s="7"/>
      <c r="EG2712" s="7"/>
      <c r="EH2712" s="7"/>
      <c r="EI2712" s="7"/>
      <c r="EJ2712" s="7"/>
      <c r="EK2712" s="7"/>
      <c r="EL2712" s="7"/>
      <c r="EM2712" s="7"/>
      <c r="EN2712" s="7"/>
      <c r="EO2712" s="7"/>
      <c r="EP2712" s="7"/>
      <c r="EQ2712" s="7"/>
      <c r="ER2712" s="7"/>
      <c r="ES2712" s="7"/>
      <c r="ET2712" s="7"/>
      <c r="EU2712" s="7"/>
      <c r="EV2712" s="7"/>
      <c r="EW2712" s="7"/>
      <c r="EX2712" s="7"/>
      <c r="EY2712" s="7"/>
      <c r="EZ2712" s="7"/>
      <c r="FA2712" s="7"/>
      <c r="FB2712" s="7"/>
      <c r="FC2712" s="7"/>
      <c r="FD2712" s="7"/>
      <c r="FE2712" s="7"/>
      <c r="FF2712" s="7"/>
      <c r="FG2712" s="7"/>
      <c r="FH2712" s="7"/>
      <c r="FI2712" s="7"/>
      <c r="FJ2712" s="7"/>
      <c r="FK2712" s="7"/>
      <c r="FL2712" s="7"/>
      <c r="FM2712" s="7"/>
      <c r="FN2712" s="7"/>
      <c r="FO2712" s="7"/>
      <c r="FP2712" s="7"/>
      <c r="FQ2712" s="7"/>
      <c r="FR2712" s="7"/>
      <c r="FS2712" s="7"/>
      <c r="FT2712" s="7"/>
      <c r="FU2712" s="7"/>
      <c r="FV2712" s="7"/>
      <c r="FW2712" s="7"/>
      <c r="FX2712" s="7"/>
      <c r="FY2712" s="7"/>
      <c r="FZ2712" s="7"/>
      <c r="GA2712" s="7"/>
      <c r="GB2712" s="7"/>
      <c r="GC2712" s="7"/>
      <c r="GD2712" s="7"/>
      <c r="GE2712" s="7"/>
      <c r="GF2712" s="7"/>
      <c r="GG2712" s="7"/>
      <c r="GH2712" s="7"/>
      <c r="GI2712" s="7"/>
      <c r="GJ2712" s="7"/>
      <c r="GK2712" s="7"/>
      <c r="GL2712" s="7"/>
      <c r="GM2712" s="7"/>
      <c r="GN2712" s="7"/>
      <c r="GO2712" s="7"/>
      <c r="GP2712" s="7"/>
      <c r="GQ2712" s="7"/>
      <c r="GR2712" s="7"/>
      <c r="GS2712" s="7"/>
      <c r="GT2712" s="7"/>
      <c r="GU2712" s="7"/>
      <c r="GV2712" s="7"/>
      <c r="GW2712" s="7"/>
      <c r="GX2712" s="7"/>
      <c r="GY2712" s="7"/>
      <c r="GZ2712" s="7"/>
      <c r="HA2712" s="7"/>
      <c r="HB2712" s="7"/>
      <c r="HC2712" s="7"/>
      <c r="HD2712" s="7"/>
      <c r="HE2712" s="7"/>
      <c r="HF2712" s="7"/>
      <c r="HG2712" s="7"/>
      <c r="HH2712" s="7"/>
      <c r="HI2712" s="7"/>
      <c r="HJ2712" s="7"/>
      <c r="HK2712" s="7"/>
      <c r="HL2712" s="7"/>
      <c r="HM2712" s="7"/>
      <c r="HN2712" s="7"/>
      <c r="HO2712" s="7"/>
      <c r="HP2712" s="7"/>
      <c r="HQ2712" s="7"/>
    </row>
    <row r="2713" spans="1:226" s="1" customFormat="1" x14ac:dyDescent="0.35">
      <c r="A2713" s="257"/>
      <c r="B2713" s="257"/>
      <c r="C2713" s="317"/>
      <c r="D2713" s="280"/>
      <c r="E2713" s="280"/>
      <c r="F2713" s="292"/>
      <c r="G2713" s="256" t="s">
        <v>695</v>
      </c>
      <c r="H2713" s="167" t="s">
        <v>688</v>
      </c>
      <c r="I2713" s="158">
        <f>D2704*K2713</f>
        <v>1333594.5</v>
      </c>
      <c r="J2713" s="158">
        <f>I2713/D2704</f>
        <v>3561</v>
      </c>
      <c r="K2713" s="158">
        <f>1187*3</f>
        <v>3561</v>
      </c>
      <c r="L2713" s="7"/>
      <c r="M2713" s="7"/>
      <c r="N2713" s="7"/>
      <c r="O2713" s="7"/>
      <c r="P2713" s="7"/>
      <c r="Q2713" s="7"/>
      <c r="R2713" s="7"/>
      <c r="S2713" s="7"/>
      <c r="T2713" s="7"/>
      <c r="U2713" s="7"/>
      <c r="V2713" s="7"/>
      <c r="W2713" s="7"/>
      <c r="X2713" s="7"/>
      <c r="Y2713" s="7"/>
      <c r="Z2713" s="7"/>
      <c r="AA2713" s="7"/>
      <c r="AB2713" s="7"/>
      <c r="AC2713" s="7"/>
      <c r="AD2713" s="7"/>
      <c r="AE2713" s="7"/>
      <c r="AF2713" s="7"/>
      <c r="AG2713" s="7"/>
      <c r="AH2713" s="7"/>
      <c r="AI2713" s="7"/>
      <c r="AJ2713" s="7"/>
      <c r="AK2713" s="7"/>
      <c r="AL2713" s="7"/>
      <c r="AM2713" s="7"/>
      <c r="AN2713" s="7"/>
      <c r="AO2713" s="7"/>
      <c r="AP2713" s="7"/>
      <c r="AQ2713" s="7"/>
      <c r="AR2713" s="7"/>
      <c r="AS2713" s="7"/>
      <c r="AT2713" s="7"/>
      <c r="AU2713" s="7"/>
      <c r="AV2713" s="7"/>
      <c r="AW2713" s="7"/>
      <c r="AX2713" s="7"/>
      <c r="AY2713" s="7"/>
      <c r="AZ2713" s="7"/>
      <c r="BA2713" s="7"/>
      <c r="BB2713" s="7"/>
      <c r="BC2713" s="7"/>
      <c r="BD2713" s="7"/>
      <c r="BE2713" s="7"/>
      <c r="BF2713" s="7"/>
      <c r="BG2713" s="7"/>
      <c r="BH2713" s="7"/>
      <c r="BI2713" s="7"/>
      <c r="BJ2713" s="7"/>
      <c r="BK2713" s="7"/>
      <c r="BL2713" s="7"/>
      <c r="BM2713" s="7"/>
      <c r="BN2713" s="7"/>
      <c r="BO2713" s="7"/>
      <c r="BP2713" s="7"/>
      <c r="BQ2713" s="7"/>
      <c r="BR2713" s="7"/>
      <c r="BS2713" s="7"/>
      <c r="BT2713" s="7"/>
      <c r="BU2713" s="7"/>
      <c r="BV2713" s="7"/>
      <c r="BW2713" s="7"/>
      <c r="BX2713" s="7"/>
      <c r="BY2713" s="7"/>
      <c r="BZ2713" s="7"/>
      <c r="CA2713" s="7"/>
      <c r="CB2713" s="7"/>
      <c r="CC2713" s="7"/>
      <c r="CD2713" s="7"/>
      <c r="CE2713" s="7"/>
      <c r="CF2713" s="7"/>
      <c r="CG2713" s="7"/>
      <c r="CH2713" s="7"/>
      <c r="CI2713" s="7"/>
      <c r="CJ2713" s="7"/>
      <c r="CK2713" s="7"/>
      <c r="CL2713" s="7"/>
      <c r="CM2713" s="7"/>
      <c r="CN2713" s="7"/>
      <c r="CO2713" s="7"/>
      <c r="CP2713" s="7"/>
      <c r="CQ2713" s="7"/>
      <c r="CR2713" s="7"/>
      <c r="CS2713" s="7"/>
      <c r="CT2713" s="7"/>
      <c r="CU2713" s="7"/>
      <c r="CV2713" s="7"/>
      <c r="CW2713" s="7"/>
      <c r="CX2713" s="7"/>
      <c r="CY2713" s="7"/>
      <c r="CZ2713" s="7"/>
      <c r="DA2713" s="7"/>
      <c r="DB2713" s="7"/>
      <c r="DC2713" s="7"/>
      <c r="DD2713" s="7"/>
      <c r="DE2713" s="7"/>
      <c r="DF2713" s="7"/>
      <c r="DG2713" s="7"/>
      <c r="DH2713" s="7"/>
      <c r="DI2713" s="7"/>
      <c r="DJ2713" s="7"/>
      <c r="DK2713" s="7"/>
      <c r="DL2713" s="7"/>
      <c r="DM2713" s="7"/>
      <c r="DN2713" s="7"/>
      <c r="DO2713" s="7"/>
      <c r="DP2713" s="7"/>
      <c r="DQ2713" s="7"/>
      <c r="DR2713" s="7"/>
      <c r="DS2713" s="7"/>
      <c r="DT2713" s="7"/>
      <c r="DU2713" s="7"/>
      <c r="DV2713" s="7"/>
      <c r="DW2713" s="7"/>
      <c r="DX2713" s="7"/>
      <c r="DY2713" s="7"/>
      <c r="DZ2713" s="7"/>
      <c r="EA2713" s="7"/>
      <c r="EB2713" s="7"/>
      <c r="EC2713" s="7"/>
      <c r="ED2713" s="7"/>
      <c r="EE2713" s="7"/>
      <c r="EF2713" s="7"/>
      <c r="EG2713" s="7"/>
      <c r="EH2713" s="7"/>
      <c r="EI2713" s="7"/>
      <c r="EJ2713" s="7"/>
      <c r="EK2713" s="7"/>
      <c r="EL2713" s="7"/>
      <c r="EM2713" s="7"/>
      <c r="EN2713" s="7"/>
      <c r="EO2713" s="7"/>
      <c r="EP2713" s="7"/>
      <c r="EQ2713" s="7"/>
      <c r="ER2713" s="7"/>
      <c r="ES2713" s="7"/>
      <c r="ET2713" s="7"/>
      <c r="EU2713" s="7"/>
      <c r="EV2713" s="7"/>
      <c r="EW2713" s="7"/>
      <c r="EX2713" s="7"/>
      <c r="EY2713" s="7"/>
      <c r="EZ2713" s="7"/>
      <c r="FA2713" s="7"/>
      <c r="FB2713" s="7"/>
      <c r="FC2713" s="7"/>
      <c r="FD2713" s="7"/>
      <c r="FE2713" s="7"/>
      <c r="FF2713" s="7"/>
      <c r="FG2713" s="7"/>
      <c r="FH2713" s="7"/>
      <c r="FI2713" s="7"/>
      <c r="FJ2713" s="7"/>
      <c r="FK2713" s="7"/>
      <c r="FL2713" s="7"/>
      <c r="FM2713" s="7"/>
      <c r="FN2713" s="7"/>
      <c r="FO2713" s="7"/>
      <c r="FP2713" s="7"/>
      <c r="FQ2713" s="7"/>
      <c r="FR2713" s="7"/>
      <c r="FS2713" s="7"/>
      <c r="FT2713" s="7"/>
      <c r="FU2713" s="7"/>
      <c r="FV2713" s="7"/>
      <c r="FW2713" s="7"/>
      <c r="FX2713" s="7"/>
      <c r="FY2713" s="7"/>
      <c r="FZ2713" s="7"/>
      <c r="GA2713" s="7"/>
      <c r="GB2713" s="7"/>
      <c r="GC2713" s="7"/>
      <c r="GD2713" s="7"/>
      <c r="GE2713" s="7"/>
      <c r="GF2713" s="7"/>
      <c r="GG2713" s="7"/>
      <c r="GH2713" s="7"/>
      <c r="GI2713" s="7"/>
      <c r="GJ2713" s="7"/>
      <c r="GK2713" s="7"/>
      <c r="GL2713" s="7"/>
      <c r="GM2713" s="7"/>
      <c r="GN2713" s="7"/>
      <c r="GO2713" s="7"/>
      <c r="GP2713" s="7"/>
      <c r="GQ2713" s="7"/>
      <c r="GR2713" s="7"/>
      <c r="GS2713" s="7"/>
      <c r="GT2713" s="7"/>
      <c r="GU2713" s="7"/>
      <c r="GV2713" s="7"/>
      <c r="GW2713" s="7"/>
      <c r="GX2713" s="7"/>
      <c r="GY2713" s="7"/>
      <c r="GZ2713" s="7"/>
      <c r="HA2713" s="7"/>
      <c r="HB2713" s="7"/>
      <c r="HC2713" s="7"/>
      <c r="HD2713" s="7"/>
      <c r="HE2713" s="7"/>
      <c r="HF2713" s="7"/>
      <c r="HG2713" s="7"/>
      <c r="HH2713" s="7"/>
      <c r="HI2713" s="7"/>
      <c r="HJ2713" s="7"/>
      <c r="HK2713" s="7"/>
      <c r="HL2713" s="7"/>
      <c r="HM2713" s="7"/>
      <c r="HN2713" s="7"/>
      <c r="HO2713" s="7"/>
      <c r="HP2713" s="7"/>
      <c r="HQ2713" s="7"/>
    </row>
    <row r="2714" spans="1:226" s="1" customFormat="1" ht="227.25" customHeight="1" x14ac:dyDescent="0.35">
      <c r="A2714" s="258"/>
      <c r="B2714" s="258"/>
      <c r="C2714" s="318"/>
      <c r="D2714" s="281"/>
      <c r="E2714" s="281"/>
      <c r="F2714" s="294"/>
      <c r="G2714" s="258"/>
      <c r="H2714" s="167" t="s">
        <v>76</v>
      </c>
      <c r="I2714" s="158">
        <f>D2704*K2714</f>
        <v>28087.5</v>
      </c>
      <c r="J2714" s="158">
        <f>I2714/D2704</f>
        <v>75</v>
      </c>
      <c r="K2714" s="158">
        <f>25*3</f>
        <v>75</v>
      </c>
      <c r="L2714" s="7"/>
      <c r="M2714" s="7"/>
      <c r="N2714" s="7"/>
      <c r="O2714" s="7"/>
      <c r="P2714" s="7"/>
      <c r="Q2714" s="7"/>
      <c r="R2714" s="7"/>
      <c r="S2714" s="7"/>
      <c r="T2714" s="7"/>
      <c r="U2714" s="7"/>
      <c r="V2714" s="7"/>
      <c r="W2714" s="7"/>
      <c r="X2714" s="7"/>
      <c r="Y2714" s="7"/>
      <c r="Z2714" s="7"/>
      <c r="AA2714" s="7"/>
      <c r="AB2714" s="7"/>
      <c r="AC2714" s="7"/>
      <c r="AD2714" s="7"/>
      <c r="AE2714" s="7"/>
      <c r="AF2714" s="7"/>
      <c r="AG2714" s="7"/>
      <c r="AH2714" s="7"/>
      <c r="AI2714" s="7"/>
      <c r="AJ2714" s="7"/>
      <c r="AK2714" s="7"/>
      <c r="AL2714" s="7"/>
      <c r="AM2714" s="7"/>
      <c r="AN2714" s="7"/>
      <c r="AO2714" s="7"/>
      <c r="AP2714" s="7"/>
      <c r="AQ2714" s="7"/>
      <c r="AR2714" s="7"/>
      <c r="AS2714" s="7"/>
      <c r="AT2714" s="7"/>
      <c r="AU2714" s="7"/>
      <c r="AV2714" s="7"/>
      <c r="AW2714" s="7"/>
      <c r="AX2714" s="7"/>
      <c r="AY2714" s="7"/>
      <c r="AZ2714" s="7"/>
      <c r="BA2714" s="7"/>
      <c r="BB2714" s="7"/>
      <c r="BC2714" s="7"/>
      <c r="BD2714" s="7"/>
      <c r="BE2714" s="7"/>
      <c r="BF2714" s="7"/>
      <c r="BG2714" s="7"/>
      <c r="BH2714" s="7"/>
      <c r="BI2714" s="7"/>
      <c r="BJ2714" s="7"/>
      <c r="BK2714" s="7"/>
      <c r="BL2714" s="7"/>
      <c r="BM2714" s="7"/>
      <c r="BN2714" s="7"/>
      <c r="BO2714" s="7"/>
      <c r="BP2714" s="7"/>
      <c r="BQ2714" s="7"/>
      <c r="BR2714" s="7"/>
      <c r="BS2714" s="7"/>
      <c r="BT2714" s="7"/>
      <c r="BU2714" s="7"/>
      <c r="BV2714" s="7"/>
      <c r="BW2714" s="7"/>
      <c r="BX2714" s="7"/>
      <c r="BY2714" s="7"/>
      <c r="BZ2714" s="7"/>
      <c r="CA2714" s="7"/>
      <c r="CB2714" s="7"/>
      <c r="CC2714" s="7"/>
      <c r="CD2714" s="7"/>
      <c r="CE2714" s="7"/>
      <c r="CF2714" s="7"/>
      <c r="CG2714" s="7"/>
      <c r="CH2714" s="7"/>
      <c r="CI2714" s="7"/>
      <c r="CJ2714" s="7"/>
      <c r="CK2714" s="7"/>
      <c r="CL2714" s="7"/>
      <c r="CM2714" s="7"/>
      <c r="CN2714" s="7"/>
      <c r="CO2714" s="7"/>
      <c r="CP2714" s="7"/>
      <c r="CQ2714" s="7"/>
      <c r="CR2714" s="7"/>
      <c r="CS2714" s="7"/>
      <c r="CT2714" s="7"/>
      <c r="CU2714" s="7"/>
      <c r="CV2714" s="7"/>
      <c r="CW2714" s="7"/>
      <c r="CX2714" s="7"/>
      <c r="CY2714" s="7"/>
      <c r="CZ2714" s="7"/>
      <c r="DA2714" s="7"/>
      <c r="DB2714" s="7"/>
      <c r="DC2714" s="7"/>
      <c r="DD2714" s="7"/>
      <c r="DE2714" s="7"/>
      <c r="DF2714" s="7"/>
      <c r="DG2714" s="7"/>
      <c r="DH2714" s="7"/>
      <c r="DI2714" s="7"/>
      <c r="DJ2714" s="7"/>
      <c r="DK2714" s="7"/>
      <c r="DL2714" s="7"/>
      <c r="DM2714" s="7"/>
      <c r="DN2714" s="7"/>
      <c r="DO2714" s="7"/>
      <c r="DP2714" s="7"/>
      <c r="DQ2714" s="7"/>
      <c r="DR2714" s="7"/>
      <c r="DS2714" s="7"/>
      <c r="DT2714" s="7"/>
      <c r="DU2714" s="7"/>
      <c r="DV2714" s="7"/>
      <c r="DW2714" s="7"/>
      <c r="DX2714" s="7"/>
      <c r="DY2714" s="7"/>
      <c r="DZ2714" s="7"/>
      <c r="EA2714" s="7"/>
      <c r="EB2714" s="7"/>
      <c r="EC2714" s="7"/>
      <c r="ED2714" s="7"/>
      <c r="EE2714" s="7"/>
      <c r="EF2714" s="7"/>
      <c r="EG2714" s="7"/>
      <c r="EH2714" s="7"/>
      <c r="EI2714" s="7"/>
      <c r="EJ2714" s="7"/>
      <c r="EK2714" s="7"/>
      <c r="EL2714" s="7"/>
      <c r="EM2714" s="7"/>
      <c r="EN2714" s="7"/>
      <c r="EO2714" s="7"/>
      <c r="EP2714" s="7"/>
      <c r="EQ2714" s="7"/>
      <c r="ER2714" s="7"/>
      <c r="ES2714" s="7"/>
      <c r="ET2714" s="7"/>
      <c r="EU2714" s="7"/>
      <c r="EV2714" s="7"/>
      <c r="EW2714" s="7"/>
      <c r="EX2714" s="7"/>
      <c r="EY2714" s="7"/>
      <c r="EZ2714" s="7"/>
      <c r="FA2714" s="7"/>
      <c r="FB2714" s="7"/>
      <c r="FC2714" s="7"/>
      <c r="FD2714" s="7"/>
      <c r="FE2714" s="7"/>
      <c r="FF2714" s="7"/>
      <c r="FG2714" s="7"/>
      <c r="FH2714" s="7"/>
      <c r="FI2714" s="7"/>
      <c r="FJ2714" s="7"/>
      <c r="FK2714" s="7"/>
      <c r="FL2714" s="7"/>
      <c r="FM2714" s="7"/>
      <c r="FN2714" s="7"/>
      <c r="FO2714" s="7"/>
      <c r="FP2714" s="7"/>
      <c r="FQ2714" s="7"/>
      <c r="FR2714" s="7"/>
      <c r="FS2714" s="7"/>
      <c r="FT2714" s="7"/>
      <c r="FU2714" s="7"/>
      <c r="FV2714" s="7"/>
      <c r="FW2714" s="7"/>
      <c r="FX2714" s="7"/>
      <c r="FY2714" s="7"/>
      <c r="FZ2714" s="7"/>
      <c r="GA2714" s="7"/>
      <c r="GB2714" s="7"/>
      <c r="GC2714" s="7"/>
      <c r="GD2714" s="7"/>
      <c r="GE2714" s="7"/>
      <c r="GF2714" s="7"/>
      <c r="GG2714" s="7"/>
      <c r="GH2714" s="7"/>
      <c r="GI2714" s="7"/>
      <c r="GJ2714" s="7"/>
      <c r="GK2714" s="7"/>
      <c r="GL2714" s="7"/>
      <c r="GM2714" s="7"/>
      <c r="GN2714" s="7"/>
      <c r="GO2714" s="7"/>
      <c r="GP2714" s="7"/>
      <c r="GQ2714" s="7"/>
      <c r="GR2714" s="7"/>
      <c r="GS2714" s="7"/>
      <c r="GT2714" s="7"/>
      <c r="GU2714" s="7"/>
      <c r="GV2714" s="7"/>
      <c r="GW2714" s="7"/>
      <c r="GX2714" s="7"/>
      <c r="GY2714" s="7"/>
      <c r="GZ2714" s="7"/>
      <c r="HA2714" s="7"/>
      <c r="HB2714" s="7"/>
      <c r="HC2714" s="7"/>
      <c r="HD2714" s="7"/>
      <c r="HE2714" s="7"/>
      <c r="HF2714" s="7"/>
      <c r="HG2714" s="7"/>
      <c r="HH2714" s="7"/>
      <c r="HI2714" s="7"/>
      <c r="HJ2714" s="7"/>
      <c r="HK2714" s="7"/>
      <c r="HL2714" s="7"/>
      <c r="HM2714" s="7"/>
      <c r="HN2714" s="7"/>
      <c r="HO2714" s="7"/>
      <c r="HP2714" s="7"/>
      <c r="HQ2714" s="7"/>
    </row>
    <row r="2715" spans="1:226" s="1" customFormat="1" ht="15.75" customHeight="1" x14ac:dyDescent="0.35">
      <c r="A2715" s="256">
        <f>A2704+1</f>
        <v>4</v>
      </c>
      <c r="B2715" s="256">
        <v>5099</v>
      </c>
      <c r="C2715" s="316" t="s">
        <v>531</v>
      </c>
      <c r="D2715" s="279">
        <v>368.8</v>
      </c>
      <c r="E2715" s="279" t="s">
        <v>71</v>
      </c>
      <c r="F2715" s="291">
        <v>2</v>
      </c>
      <c r="G2715" s="149"/>
      <c r="H2715" s="159" t="s">
        <v>73</v>
      </c>
      <c r="I2715" s="158">
        <f>I2716+I2717+I2718+I2719+I2720+I2721+I2722+I2723+I2724+I2725</f>
        <v>2952981.6</v>
      </c>
      <c r="J2715" s="158">
        <f>J2716+J2717+J2718+J2719+J2720+J2721+J2722+J2723+J2724+J2725</f>
        <v>8007</v>
      </c>
      <c r="K2715" s="158">
        <f>K2716+K2717+K2718+K2719+K2720+K2721+K2722+K2723+K2724+K2725</f>
        <v>8007</v>
      </c>
      <c r="L2715" s="7"/>
      <c r="M2715" s="7"/>
      <c r="N2715" s="7"/>
      <c r="O2715" s="7"/>
      <c r="P2715" s="7"/>
      <c r="Q2715" s="7"/>
      <c r="R2715" s="7"/>
      <c r="S2715" s="7"/>
      <c r="T2715" s="7"/>
      <c r="U2715" s="7"/>
      <c r="V2715" s="7"/>
      <c r="W2715" s="7"/>
      <c r="X2715" s="7"/>
      <c r="Y2715" s="7"/>
      <c r="Z2715" s="7"/>
      <c r="AA2715" s="7"/>
      <c r="AB2715" s="7"/>
      <c r="AC2715" s="7"/>
      <c r="AD2715" s="7"/>
      <c r="AE2715" s="7"/>
      <c r="AF2715" s="7"/>
      <c r="AG2715" s="7"/>
      <c r="AH2715" s="7"/>
      <c r="AI2715" s="7"/>
      <c r="AJ2715" s="7"/>
      <c r="AK2715" s="7"/>
      <c r="AL2715" s="7"/>
      <c r="AM2715" s="7"/>
      <c r="AN2715" s="7"/>
      <c r="AO2715" s="7"/>
      <c r="AP2715" s="7"/>
      <c r="AQ2715" s="7"/>
      <c r="AR2715" s="7"/>
      <c r="AS2715" s="7"/>
      <c r="AT2715" s="7"/>
      <c r="AU2715" s="7"/>
      <c r="AV2715" s="7"/>
      <c r="AW2715" s="7"/>
      <c r="AX2715" s="7"/>
      <c r="AY2715" s="7"/>
      <c r="AZ2715" s="7"/>
      <c r="BA2715" s="7"/>
      <c r="BB2715" s="7"/>
      <c r="BC2715" s="7"/>
      <c r="BD2715" s="7"/>
      <c r="BE2715" s="7"/>
      <c r="BF2715" s="7"/>
      <c r="BG2715" s="7"/>
      <c r="BH2715" s="7"/>
      <c r="BI2715" s="7"/>
      <c r="BJ2715" s="7"/>
      <c r="BK2715" s="7"/>
      <c r="BL2715" s="7"/>
      <c r="BM2715" s="7"/>
      <c r="BN2715" s="7"/>
      <c r="BO2715" s="7"/>
      <c r="BP2715" s="7"/>
      <c r="BQ2715" s="7"/>
      <c r="BR2715" s="7"/>
      <c r="BS2715" s="7"/>
      <c r="BT2715" s="7"/>
      <c r="BU2715" s="7"/>
      <c r="BV2715" s="7"/>
      <c r="BW2715" s="7"/>
      <c r="BX2715" s="7"/>
      <c r="BY2715" s="7"/>
      <c r="BZ2715" s="7"/>
      <c r="CA2715" s="7"/>
      <c r="CB2715" s="7"/>
      <c r="CC2715" s="7"/>
      <c r="CD2715" s="7"/>
      <c r="CE2715" s="7"/>
      <c r="CF2715" s="7"/>
      <c r="CG2715" s="7"/>
      <c r="CH2715" s="7"/>
      <c r="CI2715" s="7"/>
      <c r="CJ2715" s="7"/>
      <c r="CK2715" s="7"/>
      <c r="CL2715" s="7"/>
      <c r="CM2715" s="7"/>
      <c r="CN2715" s="7"/>
      <c r="CO2715" s="7"/>
      <c r="CP2715" s="7"/>
      <c r="CQ2715" s="7"/>
      <c r="CR2715" s="7"/>
      <c r="CS2715" s="7"/>
      <c r="CT2715" s="7"/>
      <c r="CU2715" s="7"/>
      <c r="CV2715" s="7"/>
      <c r="CW2715" s="7"/>
      <c r="CX2715" s="7"/>
      <c r="CY2715" s="7"/>
      <c r="CZ2715" s="7"/>
      <c r="DA2715" s="7"/>
      <c r="DB2715" s="7"/>
      <c r="DC2715" s="7"/>
      <c r="DD2715" s="7"/>
      <c r="DE2715" s="7"/>
      <c r="DF2715" s="7"/>
      <c r="DG2715" s="7"/>
      <c r="DH2715" s="7"/>
      <c r="DI2715" s="7"/>
      <c r="DJ2715" s="7"/>
      <c r="DK2715" s="7"/>
      <c r="DL2715" s="7"/>
      <c r="DM2715" s="7"/>
      <c r="DN2715" s="7"/>
      <c r="DO2715" s="7"/>
      <c r="DP2715" s="7"/>
      <c r="DQ2715" s="7"/>
      <c r="DR2715" s="7"/>
      <c r="DS2715" s="7"/>
      <c r="DT2715" s="7"/>
      <c r="DU2715" s="7"/>
      <c r="DV2715" s="7"/>
      <c r="DW2715" s="7"/>
      <c r="DX2715" s="7"/>
      <c r="DY2715" s="7"/>
      <c r="DZ2715" s="7"/>
      <c r="EA2715" s="7"/>
      <c r="EB2715" s="7"/>
      <c r="EC2715" s="7"/>
      <c r="ED2715" s="7"/>
      <c r="EE2715" s="7"/>
      <c r="EF2715" s="7"/>
      <c r="EG2715" s="7"/>
      <c r="EH2715" s="7"/>
      <c r="EI2715" s="7"/>
      <c r="EJ2715" s="7"/>
      <c r="EK2715" s="7"/>
      <c r="EL2715" s="7"/>
      <c r="EM2715" s="7"/>
      <c r="EN2715" s="7"/>
      <c r="EO2715" s="7"/>
      <c r="EP2715" s="7"/>
      <c r="EQ2715" s="7"/>
      <c r="ER2715" s="7"/>
      <c r="ES2715" s="7"/>
      <c r="ET2715" s="7"/>
      <c r="EU2715" s="7"/>
      <c r="EV2715" s="7"/>
      <c r="EW2715" s="7"/>
      <c r="EX2715" s="7"/>
      <c r="EY2715" s="7"/>
      <c r="EZ2715" s="7"/>
      <c r="FA2715" s="7"/>
      <c r="FB2715" s="7"/>
      <c r="FC2715" s="7"/>
      <c r="FD2715" s="7"/>
      <c r="FE2715" s="7"/>
      <c r="FF2715" s="7"/>
      <c r="FG2715" s="7"/>
      <c r="FH2715" s="7"/>
      <c r="FI2715" s="7"/>
      <c r="FJ2715" s="7"/>
      <c r="FK2715" s="7"/>
      <c r="FL2715" s="7"/>
      <c r="FM2715" s="7"/>
      <c r="FN2715" s="7"/>
      <c r="FO2715" s="7"/>
      <c r="FP2715" s="7"/>
      <c r="FQ2715" s="7"/>
      <c r="FR2715" s="7"/>
      <c r="FS2715" s="7"/>
      <c r="FT2715" s="7"/>
      <c r="FU2715" s="7"/>
      <c r="FV2715" s="7"/>
      <c r="FW2715" s="7"/>
      <c r="FX2715" s="7"/>
      <c r="FY2715" s="7"/>
      <c r="FZ2715" s="7"/>
      <c r="GA2715" s="7"/>
      <c r="GB2715" s="7"/>
      <c r="GC2715" s="7"/>
      <c r="GD2715" s="7"/>
      <c r="GE2715" s="7"/>
      <c r="GF2715" s="7"/>
      <c r="GG2715" s="7"/>
      <c r="GH2715" s="7"/>
      <c r="GI2715" s="7"/>
      <c r="GJ2715" s="7"/>
      <c r="GK2715" s="7"/>
      <c r="GL2715" s="7"/>
      <c r="GM2715" s="7"/>
      <c r="GN2715" s="7"/>
      <c r="GO2715" s="7"/>
      <c r="GP2715" s="7"/>
      <c r="GQ2715" s="7"/>
      <c r="GR2715" s="7"/>
      <c r="GS2715" s="7"/>
      <c r="GT2715" s="7"/>
      <c r="GU2715" s="7"/>
      <c r="GV2715" s="7"/>
      <c r="GW2715" s="7"/>
      <c r="GX2715" s="7"/>
      <c r="GY2715" s="7"/>
      <c r="GZ2715" s="7"/>
      <c r="HA2715" s="7"/>
      <c r="HB2715" s="7"/>
      <c r="HC2715" s="7"/>
      <c r="HD2715" s="7"/>
      <c r="HE2715" s="7"/>
      <c r="HF2715" s="7"/>
      <c r="HG2715" s="7"/>
      <c r="HH2715" s="7"/>
      <c r="HI2715" s="7"/>
      <c r="HJ2715" s="7"/>
      <c r="HK2715" s="7"/>
      <c r="HL2715" s="7"/>
      <c r="HM2715" s="7"/>
      <c r="HN2715" s="7"/>
      <c r="HO2715" s="7"/>
      <c r="HP2715" s="7"/>
      <c r="HQ2715" s="7"/>
    </row>
    <row r="2716" spans="1:226" s="1" customFormat="1" x14ac:dyDescent="0.35">
      <c r="A2716" s="257"/>
      <c r="B2716" s="257"/>
      <c r="C2716" s="317"/>
      <c r="D2716" s="280"/>
      <c r="E2716" s="280"/>
      <c r="F2716" s="292"/>
      <c r="G2716" s="251" t="s">
        <v>77</v>
      </c>
      <c r="H2716" s="167" t="s">
        <v>74</v>
      </c>
      <c r="I2716" s="158">
        <f>D2715*K2716</f>
        <v>1011618.4</v>
      </c>
      <c r="J2716" s="158">
        <f>I2716/D2715</f>
        <v>2743</v>
      </c>
      <c r="K2716" s="158">
        <v>2743</v>
      </c>
      <c r="L2716" s="7"/>
      <c r="M2716" s="7"/>
      <c r="N2716" s="7"/>
      <c r="O2716" s="7"/>
      <c r="P2716" s="7"/>
      <c r="Q2716" s="7"/>
      <c r="R2716" s="7"/>
      <c r="S2716" s="7"/>
      <c r="T2716" s="7"/>
      <c r="U2716" s="7"/>
      <c r="V2716" s="7"/>
      <c r="W2716" s="7"/>
      <c r="X2716" s="7"/>
      <c r="Y2716" s="7"/>
      <c r="Z2716" s="7"/>
      <c r="AA2716" s="7"/>
      <c r="AB2716" s="7"/>
      <c r="AC2716" s="7"/>
      <c r="AD2716" s="7"/>
      <c r="AE2716" s="7"/>
      <c r="AF2716" s="7"/>
      <c r="AG2716" s="7"/>
      <c r="AH2716" s="7"/>
      <c r="AI2716" s="7"/>
      <c r="AJ2716" s="7"/>
      <c r="AK2716" s="7"/>
      <c r="AL2716" s="7"/>
      <c r="AM2716" s="7"/>
      <c r="AN2716" s="7"/>
      <c r="AO2716" s="7"/>
      <c r="AP2716" s="7"/>
      <c r="AQ2716" s="7"/>
      <c r="AR2716" s="7"/>
      <c r="AS2716" s="7"/>
      <c r="AT2716" s="7"/>
      <c r="AU2716" s="7"/>
      <c r="AV2716" s="7"/>
      <c r="AW2716" s="7"/>
      <c r="AX2716" s="7"/>
      <c r="AY2716" s="7"/>
      <c r="AZ2716" s="7"/>
      <c r="BA2716" s="7"/>
      <c r="BB2716" s="7"/>
      <c r="BC2716" s="7"/>
      <c r="BD2716" s="7"/>
      <c r="BE2716" s="7"/>
      <c r="BF2716" s="7"/>
      <c r="BG2716" s="7"/>
      <c r="BH2716" s="7"/>
      <c r="BI2716" s="7"/>
      <c r="BJ2716" s="7"/>
      <c r="BK2716" s="7"/>
      <c r="BL2716" s="7"/>
      <c r="BM2716" s="7"/>
      <c r="BN2716" s="7"/>
      <c r="BO2716" s="7"/>
      <c r="BP2716" s="7"/>
      <c r="BQ2716" s="7"/>
      <c r="BR2716" s="7"/>
      <c r="BS2716" s="7"/>
      <c r="BT2716" s="7"/>
      <c r="BU2716" s="7"/>
      <c r="BV2716" s="7"/>
      <c r="BW2716" s="7"/>
      <c r="BX2716" s="7"/>
      <c r="BY2716" s="7"/>
      <c r="BZ2716" s="7"/>
      <c r="CA2716" s="7"/>
      <c r="CB2716" s="7"/>
      <c r="CC2716" s="7"/>
      <c r="CD2716" s="7"/>
      <c r="CE2716" s="7"/>
      <c r="CF2716" s="7"/>
      <c r="CG2716" s="7"/>
      <c r="CH2716" s="7"/>
      <c r="CI2716" s="7"/>
      <c r="CJ2716" s="7"/>
      <c r="CK2716" s="7"/>
      <c r="CL2716" s="7"/>
      <c r="CM2716" s="7"/>
      <c r="CN2716" s="7"/>
      <c r="CO2716" s="7"/>
      <c r="CP2716" s="7"/>
      <c r="CQ2716" s="7"/>
      <c r="CR2716" s="7"/>
      <c r="CS2716" s="7"/>
      <c r="CT2716" s="7"/>
      <c r="CU2716" s="7"/>
      <c r="CV2716" s="7"/>
      <c r="CW2716" s="7"/>
      <c r="CX2716" s="7"/>
      <c r="CY2716" s="7"/>
      <c r="CZ2716" s="7"/>
      <c r="DA2716" s="7"/>
      <c r="DB2716" s="7"/>
      <c r="DC2716" s="7"/>
      <c r="DD2716" s="7"/>
      <c r="DE2716" s="7"/>
      <c r="DF2716" s="7"/>
      <c r="DG2716" s="7"/>
      <c r="DH2716" s="7"/>
      <c r="DI2716" s="7"/>
      <c r="DJ2716" s="7"/>
      <c r="DK2716" s="7"/>
      <c r="DL2716" s="7"/>
      <c r="DM2716" s="7"/>
      <c r="DN2716" s="7"/>
      <c r="DO2716" s="7"/>
      <c r="DP2716" s="7"/>
      <c r="DQ2716" s="7"/>
      <c r="DR2716" s="7"/>
      <c r="DS2716" s="7"/>
      <c r="DT2716" s="7"/>
      <c r="DU2716" s="7"/>
      <c r="DV2716" s="7"/>
      <c r="DW2716" s="7"/>
      <c r="DX2716" s="7"/>
      <c r="DY2716" s="7"/>
      <c r="DZ2716" s="7"/>
      <c r="EA2716" s="7"/>
      <c r="EB2716" s="7"/>
      <c r="EC2716" s="7"/>
      <c r="ED2716" s="7"/>
      <c r="EE2716" s="7"/>
      <c r="EF2716" s="7"/>
      <c r="EG2716" s="7"/>
      <c r="EH2716" s="7"/>
      <c r="EI2716" s="7"/>
      <c r="EJ2716" s="7"/>
      <c r="EK2716" s="7"/>
      <c r="EL2716" s="7"/>
      <c r="EM2716" s="7"/>
      <c r="EN2716" s="7"/>
      <c r="EO2716" s="7"/>
      <c r="EP2716" s="7"/>
      <c r="EQ2716" s="7"/>
      <c r="ER2716" s="7"/>
      <c r="ES2716" s="7"/>
      <c r="ET2716" s="7"/>
      <c r="EU2716" s="7"/>
      <c r="EV2716" s="7"/>
      <c r="EW2716" s="7"/>
      <c r="EX2716" s="7"/>
      <c r="EY2716" s="7"/>
      <c r="EZ2716" s="7"/>
      <c r="FA2716" s="7"/>
      <c r="FB2716" s="7"/>
      <c r="FC2716" s="7"/>
      <c r="FD2716" s="7"/>
      <c r="FE2716" s="7"/>
      <c r="FF2716" s="7"/>
      <c r="FG2716" s="7"/>
      <c r="FH2716" s="7"/>
      <c r="FI2716" s="7"/>
      <c r="FJ2716" s="7"/>
      <c r="FK2716" s="7"/>
      <c r="FL2716" s="7"/>
      <c r="FM2716" s="7"/>
      <c r="FN2716" s="7"/>
      <c r="FO2716" s="7"/>
      <c r="FP2716" s="7"/>
      <c r="FQ2716" s="7"/>
      <c r="FR2716" s="7"/>
      <c r="FS2716" s="7"/>
      <c r="FT2716" s="7"/>
      <c r="FU2716" s="7"/>
      <c r="FV2716" s="7"/>
      <c r="FW2716" s="7"/>
      <c r="FX2716" s="7"/>
      <c r="FY2716" s="7"/>
      <c r="FZ2716" s="7"/>
      <c r="GA2716" s="7"/>
      <c r="GB2716" s="7"/>
      <c r="GC2716" s="7"/>
      <c r="GD2716" s="7"/>
      <c r="GE2716" s="7"/>
      <c r="GF2716" s="7"/>
      <c r="GG2716" s="7"/>
      <c r="GH2716" s="7"/>
      <c r="GI2716" s="7"/>
      <c r="GJ2716" s="7"/>
      <c r="GK2716" s="7"/>
      <c r="GL2716" s="7"/>
      <c r="GM2716" s="7"/>
      <c r="GN2716" s="7"/>
      <c r="GO2716" s="7"/>
      <c r="GP2716" s="7"/>
      <c r="GQ2716" s="7"/>
      <c r="GR2716" s="7"/>
      <c r="GS2716" s="7"/>
      <c r="GT2716" s="7"/>
      <c r="GU2716" s="7"/>
      <c r="GV2716" s="7"/>
      <c r="GW2716" s="7"/>
      <c r="GX2716" s="7"/>
      <c r="GY2716" s="7"/>
      <c r="GZ2716" s="7"/>
      <c r="HA2716" s="7"/>
      <c r="HB2716" s="7"/>
      <c r="HC2716" s="7"/>
      <c r="HD2716" s="7"/>
      <c r="HE2716" s="7"/>
      <c r="HF2716" s="7"/>
      <c r="HG2716" s="7"/>
      <c r="HH2716" s="7"/>
      <c r="HI2716" s="7"/>
      <c r="HJ2716" s="7"/>
      <c r="HK2716" s="7"/>
      <c r="HL2716" s="7"/>
      <c r="HM2716" s="7"/>
      <c r="HN2716" s="7"/>
      <c r="HO2716" s="7"/>
      <c r="HP2716" s="7"/>
      <c r="HQ2716" s="7"/>
    </row>
    <row r="2717" spans="1:226" s="1" customFormat="1" x14ac:dyDescent="0.35">
      <c r="A2717" s="257"/>
      <c r="B2717" s="257"/>
      <c r="C2717" s="317"/>
      <c r="D2717" s="280"/>
      <c r="E2717" s="280"/>
      <c r="F2717" s="292"/>
      <c r="G2717" s="251"/>
      <c r="H2717" s="167" t="s">
        <v>76</v>
      </c>
      <c r="I2717" s="158">
        <f>D2715*K2717</f>
        <v>21759.200000000001</v>
      </c>
      <c r="J2717" s="158">
        <f>I2717/D2715</f>
        <v>59</v>
      </c>
      <c r="K2717" s="158">
        <v>59</v>
      </c>
      <c r="L2717" s="7"/>
      <c r="M2717" s="7"/>
      <c r="N2717" s="7"/>
      <c r="O2717" s="7"/>
      <c r="P2717" s="7"/>
      <c r="Q2717" s="7"/>
      <c r="R2717" s="7"/>
      <c r="S2717" s="7"/>
      <c r="T2717" s="7"/>
      <c r="U2717" s="7"/>
      <c r="V2717" s="7"/>
      <c r="W2717" s="7"/>
      <c r="X2717" s="7"/>
      <c r="Y2717" s="7"/>
      <c r="Z2717" s="7"/>
      <c r="AA2717" s="7"/>
      <c r="AB2717" s="7"/>
      <c r="AC2717" s="7"/>
      <c r="AD2717" s="7"/>
      <c r="AE2717" s="7"/>
      <c r="AF2717" s="7"/>
      <c r="AG2717" s="7"/>
      <c r="AH2717" s="7"/>
      <c r="AI2717" s="7"/>
      <c r="AJ2717" s="7"/>
      <c r="AK2717" s="7"/>
      <c r="AL2717" s="7"/>
      <c r="AM2717" s="7"/>
      <c r="AN2717" s="7"/>
      <c r="AO2717" s="7"/>
      <c r="AP2717" s="7"/>
      <c r="AQ2717" s="7"/>
      <c r="AR2717" s="7"/>
      <c r="AS2717" s="7"/>
      <c r="AT2717" s="7"/>
      <c r="AU2717" s="7"/>
      <c r="AV2717" s="7"/>
      <c r="AW2717" s="7"/>
      <c r="AX2717" s="7"/>
      <c r="AY2717" s="7"/>
      <c r="AZ2717" s="7"/>
      <c r="BA2717" s="7"/>
      <c r="BB2717" s="7"/>
      <c r="BC2717" s="7"/>
      <c r="BD2717" s="7"/>
      <c r="BE2717" s="7"/>
      <c r="BF2717" s="7"/>
      <c r="BG2717" s="7"/>
      <c r="BH2717" s="7"/>
      <c r="BI2717" s="7"/>
      <c r="BJ2717" s="7"/>
      <c r="BK2717" s="7"/>
      <c r="BL2717" s="7"/>
      <c r="BM2717" s="7"/>
      <c r="BN2717" s="7"/>
      <c r="BO2717" s="7"/>
      <c r="BP2717" s="7"/>
      <c r="BQ2717" s="7"/>
      <c r="BR2717" s="7"/>
      <c r="BS2717" s="7"/>
      <c r="BT2717" s="7"/>
      <c r="BU2717" s="7"/>
      <c r="BV2717" s="7"/>
      <c r="BW2717" s="7"/>
      <c r="BX2717" s="7"/>
      <c r="BY2717" s="7"/>
      <c r="BZ2717" s="7"/>
      <c r="CA2717" s="7"/>
      <c r="CB2717" s="7"/>
      <c r="CC2717" s="7"/>
      <c r="CD2717" s="7"/>
      <c r="CE2717" s="7"/>
      <c r="CF2717" s="7"/>
      <c r="CG2717" s="7"/>
      <c r="CH2717" s="7"/>
      <c r="CI2717" s="7"/>
      <c r="CJ2717" s="7"/>
      <c r="CK2717" s="7"/>
      <c r="CL2717" s="7"/>
      <c r="CM2717" s="7"/>
      <c r="CN2717" s="7"/>
      <c r="CO2717" s="7"/>
      <c r="CP2717" s="7"/>
      <c r="CQ2717" s="7"/>
      <c r="CR2717" s="7"/>
      <c r="CS2717" s="7"/>
      <c r="CT2717" s="7"/>
      <c r="CU2717" s="7"/>
      <c r="CV2717" s="7"/>
      <c r="CW2717" s="7"/>
      <c r="CX2717" s="7"/>
      <c r="CY2717" s="7"/>
      <c r="CZ2717" s="7"/>
      <c r="DA2717" s="7"/>
      <c r="DB2717" s="7"/>
      <c r="DC2717" s="7"/>
      <c r="DD2717" s="7"/>
      <c r="DE2717" s="7"/>
      <c r="DF2717" s="7"/>
      <c r="DG2717" s="7"/>
      <c r="DH2717" s="7"/>
      <c r="DI2717" s="7"/>
      <c r="DJ2717" s="7"/>
      <c r="DK2717" s="7"/>
      <c r="DL2717" s="7"/>
      <c r="DM2717" s="7"/>
      <c r="DN2717" s="7"/>
      <c r="DO2717" s="7"/>
      <c r="DP2717" s="7"/>
      <c r="DQ2717" s="7"/>
      <c r="DR2717" s="7"/>
      <c r="DS2717" s="7"/>
      <c r="DT2717" s="7"/>
      <c r="DU2717" s="7"/>
      <c r="DV2717" s="7"/>
      <c r="DW2717" s="7"/>
      <c r="DX2717" s="7"/>
      <c r="DY2717" s="7"/>
      <c r="DZ2717" s="7"/>
      <c r="EA2717" s="7"/>
      <c r="EB2717" s="7"/>
      <c r="EC2717" s="7"/>
      <c r="ED2717" s="7"/>
      <c r="EE2717" s="7"/>
      <c r="EF2717" s="7"/>
      <c r="EG2717" s="7"/>
      <c r="EH2717" s="7"/>
      <c r="EI2717" s="7"/>
      <c r="EJ2717" s="7"/>
      <c r="EK2717" s="7"/>
      <c r="EL2717" s="7"/>
      <c r="EM2717" s="7"/>
      <c r="EN2717" s="7"/>
      <c r="EO2717" s="7"/>
      <c r="EP2717" s="7"/>
      <c r="EQ2717" s="7"/>
      <c r="ER2717" s="7"/>
      <c r="ES2717" s="7"/>
      <c r="ET2717" s="7"/>
      <c r="EU2717" s="7"/>
      <c r="EV2717" s="7"/>
      <c r="EW2717" s="7"/>
      <c r="EX2717" s="7"/>
      <c r="EY2717" s="7"/>
      <c r="EZ2717" s="7"/>
      <c r="FA2717" s="7"/>
      <c r="FB2717" s="7"/>
      <c r="FC2717" s="7"/>
      <c r="FD2717" s="7"/>
      <c r="FE2717" s="7"/>
      <c r="FF2717" s="7"/>
      <c r="FG2717" s="7"/>
      <c r="FH2717" s="7"/>
      <c r="FI2717" s="7"/>
      <c r="FJ2717" s="7"/>
      <c r="FK2717" s="7"/>
      <c r="FL2717" s="7"/>
      <c r="FM2717" s="7"/>
      <c r="FN2717" s="7"/>
      <c r="FO2717" s="7"/>
      <c r="FP2717" s="7"/>
      <c r="FQ2717" s="7"/>
      <c r="FR2717" s="7"/>
      <c r="FS2717" s="7"/>
      <c r="FT2717" s="7"/>
      <c r="FU2717" s="7"/>
      <c r="FV2717" s="7"/>
      <c r="FW2717" s="7"/>
      <c r="FX2717" s="7"/>
      <c r="FY2717" s="7"/>
      <c r="FZ2717" s="7"/>
      <c r="GA2717" s="7"/>
      <c r="GB2717" s="7"/>
      <c r="GC2717" s="7"/>
      <c r="GD2717" s="7"/>
      <c r="GE2717" s="7"/>
      <c r="GF2717" s="7"/>
      <c r="GG2717" s="7"/>
      <c r="GH2717" s="7"/>
      <c r="GI2717" s="7"/>
      <c r="GJ2717" s="7"/>
      <c r="GK2717" s="7"/>
      <c r="GL2717" s="7"/>
      <c r="GM2717" s="7"/>
      <c r="GN2717" s="7"/>
      <c r="GO2717" s="7"/>
      <c r="GP2717" s="7"/>
      <c r="GQ2717" s="7"/>
      <c r="GR2717" s="7"/>
      <c r="GS2717" s="7"/>
      <c r="GT2717" s="7"/>
      <c r="GU2717" s="7"/>
      <c r="GV2717" s="7"/>
      <c r="GW2717" s="7"/>
      <c r="GX2717" s="7"/>
      <c r="GY2717" s="7"/>
      <c r="GZ2717" s="7"/>
      <c r="HA2717" s="7"/>
      <c r="HB2717" s="7"/>
      <c r="HC2717" s="7"/>
      <c r="HD2717" s="7"/>
      <c r="HE2717" s="7"/>
      <c r="HF2717" s="7"/>
      <c r="HG2717" s="7"/>
      <c r="HH2717" s="7"/>
      <c r="HI2717" s="7"/>
      <c r="HJ2717" s="7"/>
      <c r="HK2717" s="7"/>
      <c r="HL2717" s="7"/>
      <c r="HM2717" s="7"/>
      <c r="HN2717" s="7"/>
      <c r="HO2717" s="7"/>
      <c r="HP2717" s="7"/>
      <c r="HQ2717" s="7"/>
    </row>
    <row r="2718" spans="1:226" s="1" customFormat="1" x14ac:dyDescent="0.35">
      <c r="A2718" s="257"/>
      <c r="B2718" s="257"/>
      <c r="C2718" s="317"/>
      <c r="D2718" s="280"/>
      <c r="E2718" s="280"/>
      <c r="F2718" s="292"/>
      <c r="G2718" s="251" t="s">
        <v>78</v>
      </c>
      <c r="H2718" s="167" t="s">
        <v>74</v>
      </c>
      <c r="I2718" s="158">
        <f>D2715*K2718</f>
        <v>195464</v>
      </c>
      <c r="J2718" s="158">
        <f>I2718/D2715</f>
        <v>530</v>
      </c>
      <c r="K2718" s="158">
        <v>530</v>
      </c>
      <c r="L2718" s="7"/>
      <c r="M2718" s="7"/>
      <c r="N2718" s="7"/>
      <c r="O2718" s="7"/>
      <c r="P2718" s="7"/>
      <c r="Q2718" s="7"/>
      <c r="R2718" s="7"/>
      <c r="S2718" s="7"/>
      <c r="T2718" s="7"/>
      <c r="U2718" s="7"/>
      <c r="V2718" s="7"/>
      <c r="W2718" s="7"/>
      <c r="X2718" s="7"/>
      <c r="Y2718" s="7"/>
      <c r="Z2718" s="7"/>
      <c r="AA2718" s="7"/>
      <c r="AB2718" s="7"/>
      <c r="AC2718" s="7"/>
      <c r="AD2718" s="7"/>
      <c r="AE2718" s="7"/>
      <c r="AF2718" s="7"/>
      <c r="AG2718" s="7"/>
      <c r="AH2718" s="7"/>
      <c r="AI2718" s="7"/>
      <c r="AJ2718" s="7"/>
      <c r="AK2718" s="7"/>
      <c r="AL2718" s="7"/>
      <c r="AM2718" s="7"/>
      <c r="AN2718" s="7"/>
      <c r="AO2718" s="7"/>
      <c r="AP2718" s="7"/>
      <c r="AQ2718" s="7"/>
      <c r="AR2718" s="7"/>
      <c r="AS2718" s="7"/>
      <c r="AT2718" s="7"/>
      <c r="AU2718" s="7"/>
      <c r="AV2718" s="7"/>
      <c r="AW2718" s="7"/>
      <c r="AX2718" s="7"/>
      <c r="AY2718" s="7"/>
      <c r="AZ2718" s="7"/>
      <c r="BA2718" s="7"/>
      <c r="BB2718" s="7"/>
      <c r="BC2718" s="7"/>
      <c r="BD2718" s="7"/>
      <c r="BE2718" s="7"/>
      <c r="BF2718" s="7"/>
      <c r="BG2718" s="7"/>
      <c r="BH2718" s="7"/>
      <c r="BI2718" s="7"/>
      <c r="BJ2718" s="7"/>
      <c r="BK2718" s="7"/>
      <c r="BL2718" s="7"/>
      <c r="BM2718" s="7"/>
      <c r="BN2718" s="7"/>
      <c r="BO2718" s="7"/>
      <c r="BP2718" s="7"/>
      <c r="BQ2718" s="7"/>
      <c r="BR2718" s="7"/>
      <c r="BS2718" s="7"/>
      <c r="BT2718" s="7"/>
      <c r="BU2718" s="7"/>
      <c r="BV2718" s="7"/>
      <c r="BW2718" s="7"/>
      <c r="BX2718" s="7"/>
      <c r="BY2718" s="7"/>
      <c r="BZ2718" s="7"/>
      <c r="CA2718" s="7"/>
      <c r="CB2718" s="7"/>
      <c r="CC2718" s="7"/>
      <c r="CD2718" s="7"/>
      <c r="CE2718" s="7"/>
      <c r="CF2718" s="7"/>
      <c r="CG2718" s="7"/>
      <c r="CH2718" s="7"/>
      <c r="CI2718" s="7"/>
      <c r="CJ2718" s="7"/>
      <c r="CK2718" s="7"/>
      <c r="CL2718" s="7"/>
      <c r="CM2718" s="7"/>
      <c r="CN2718" s="7"/>
      <c r="CO2718" s="7"/>
      <c r="CP2718" s="7"/>
      <c r="CQ2718" s="7"/>
      <c r="CR2718" s="7"/>
      <c r="CS2718" s="7"/>
      <c r="CT2718" s="7"/>
      <c r="CU2718" s="7"/>
      <c r="CV2718" s="7"/>
      <c r="CW2718" s="7"/>
      <c r="CX2718" s="7"/>
      <c r="CY2718" s="7"/>
      <c r="CZ2718" s="7"/>
      <c r="DA2718" s="7"/>
      <c r="DB2718" s="7"/>
      <c r="DC2718" s="7"/>
      <c r="DD2718" s="7"/>
      <c r="DE2718" s="7"/>
      <c r="DF2718" s="7"/>
      <c r="DG2718" s="7"/>
      <c r="DH2718" s="7"/>
      <c r="DI2718" s="7"/>
      <c r="DJ2718" s="7"/>
      <c r="DK2718" s="7"/>
      <c r="DL2718" s="7"/>
      <c r="DM2718" s="7"/>
      <c r="DN2718" s="7"/>
      <c r="DO2718" s="7"/>
      <c r="DP2718" s="7"/>
      <c r="DQ2718" s="7"/>
      <c r="DR2718" s="7"/>
      <c r="DS2718" s="7"/>
      <c r="DT2718" s="7"/>
      <c r="DU2718" s="7"/>
      <c r="DV2718" s="7"/>
      <c r="DW2718" s="7"/>
      <c r="DX2718" s="7"/>
      <c r="DY2718" s="7"/>
      <c r="DZ2718" s="7"/>
      <c r="EA2718" s="7"/>
      <c r="EB2718" s="7"/>
      <c r="EC2718" s="7"/>
      <c r="ED2718" s="7"/>
      <c r="EE2718" s="7"/>
      <c r="EF2718" s="7"/>
      <c r="EG2718" s="7"/>
      <c r="EH2718" s="7"/>
      <c r="EI2718" s="7"/>
      <c r="EJ2718" s="7"/>
      <c r="EK2718" s="7"/>
      <c r="EL2718" s="7"/>
      <c r="EM2718" s="7"/>
      <c r="EN2718" s="7"/>
      <c r="EO2718" s="7"/>
      <c r="EP2718" s="7"/>
      <c r="EQ2718" s="7"/>
      <c r="ER2718" s="7"/>
      <c r="ES2718" s="7"/>
      <c r="ET2718" s="7"/>
      <c r="EU2718" s="7"/>
      <c r="EV2718" s="7"/>
      <c r="EW2718" s="7"/>
      <c r="EX2718" s="7"/>
      <c r="EY2718" s="7"/>
      <c r="EZ2718" s="7"/>
      <c r="FA2718" s="7"/>
      <c r="FB2718" s="7"/>
      <c r="FC2718" s="7"/>
      <c r="FD2718" s="7"/>
      <c r="FE2718" s="7"/>
      <c r="FF2718" s="7"/>
      <c r="FG2718" s="7"/>
      <c r="FH2718" s="7"/>
      <c r="FI2718" s="7"/>
      <c r="FJ2718" s="7"/>
      <c r="FK2718" s="7"/>
      <c r="FL2718" s="7"/>
      <c r="FM2718" s="7"/>
      <c r="FN2718" s="7"/>
      <c r="FO2718" s="7"/>
      <c r="FP2718" s="7"/>
      <c r="FQ2718" s="7"/>
      <c r="FR2718" s="7"/>
      <c r="FS2718" s="7"/>
      <c r="FT2718" s="7"/>
      <c r="FU2718" s="7"/>
      <c r="FV2718" s="7"/>
      <c r="FW2718" s="7"/>
      <c r="FX2718" s="7"/>
      <c r="FY2718" s="7"/>
      <c r="FZ2718" s="7"/>
      <c r="GA2718" s="7"/>
      <c r="GB2718" s="7"/>
      <c r="GC2718" s="7"/>
      <c r="GD2718" s="7"/>
      <c r="GE2718" s="7"/>
      <c r="GF2718" s="7"/>
      <c r="GG2718" s="7"/>
      <c r="GH2718" s="7"/>
      <c r="GI2718" s="7"/>
      <c r="GJ2718" s="7"/>
      <c r="GK2718" s="7"/>
      <c r="GL2718" s="7"/>
      <c r="GM2718" s="7"/>
      <c r="GN2718" s="7"/>
      <c r="GO2718" s="7"/>
      <c r="GP2718" s="7"/>
      <c r="GQ2718" s="7"/>
      <c r="GR2718" s="7"/>
      <c r="GS2718" s="7"/>
      <c r="GT2718" s="7"/>
      <c r="GU2718" s="7"/>
      <c r="GV2718" s="7"/>
      <c r="GW2718" s="7"/>
      <c r="GX2718" s="7"/>
      <c r="GY2718" s="7"/>
      <c r="GZ2718" s="7"/>
      <c r="HA2718" s="7"/>
      <c r="HB2718" s="7"/>
      <c r="HC2718" s="7"/>
      <c r="HD2718" s="7"/>
      <c r="HE2718" s="7"/>
      <c r="HF2718" s="7"/>
      <c r="HG2718" s="7"/>
      <c r="HH2718" s="7"/>
      <c r="HI2718" s="7"/>
      <c r="HJ2718" s="7"/>
      <c r="HK2718" s="7"/>
      <c r="HL2718" s="7"/>
      <c r="HM2718" s="7"/>
      <c r="HN2718" s="7"/>
      <c r="HO2718" s="7"/>
      <c r="HP2718" s="7"/>
      <c r="HQ2718" s="7"/>
    </row>
    <row r="2719" spans="1:226" s="1" customFormat="1" x14ac:dyDescent="0.35">
      <c r="A2719" s="257"/>
      <c r="B2719" s="257"/>
      <c r="C2719" s="317"/>
      <c r="D2719" s="280"/>
      <c r="E2719" s="280"/>
      <c r="F2719" s="292"/>
      <c r="G2719" s="251"/>
      <c r="H2719" s="167" t="s">
        <v>76</v>
      </c>
      <c r="I2719" s="158">
        <f>D2715*K2719</f>
        <v>4056.8</v>
      </c>
      <c r="J2719" s="158">
        <f>I2719/D2715</f>
        <v>11</v>
      </c>
      <c r="K2719" s="158">
        <v>11</v>
      </c>
      <c r="L2719" s="7"/>
      <c r="M2719" s="7"/>
      <c r="N2719" s="7"/>
      <c r="O2719" s="7"/>
      <c r="P2719" s="7"/>
      <c r="Q2719" s="7"/>
      <c r="R2719" s="7"/>
      <c r="S2719" s="7"/>
      <c r="T2719" s="7"/>
      <c r="U2719" s="7"/>
      <c r="V2719" s="7"/>
      <c r="W2719" s="7"/>
      <c r="X2719" s="7"/>
      <c r="Y2719" s="7"/>
      <c r="Z2719" s="7"/>
      <c r="AA2719" s="7"/>
      <c r="AB2719" s="7"/>
      <c r="AC2719" s="7"/>
      <c r="AD2719" s="7"/>
      <c r="AE2719" s="7"/>
      <c r="AF2719" s="7"/>
      <c r="AG2719" s="7"/>
      <c r="AH2719" s="7"/>
      <c r="AI2719" s="7"/>
      <c r="AJ2719" s="7"/>
      <c r="AK2719" s="7"/>
      <c r="AL2719" s="7"/>
      <c r="AM2719" s="7"/>
      <c r="AN2719" s="7"/>
      <c r="AO2719" s="7"/>
      <c r="AP2719" s="7"/>
      <c r="AQ2719" s="7"/>
      <c r="AR2719" s="7"/>
      <c r="AS2719" s="7"/>
      <c r="AT2719" s="7"/>
      <c r="AU2719" s="7"/>
      <c r="AV2719" s="7"/>
      <c r="AW2719" s="7"/>
      <c r="AX2719" s="7"/>
      <c r="AY2719" s="7"/>
      <c r="AZ2719" s="7"/>
      <c r="BA2719" s="7"/>
      <c r="BB2719" s="7"/>
      <c r="BC2719" s="7"/>
      <c r="BD2719" s="7"/>
      <c r="BE2719" s="7"/>
      <c r="BF2719" s="7"/>
      <c r="BG2719" s="7"/>
      <c r="BH2719" s="7"/>
      <c r="BI2719" s="7"/>
      <c r="BJ2719" s="7"/>
      <c r="BK2719" s="7"/>
      <c r="BL2719" s="7"/>
      <c r="BM2719" s="7"/>
      <c r="BN2719" s="7"/>
      <c r="BO2719" s="7"/>
      <c r="BP2719" s="7"/>
      <c r="BQ2719" s="7"/>
      <c r="BR2719" s="7"/>
      <c r="BS2719" s="7"/>
      <c r="BT2719" s="7"/>
      <c r="BU2719" s="7"/>
      <c r="BV2719" s="7"/>
      <c r="BW2719" s="7"/>
      <c r="BX2719" s="7"/>
      <c r="BY2719" s="7"/>
      <c r="BZ2719" s="7"/>
      <c r="CA2719" s="7"/>
      <c r="CB2719" s="7"/>
      <c r="CC2719" s="7"/>
      <c r="CD2719" s="7"/>
      <c r="CE2719" s="7"/>
      <c r="CF2719" s="7"/>
      <c r="CG2719" s="7"/>
      <c r="CH2719" s="7"/>
      <c r="CI2719" s="7"/>
      <c r="CJ2719" s="7"/>
      <c r="CK2719" s="7"/>
      <c r="CL2719" s="7"/>
      <c r="CM2719" s="7"/>
      <c r="CN2719" s="7"/>
      <c r="CO2719" s="7"/>
      <c r="CP2719" s="7"/>
      <c r="CQ2719" s="7"/>
      <c r="CR2719" s="7"/>
      <c r="CS2719" s="7"/>
      <c r="CT2719" s="7"/>
      <c r="CU2719" s="7"/>
      <c r="CV2719" s="7"/>
      <c r="CW2719" s="7"/>
      <c r="CX2719" s="7"/>
      <c r="CY2719" s="7"/>
      <c r="CZ2719" s="7"/>
      <c r="DA2719" s="7"/>
      <c r="DB2719" s="7"/>
      <c r="DC2719" s="7"/>
      <c r="DD2719" s="7"/>
      <c r="DE2719" s="7"/>
      <c r="DF2719" s="7"/>
      <c r="DG2719" s="7"/>
      <c r="DH2719" s="7"/>
      <c r="DI2719" s="7"/>
      <c r="DJ2719" s="7"/>
      <c r="DK2719" s="7"/>
      <c r="DL2719" s="7"/>
      <c r="DM2719" s="7"/>
      <c r="DN2719" s="7"/>
      <c r="DO2719" s="7"/>
      <c r="DP2719" s="7"/>
      <c r="DQ2719" s="7"/>
      <c r="DR2719" s="7"/>
      <c r="DS2719" s="7"/>
      <c r="DT2719" s="7"/>
      <c r="DU2719" s="7"/>
      <c r="DV2719" s="7"/>
      <c r="DW2719" s="7"/>
      <c r="DX2719" s="7"/>
      <c r="DY2719" s="7"/>
      <c r="DZ2719" s="7"/>
      <c r="EA2719" s="7"/>
      <c r="EB2719" s="7"/>
      <c r="EC2719" s="7"/>
      <c r="ED2719" s="7"/>
      <c r="EE2719" s="7"/>
      <c r="EF2719" s="7"/>
      <c r="EG2719" s="7"/>
      <c r="EH2719" s="7"/>
      <c r="EI2719" s="7"/>
      <c r="EJ2719" s="7"/>
      <c r="EK2719" s="7"/>
      <c r="EL2719" s="7"/>
      <c r="EM2719" s="7"/>
      <c r="EN2719" s="7"/>
      <c r="EO2719" s="7"/>
      <c r="EP2719" s="7"/>
      <c r="EQ2719" s="7"/>
      <c r="ER2719" s="7"/>
      <c r="ES2719" s="7"/>
      <c r="ET2719" s="7"/>
      <c r="EU2719" s="7"/>
      <c r="EV2719" s="7"/>
      <c r="EW2719" s="7"/>
      <c r="EX2719" s="7"/>
      <c r="EY2719" s="7"/>
      <c r="EZ2719" s="7"/>
      <c r="FA2719" s="7"/>
      <c r="FB2719" s="7"/>
      <c r="FC2719" s="7"/>
      <c r="FD2719" s="7"/>
      <c r="FE2719" s="7"/>
      <c r="FF2719" s="7"/>
      <c r="FG2719" s="7"/>
      <c r="FH2719" s="7"/>
      <c r="FI2719" s="7"/>
      <c r="FJ2719" s="7"/>
      <c r="FK2719" s="7"/>
      <c r="FL2719" s="7"/>
      <c r="FM2719" s="7"/>
      <c r="FN2719" s="7"/>
      <c r="FO2719" s="7"/>
      <c r="FP2719" s="7"/>
      <c r="FQ2719" s="7"/>
      <c r="FR2719" s="7"/>
      <c r="FS2719" s="7"/>
      <c r="FT2719" s="7"/>
      <c r="FU2719" s="7"/>
      <c r="FV2719" s="7"/>
      <c r="FW2719" s="7"/>
      <c r="FX2719" s="7"/>
      <c r="FY2719" s="7"/>
      <c r="FZ2719" s="7"/>
      <c r="GA2719" s="7"/>
      <c r="GB2719" s="7"/>
      <c r="GC2719" s="7"/>
      <c r="GD2719" s="7"/>
      <c r="GE2719" s="7"/>
      <c r="GF2719" s="7"/>
      <c r="GG2719" s="7"/>
      <c r="GH2719" s="7"/>
      <c r="GI2719" s="7"/>
      <c r="GJ2719" s="7"/>
      <c r="GK2719" s="7"/>
      <c r="GL2719" s="7"/>
      <c r="GM2719" s="7"/>
      <c r="GN2719" s="7"/>
      <c r="GO2719" s="7"/>
      <c r="GP2719" s="7"/>
      <c r="GQ2719" s="7"/>
      <c r="GR2719" s="7"/>
      <c r="GS2719" s="7"/>
      <c r="GT2719" s="7"/>
      <c r="GU2719" s="7"/>
      <c r="GV2719" s="7"/>
      <c r="GW2719" s="7"/>
      <c r="GX2719" s="7"/>
      <c r="GY2719" s="7"/>
      <c r="GZ2719" s="7"/>
      <c r="HA2719" s="7"/>
      <c r="HB2719" s="7"/>
      <c r="HC2719" s="7"/>
      <c r="HD2719" s="7"/>
      <c r="HE2719" s="7"/>
      <c r="HF2719" s="7"/>
      <c r="HG2719" s="7"/>
      <c r="HH2719" s="7"/>
      <c r="HI2719" s="7"/>
      <c r="HJ2719" s="7"/>
      <c r="HK2719" s="7"/>
      <c r="HL2719" s="7"/>
      <c r="HM2719" s="7"/>
      <c r="HN2719" s="7"/>
      <c r="HO2719" s="7"/>
      <c r="HP2719" s="7"/>
      <c r="HQ2719" s="7"/>
    </row>
    <row r="2720" spans="1:226" s="1" customFormat="1" x14ac:dyDescent="0.35">
      <c r="A2720" s="257"/>
      <c r="B2720" s="257"/>
      <c r="C2720" s="317"/>
      <c r="D2720" s="280"/>
      <c r="E2720" s="280"/>
      <c r="F2720" s="292"/>
      <c r="G2720" s="251" t="s">
        <v>79</v>
      </c>
      <c r="H2720" s="167" t="s">
        <v>74</v>
      </c>
      <c r="I2720" s="158">
        <f>D2715*K2720</f>
        <v>191776</v>
      </c>
      <c r="J2720" s="158">
        <f>I2720/D2715</f>
        <v>520</v>
      </c>
      <c r="K2720" s="158">
        <v>520</v>
      </c>
      <c r="L2720" s="7"/>
      <c r="M2720" s="7"/>
      <c r="N2720" s="7"/>
      <c r="O2720" s="7"/>
      <c r="P2720" s="7"/>
      <c r="Q2720" s="7"/>
      <c r="R2720" s="7"/>
      <c r="S2720" s="7"/>
      <c r="T2720" s="7"/>
      <c r="U2720" s="7"/>
      <c r="V2720" s="7"/>
      <c r="W2720" s="7"/>
      <c r="X2720" s="7"/>
      <c r="Y2720" s="7"/>
      <c r="Z2720" s="7"/>
      <c r="AA2720" s="7"/>
      <c r="AB2720" s="7"/>
      <c r="AC2720" s="7"/>
      <c r="AD2720" s="7"/>
      <c r="AE2720" s="7"/>
      <c r="AF2720" s="7"/>
      <c r="AG2720" s="7"/>
      <c r="AH2720" s="7"/>
      <c r="AI2720" s="7"/>
      <c r="AJ2720" s="7"/>
      <c r="AK2720" s="7"/>
      <c r="AL2720" s="7"/>
      <c r="AM2720" s="7"/>
      <c r="AN2720" s="7"/>
      <c r="AO2720" s="7"/>
      <c r="AP2720" s="7"/>
      <c r="AQ2720" s="7"/>
      <c r="AR2720" s="7"/>
      <c r="AS2720" s="7"/>
      <c r="AT2720" s="7"/>
      <c r="AU2720" s="7"/>
      <c r="AV2720" s="7"/>
      <c r="AW2720" s="7"/>
      <c r="AX2720" s="7"/>
      <c r="AY2720" s="7"/>
      <c r="AZ2720" s="7"/>
      <c r="BA2720" s="7"/>
      <c r="BB2720" s="7"/>
      <c r="BC2720" s="7"/>
      <c r="BD2720" s="7"/>
      <c r="BE2720" s="7"/>
      <c r="BF2720" s="7"/>
      <c r="BG2720" s="7"/>
      <c r="BH2720" s="7"/>
      <c r="BI2720" s="7"/>
      <c r="BJ2720" s="7"/>
      <c r="BK2720" s="7"/>
      <c r="BL2720" s="7"/>
      <c r="BM2720" s="7"/>
      <c r="BN2720" s="7"/>
      <c r="BO2720" s="7"/>
      <c r="BP2720" s="7"/>
      <c r="BQ2720" s="7"/>
      <c r="BR2720" s="7"/>
      <c r="BS2720" s="7"/>
      <c r="BT2720" s="7"/>
      <c r="BU2720" s="7"/>
      <c r="BV2720" s="7"/>
      <c r="BW2720" s="7"/>
      <c r="BX2720" s="7"/>
      <c r="BY2720" s="7"/>
      <c r="BZ2720" s="7"/>
      <c r="CA2720" s="7"/>
      <c r="CB2720" s="7"/>
      <c r="CC2720" s="7"/>
      <c r="CD2720" s="7"/>
      <c r="CE2720" s="7"/>
      <c r="CF2720" s="7"/>
      <c r="CG2720" s="7"/>
      <c r="CH2720" s="7"/>
      <c r="CI2720" s="7"/>
      <c r="CJ2720" s="7"/>
      <c r="CK2720" s="7"/>
      <c r="CL2720" s="7"/>
      <c r="CM2720" s="7"/>
      <c r="CN2720" s="7"/>
      <c r="CO2720" s="7"/>
      <c r="CP2720" s="7"/>
      <c r="CQ2720" s="7"/>
      <c r="CR2720" s="7"/>
      <c r="CS2720" s="7"/>
      <c r="CT2720" s="7"/>
      <c r="CU2720" s="7"/>
      <c r="CV2720" s="7"/>
      <c r="CW2720" s="7"/>
      <c r="CX2720" s="7"/>
      <c r="CY2720" s="7"/>
      <c r="CZ2720" s="7"/>
      <c r="DA2720" s="7"/>
      <c r="DB2720" s="7"/>
      <c r="DC2720" s="7"/>
      <c r="DD2720" s="7"/>
      <c r="DE2720" s="7"/>
      <c r="DF2720" s="7"/>
      <c r="DG2720" s="7"/>
      <c r="DH2720" s="7"/>
      <c r="DI2720" s="7"/>
      <c r="DJ2720" s="7"/>
      <c r="DK2720" s="7"/>
      <c r="DL2720" s="7"/>
      <c r="DM2720" s="7"/>
      <c r="DN2720" s="7"/>
      <c r="DO2720" s="7"/>
      <c r="DP2720" s="7"/>
      <c r="DQ2720" s="7"/>
      <c r="DR2720" s="7"/>
      <c r="DS2720" s="7"/>
      <c r="DT2720" s="7"/>
      <c r="DU2720" s="7"/>
      <c r="DV2720" s="7"/>
      <c r="DW2720" s="7"/>
      <c r="DX2720" s="7"/>
      <c r="DY2720" s="7"/>
      <c r="DZ2720" s="7"/>
      <c r="EA2720" s="7"/>
      <c r="EB2720" s="7"/>
      <c r="EC2720" s="7"/>
      <c r="ED2720" s="7"/>
      <c r="EE2720" s="7"/>
      <c r="EF2720" s="7"/>
      <c r="EG2720" s="7"/>
      <c r="EH2720" s="7"/>
      <c r="EI2720" s="7"/>
      <c r="EJ2720" s="7"/>
      <c r="EK2720" s="7"/>
      <c r="EL2720" s="7"/>
      <c r="EM2720" s="7"/>
      <c r="EN2720" s="7"/>
      <c r="EO2720" s="7"/>
      <c r="EP2720" s="7"/>
      <c r="EQ2720" s="7"/>
      <c r="ER2720" s="7"/>
      <c r="ES2720" s="7"/>
      <c r="ET2720" s="7"/>
      <c r="EU2720" s="7"/>
      <c r="EV2720" s="7"/>
      <c r="EW2720" s="7"/>
      <c r="EX2720" s="7"/>
      <c r="EY2720" s="7"/>
      <c r="EZ2720" s="7"/>
      <c r="FA2720" s="7"/>
      <c r="FB2720" s="7"/>
      <c r="FC2720" s="7"/>
      <c r="FD2720" s="7"/>
      <c r="FE2720" s="7"/>
      <c r="FF2720" s="7"/>
      <c r="FG2720" s="7"/>
      <c r="FH2720" s="7"/>
      <c r="FI2720" s="7"/>
      <c r="FJ2720" s="7"/>
      <c r="FK2720" s="7"/>
      <c r="FL2720" s="7"/>
      <c r="FM2720" s="7"/>
      <c r="FN2720" s="7"/>
      <c r="FO2720" s="7"/>
      <c r="FP2720" s="7"/>
      <c r="FQ2720" s="7"/>
      <c r="FR2720" s="7"/>
      <c r="FS2720" s="7"/>
      <c r="FT2720" s="7"/>
      <c r="FU2720" s="7"/>
      <c r="FV2720" s="7"/>
      <c r="FW2720" s="7"/>
      <c r="FX2720" s="7"/>
      <c r="FY2720" s="7"/>
      <c r="FZ2720" s="7"/>
      <c r="GA2720" s="7"/>
      <c r="GB2720" s="7"/>
      <c r="GC2720" s="7"/>
      <c r="GD2720" s="7"/>
      <c r="GE2720" s="7"/>
      <c r="GF2720" s="7"/>
      <c r="GG2720" s="7"/>
      <c r="GH2720" s="7"/>
      <c r="GI2720" s="7"/>
      <c r="GJ2720" s="7"/>
      <c r="GK2720" s="7"/>
      <c r="GL2720" s="7"/>
      <c r="GM2720" s="7"/>
      <c r="GN2720" s="7"/>
      <c r="GO2720" s="7"/>
      <c r="GP2720" s="7"/>
      <c r="GQ2720" s="7"/>
      <c r="GR2720" s="7"/>
      <c r="GS2720" s="7"/>
      <c r="GT2720" s="7"/>
      <c r="GU2720" s="7"/>
      <c r="GV2720" s="7"/>
      <c r="GW2720" s="7"/>
      <c r="GX2720" s="7"/>
      <c r="GY2720" s="7"/>
      <c r="GZ2720" s="7"/>
      <c r="HA2720" s="7"/>
      <c r="HB2720" s="7"/>
      <c r="HC2720" s="7"/>
      <c r="HD2720" s="7"/>
      <c r="HE2720" s="7"/>
      <c r="HF2720" s="7"/>
      <c r="HG2720" s="7"/>
      <c r="HH2720" s="7"/>
      <c r="HI2720" s="7"/>
      <c r="HJ2720" s="7"/>
      <c r="HK2720" s="7"/>
      <c r="HL2720" s="7"/>
      <c r="HM2720" s="7"/>
      <c r="HN2720" s="7"/>
      <c r="HO2720" s="7"/>
      <c r="HP2720" s="7"/>
      <c r="HQ2720" s="7"/>
    </row>
    <row r="2721" spans="1:226" s="9" customFormat="1" x14ac:dyDescent="0.35">
      <c r="A2721" s="257"/>
      <c r="B2721" s="257"/>
      <c r="C2721" s="317"/>
      <c r="D2721" s="280"/>
      <c r="E2721" s="280"/>
      <c r="F2721" s="292"/>
      <c r="G2721" s="251"/>
      <c r="H2721" s="167" t="s">
        <v>76</v>
      </c>
      <c r="I2721" s="158">
        <f>D2715*K2721</f>
        <v>4056.8</v>
      </c>
      <c r="J2721" s="158">
        <f>I2721/D2715</f>
        <v>11</v>
      </c>
      <c r="K2721" s="158">
        <v>11</v>
      </c>
      <c r="L2721" s="7"/>
      <c r="M2721" s="7"/>
      <c r="N2721" s="7"/>
      <c r="O2721" s="7"/>
      <c r="P2721" s="7"/>
      <c r="Q2721" s="7"/>
      <c r="R2721" s="7"/>
      <c r="S2721" s="7"/>
      <c r="T2721" s="7"/>
      <c r="U2721" s="7"/>
      <c r="V2721" s="7"/>
      <c r="W2721" s="7"/>
      <c r="X2721" s="7"/>
      <c r="Y2721" s="7"/>
      <c r="Z2721" s="7"/>
      <c r="AA2721" s="7"/>
      <c r="AB2721" s="7"/>
      <c r="AC2721" s="7"/>
      <c r="AD2721" s="7"/>
      <c r="AE2721" s="7"/>
      <c r="AF2721" s="7"/>
      <c r="AG2721" s="7"/>
      <c r="AH2721" s="7"/>
      <c r="AI2721" s="7"/>
      <c r="AJ2721" s="7"/>
      <c r="AK2721" s="7"/>
      <c r="AL2721" s="7"/>
      <c r="AM2721" s="7"/>
      <c r="AN2721" s="7"/>
      <c r="AO2721" s="7"/>
      <c r="AP2721" s="7"/>
      <c r="AQ2721" s="7"/>
      <c r="AR2721" s="7"/>
      <c r="AS2721" s="7"/>
      <c r="AT2721" s="7"/>
      <c r="AU2721" s="7"/>
      <c r="AV2721" s="7"/>
      <c r="AW2721" s="7"/>
      <c r="AX2721" s="7"/>
      <c r="AY2721" s="7"/>
      <c r="AZ2721" s="7"/>
      <c r="BA2721" s="7"/>
      <c r="BB2721" s="7"/>
      <c r="BC2721" s="7"/>
      <c r="BD2721" s="7"/>
      <c r="BE2721" s="7"/>
      <c r="BF2721" s="7"/>
      <c r="BG2721" s="7"/>
      <c r="BH2721" s="7"/>
      <c r="BI2721" s="7"/>
      <c r="BJ2721" s="7"/>
      <c r="BK2721" s="7"/>
      <c r="BL2721" s="7"/>
      <c r="BM2721" s="7"/>
      <c r="BN2721" s="7"/>
      <c r="BO2721" s="7"/>
      <c r="BP2721" s="7"/>
      <c r="BQ2721" s="7"/>
      <c r="BR2721" s="7"/>
      <c r="BS2721" s="7"/>
      <c r="BT2721" s="7"/>
      <c r="BU2721" s="7"/>
      <c r="BV2721" s="7"/>
      <c r="BW2721" s="7"/>
      <c r="BX2721" s="7"/>
      <c r="BY2721" s="7"/>
      <c r="BZ2721" s="7"/>
      <c r="CA2721" s="7"/>
      <c r="CB2721" s="7"/>
      <c r="CC2721" s="7"/>
      <c r="CD2721" s="7"/>
      <c r="CE2721" s="7"/>
      <c r="CF2721" s="7"/>
      <c r="CG2721" s="7"/>
      <c r="CH2721" s="7"/>
      <c r="CI2721" s="7"/>
      <c r="CJ2721" s="7"/>
      <c r="CK2721" s="7"/>
      <c r="CL2721" s="7"/>
      <c r="CM2721" s="7"/>
      <c r="CN2721" s="7"/>
      <c r="CO2721" s="7"/>
      <c r="CP2721" s="7"/>
      <c r="CQ2721" s="7"/>
      <c r="CR2721" s="7"/>
      <c r="CS2721" s="7"/>
      <c r="CT2721" s="7"/>
      <c r="CU2721" s="7"/>
      <c r="CV2721" s="7"/>
      <c r="CW2721" s="7"/>
      <c r="CX2721" s="7"/>
      <c r="CY2721" s="7"/>
      <c r="CZ2721" s="7"/>
      <c r="DA2721" s="7"/>
      <c r="DB2721" s="7"/>
      <c r="DC2721" s="7"/>
      <c r="DD2721" s="7"/>
      <c r="DE2721" s="7"/>
      <c r="DF2721" s="7"/>
      <c r="DG2721" s="7"/>
      <c r="DH2721" s="7"/>
      <c r="DI2721" s="7"/>
      <c r="DJ2721" s="7"/>
      <c r="DK2721" s="7"/>
      <c r="DL2721" s="7"/>
      <c r="DM2721" s="7"/>
      <c r="DN2721" s="7"/>
      <c r="DO2721" s="7"/>
      <c r="DP2721" s="7"/>
      <c r="DQ2721" s="7"/>
      <c r="DR2721" s="7"/>
      <c r="DS2721" s="7"/>
      <c r="DT2721" s="7"/>
      <c r="DU2721" s="7"/>
      <c r="DV2721" s="7"/>
      <c r="DW2721" s="7"/>
      <c r="DX2721" s="7"/>
      <c r="DY2721" s="7"/>
      <c r="DZ2721" s="7"/>
      <c r="EA2721" s="7"/>
      <c r="EB2721" s="7"/>
      <c r="EC2721" s="7"/>
      <c r="ED2721" s="7"/>
      <c r="EE2721" s="7"/>
      <c r="EF2721" s="7"/>
      <c r="EG2721" s="7"/>
      <c r="EH2721" s="7"/>
      <c r="EI2721" s="7"/>
      <c r="EJ2721" s="7"/>
      <c r="EK2721" s="7"/>
      <c r="EL2721" s="7"/>
      <c r="EM2721" s="7"/>
      <c r="EN2721" s="7"/>
      <c r="EO2721" s="7"/>
      <c r="EP2721" s="7"/>
      <c r="EQ2721" s="7"/>
      <c r="ER2721" s="7"/>
      <c r="ES2721" s="7"/>
      <c r="ET2721" s="7"/>
      <c r="EU2721" s="7"/>
      <c r="EV2721" s="7"/>
      <c r="EW2721" s="7"/>
      <c r="EX2721" s="7"/>
      <c r="EY2721" s="7"/>
      <c r="EZ2721" s="7"/>
      <c r="FA2721" s="7"/>
      <c r="FB2721" s="7"/>
      <c r="FC2721" s="7"/>
      <c r="FD2721" s="7"/>
      <c r="FE2721" s="7"/>
      <c r="FF2721" s="7"/>
      <c r="FG2721" s="7"/>
      <c r="FH2721" s="7"/>
      <c r="FI2721" s="7"/>
      <c r="FJ2721" s="7"/>
      <c r="FK2721" s="7"/>
      <c r="FL2721" s="7"/>
      <c r="FM2721" s="7"/>
      <c r="FN2721" s="7"/>
      <c r="FO2721" s="7"/>
      <c r="FP2721" s="7"/>
      <c r="FQ2721" s="7"/>
      <c r="FR2721" s="7"/>
      <c r="FS2721" s="7"/>
      <c r="FT2721" s="7"/>
      <c r="FU2721" s="7"/>
      <c r="FV2721" s="7"/>
      <c r="FW2721" s="7"/>
      <c r="FX2721" s="7"/>
      <c r="FY2721" s="7"/>
      <c r="FZ2721" s="7"/>
      <c r="GA2721" s="7"/>
      <c r="GB2721" s="7"/>
      <c r="GC2721" s="7"/>
      <c r="GD2721" s="7"/>
      <c r="GE2721" s="7"/>
      <c r="GF2721" s="7"/>
      <c r="GG2721" s="7"/>
      <c r="GH2721" s="7"/>
      <c r="GI2721" s="7"/>
      <c r="GJ2721" s="7"/>
      <c r="GK2721" s="7"/>
      <c r="GL2721" s="7"/>
      <c r="GM2721" s="7"/>
      <c r="GN2721" s="7"/>
      <c r="GO2721" s="7"/>
      <c r="GP2721" s="7"/>
      <c r="GQ2721" s="7"/>
      <c r="GR2721" s="7"/>
      <c r="GS2721" s="7"/>
      <c r="GT2721" s="7"/>
      <c r="GU2721" s="7"/>
      <c r="GV2721" s="7"/>
      <c r="GW2721" s="7"/>
      <c r="GX2721" s="7"/>
      <c r="GY2721" s="7"/>
      <c r="GZ2721" s="7"/>
      <c r="HA2721" s="7"/>
      <c r="HB2721" s="7"/>
      <c r="HC2721" s="7"/>
      <c r="HD2721" s="7"/>
      <c r="HE2721" s="7"/>
      <c r="HF2721" s="7"/>
      <c r="HG2721" s="7"/>
      <c r="HH2721" s="7"/>
      <c r="HI2721" s="7"/>
      <c r="HJ2721" s="7"/>
      <c r="HK2721" s="7"/>
      <c r="HL2721" s="7"/>
      <c r="HM2721" s="7"/>
      <c r="HN2721" s="7"/>
      <c r="HO2721" s="7"/>
      <c r="HP2721" s="7"/>
      <c r="HQ2721" s="7"/>
      <c r="HR2721" s="16"/>
    </row>
    <row r="2722" spans="1:226" s="1" customFormat="1" x14ac:dyDescent="0.35">
      <c r="A2722" s="257"/>
      <c r="B2722" s="257"/>
      <c r="C2722" s="317"/>
      <c r="D2722" s="280"/>
      <c r="E2722" s="280"/>
      <c r="F2722" s="292"/>
      <c r="G2722" s="251" t="s">
        <v>90</v>
      </c>
      <c r="H2722" s="167" t="s">
        <v>74</v>
      </c>
      <c r="I2722" s="158">
        <f>D2715*K2722</f>
        <v>179605.6</v>
      </c>
      <c r="J2722" s="158">
        <f>I2722/D2715</f>
        <v>487</v>
      </c>
      <c r="K2722" s="158">
        <v>487</v>
      </c>
      <c r="L2722" s="7"/>
      <c r="M2722" s="7"/>
      <c r="N2722" s="7"/>
      <c r="O2722" s="7"/>
      <c r="P2722" s="7"/>
      <c r="Q2722" s="7"/>
      <c r="R2722" s="7"/>
      <c r="S2722" s="7"/>
      <c r="T2722" s="7"/>
      <c r="U2722" s="7"/>
      <c r="V2722" s="7"/>
      <c r="W2722" s="7"/>
      <c r="X2722" s="7"/>
      <c r="Y2722" s="7"/>
      <c r="Z2722" s="7"/>
      <c r="AA2722" s="7"/>
      <c r="AB2722" s="7"/>
      <c r="AC2722" s="7"/>
      <c r="AD2722" s="7"/>
      <c r="AE2722" s="7"/>
      <c r="AF2722" s="7"/>
      <c r="AG2722" s="7"/>
      <c r="AH2722" s="7"/>
      <c r="AI2722" s="7"/>
      <c r="AJ2722" s="7"/>
      <c r="AK2722" s="7"/>
      <c r="AL2722" s="7"/>
      <c r="AM2722" s="7"/>
      <c r="AN2722" s="7"/>
      <c r="AO2722" s="7"/>
      <c r="AP2722" s="7"/>
      <c r="AQ2722" s="7"/>
      <c r="AR2722" s="7"/>
      <c r="AS2722" s="7"/>
      <c r="AT2722" s="7"/>
      <c r="AU2722" s="7"/>
      <c r="AV2722" s="7"/>
      <c r="AW2722" s="7"/>
      <c r="AX2722" s="7"/>
      <c r="AY2722" s="7"/>
      <c r="AZ2722" s="7"/>
      <c r="BA2722" s="7"/>
      <c r="BB2722" s="7"/>
      <c r="BC2722" s="7"/>
      <c r="BD2722" s="7"/>
      <c r="BE2722" s="7"/>
      <c r="BF2722" s="7"/>
      <c r="BG2722" s="7"/>
      <c r="BH2722" s="7"/>
      <c r="BI2722" s="7"/>
      <c r="BJ2722" s="7"/>
      <c r="BK2722" s="7"/>
      <c r="BL2722" s="7"/>
      <c r="BM2722" s="7"/>
      <c r="BN2722" s="7"/>
      <c r="BO2722" s="7"/>
      <c r="BP2722" s="7"/>
      <c r="BQ2722" s="7"/>
      <c r="BR2722" s="7"/>
      <c r="BS2722" s="7"/>
      <c r="BT2722" s="7"/>
      <c r="BU2722" s="7"/>
      <c r="BV2722" s="7"/>
      <c r="BW2722" s="7"/>
      <c r="BX2722" s="7"/>
      <c r="BY2722" s="7"/>
      <c r="BZ2722" s="7"/>
      <c r="CA2722" s="7"/>
      <c r="CB2722" s="7"/>
      <c r="CC2722" s="7"/>
      <c r="CD2722" s="7"/>
      <c r="CE2722" s="7"/>
      <c r="CF2722" s="7"/>
      <c r="CG2722" s="7"/>
      <c r="CH2722" s="7"/>
      <c r="CI2722" s="7"/>
      <c r="CJ2722" s="7"/>
      <c r="CK2722" s="7"/>
      <c r="CL2722" s="7"/>
      <c r="CM2722" s="7"/>
      <c r="CN2722" s="7"/>
      <c r="CO2722" s="7"/>
      <c r="CP2722" s="7"/>
      <c r="CQ2722" s="7"/>
      <c r="CR2722" s="7"/>
      <c r="CS2722" s="7"/>
      <c r="CT2722" s="7"/>
      <c r="CU2722" s="7"/>
      <c r="CV2722" s="7"/>
      <c r="CW2722" s="7"/>
      <c r="CX2722" s="7"/>
      <c r="CY2722" s="7"/>
      <c r="CZ2722" s="7"/>
      <c r="DA2722" s="7"/>
      <c r="DB2722" s="7"/>
      <c r="DC2722" s="7"/>
      <c r="DD2722" s="7"/>
      <c r="DE2722" s="7"/>
      <c r="DF2722" s="7"/>
      <c r="DG2722" s="7"/>
      <c r="DH2722" s="7"/>
      <c r="DI2722" s="7"/>
      <c r="DJ2722" s="7"/>
      <c r="DK2722" s="7"/>
      <c r="DL2722" s="7"/>
      <c r="DM2722" s="7"/>
      <c r="DN2722" s="7"/>
      <c r="DO2722" s="7"/>
      <c r="DP2722" s="7"/>
      <c r="DQ2722" s="7"/>
      <c r="DR2722" s="7"/>
      <c r="DS2722" s="7"/>
      <c r="DT2722" s="7"/>
      <c r="DU2722" s="7"/>
      <c r="DV2722" s="7"/>
      <c r="DW2722" s="7"/>
      <c r="DX2722" s="7"/>
      <c r="DY2722" s="7"/>
      <c r="DZ2722" s="7"/>
      <c r="EA2722" s="7"/>
      <c r="EB2722" s="7"/>
      <c r="EC2722" s="7"/>
      <c r="ED2722" s="7"/>
      <c r="EE2722" s="7"/>
      <c r="EF2722" s="7"/>
      <c r="EG2722" s="7"/>
      <c r="EH2722" s="7"/>
      <c r="EI2722" s="7"/>
      <c r="EJ2722" s="7"/>
      <c r="EK2722" s="7"/>
      <c r="EL2722" s="7"/>
      <c r="EM2722" s="7"/>
      <c r="EN2722" s="7"/>
      <c r="EO2722" s="7"/>
      <c r="EP2722" s="7"/>
      <c r="EQ2722" s="7"/>
      <c r="ER2722" s="7"/>
      <c r="ES2722" s="7"/>
      <c r="ET2722" s="7"/>
      <c r="EU2722" s="7"/>
      <c r="EV2722" s="7"/>
      <c r="EW2722" s="7"/>
      <c r="EX2722" s="7"/>
      <c r="EY2722" s="7"/>
      <c r="EZ2722" s="7"/>
      <c r="FA2722" s="7"/>
      <c r="FB2722" s="7"/>
      <c r="FC2722" s="7"/>
      <c r="FD2722" s="7"/>
      <c r="FE2722" s="7"/>
      <c r="FF2722" s="7"/>
      <c r="FG2722" s="7"/>
      <c r="FH2722" s="7"/>
      <c r="FI2722" s="7"/>
      <c r="FJ2722" s="7"/>
      <c r="FK2722" s="7"/>
      <c r="FL2722" s="7"/>
      <c r="FM2722" s="7"/>
      <c r="FN2722" s="7"/>
      <c r="FO2722" s="7"/>
      <c r="FP2722" s="7"/>
      <c r="FQ2722" s="7"/>
      <c r="FR2722" s="7"/>
      <c r="FS2722" s="7"/>
      <c r="FT2722" s="7"/>
      <c r="FU2722" s="7"/>
      <c r="FV2722" s="7"/>
      <c r="FW2722" s="7"/>
      <c r="FX2722" s="7"/>
      <c r="FY2722" s="7"/>
      <c r="FZ2722" s="7"/>
      <c r="GA2722" s="7"/>
      <c r="GB2722" s="7"/>
      <c r="GC2722" s="7"/>
      <c r="GD2722" s="7"/>
      <c r="GE2722" s="7"/>
      <c r="GF2722" s="7"/>
      <c r="GG2722" s="7"/>
      <c r="GH2722" s="7"/>
      <c r="GI2722" s="7"/>
      <c r="GJ2722" s="7"/>
      <c r="GK2722" s="7"/>
      <c r="GL2722" s="7"/>
      <c r="GM2722" s="7"/>
      <c r="GN2722" s="7"/>
      <c r="GO2722" s="7"/>
      <c r="GP2722" s="7"/>
      <c r="GQ2722" s="7"/>
      <c r="GR2722" s="7"/>
      <c r="GS2722" s="7"/>
      <c r="GT2722" s="7"/>
      <c r="GU2722" s="7"/>
      <c r="GV2722" s="7"/>
      <c r="GW2722" s="7"/>
      <c r="GX2722" s="7"/>
      <c r="GY2722" s="7"/>
      <c r="GZ2722" s="7"/>
      <c r="HA2722" s="7"/>
      <c r="HB2722" s="7"/>
      <c r="HC2722" s="7"/>
      <c r="HD2722" s="7"/>
      <c r="HE2722" s="7"/>
      <c r="HF2722" s="7"/>
      <c r="HG2722" s="7"/>
      <c r="HH2722" s="7"/>
      <c r="HI2722" s="7"/>
      <c r="HJ2722" s="7"/>
      <c r="HK2722" s="7"/>
      <c r="HL2722" s="7"/>
      <c r="HM2722" s="7"/>
      <c r="HN2722" s="7"/>
      <c r="HO2722" s="7"/>
      <c r="HP2722" s="7"/>
      <c r="HQ2722" s="7"/>
    </row>
    <row r="2723" spans="1:226" s="1" customFormat="1" x14ac:dyDescent="0.35">
      <c r="A2723" s="257"/>
      <c r="B2723" s="257"/>
      <c r="C2723" s="317"/>
      <c r="D2723" s="280"/>
      <c r="E2723" s="280"/>
      <c r="F2723" s="292"/>
      <c r="G2723" s="251"/>
      <c r="H2723" s="167" t="s">
        <v>76</v>
      </c>
      <c r="I2723" s="158">
        <f>D2715*K2723</f>
        <v>3688</v>
      </c>
      <c r="J2723" s="158">
        <f>I2723/D2715</f>
        <v>10</v>
      </c>
      <c r="K2723" s="158">
        <v>10</v>
      </c>
      <c r="L2723" s="7"/>
      <c r="M2723" s="7"/>
      <c r="N2723" s="7"/>
      <c r="O2723" s="7"/>
      <c r="P2723" s="7"/>
      <c r="Q2723" s="7"/>
      <c r="R2723" s="7"/>
      <c r="S2723" s="7"/>
      <c r="T2723" s="7"/>
      <c r="U2723" s="7"/>
      <c r="V2723" s="7"/>
      <c r="W2723" s="7"/>
      <c r="X2723" s="7"/>
      <c r="Y2723" s="7"/>
      <c r="Z2723" s="7"/>
      <c r="AA2723" s="7"/>
      <c r="AB2723" s="7"/>
      <c r="AC2723" s="7"/>
      <c r="AD2723" s="7"/>
      <c r="AE2723" s="7"/>
      <c r="AF2723" s="7"/>
      <c r="AG2723" s="7"/>
      <c r="AH2723" s="7"/>
      <c r="AI2723" s="7"/>
      <c r="AJ2723" s="7"/>
      <c r="AK2723" s="7"/>
      <c r="AL2723" s="7"/>
      <c r="AM2723" s="7"/>
      <c r="AN2723" s="7"/>
      <c r="AO2723" s="7"/>
      <c r="AP2723" s="7"/>
      <c r="AQ2723" s="7"/>
      <c r="AR2723" s="7"/>
      <c r="AS2723" s="7"/>
      <c r="AT2723" s="7"/>
      <c r="AU2723" s="7"/>
      <c r="AV2723" s="7"/>
      <c r="AW2723" s="7"/>
      <c r="AX2723" s="7"/>
      <c r="AY2723" s="7"/>
      <c r="AZ2723" s="7"/>
      <c r="BA2723" s="7"/>
      <c r="BB2723" s="7"/>
      <c r="BC2723" s="7"/>
      <c r="BD2723" s="7"/>
      <c r="BE2723" s="7"/>
      <c r="BF2723" s="7"/>
      <c r="BG2723" s="7"/>
      <c r="BH2723" s="7"/>
      <c r="BI2723" s="7"/>
      <c r="BJ2723" s="7"/>
      <c r="BK2723" s="7"/>
      <c r="BL2723" s="7"/>
      <c r="BM2723" s="7"/>
      <c r="BN2723" s="7"/>
      <c r="BO2723" s="7"/>
      <c r="BP2723" s="7"/>
      <c r="BQ2723" s="7"/>
      <c r="BR2723" s="7"/>
      <c r="BS2723" s="7"/>
      <c r="BT2723" s="7"/>
      <c r="BU2723" s="7"/>
      <c r="BV2723" s="7"/>
      <c r="BW2723" s="7"/>
      <c r="BX2723" s="7"/>
      <c r="BY2723" s="7"/>
      <c r="BZ2723" s="7"/>
      <c r="CA2723" s="7"/>
      <c r="CB2723" s="7"/>
      <c r="CC2723" s="7"/>
      <c r="CD2723" s="7"/>
      <c r="CE2723" s="7"/>
      <c r="CF2723" s="7"/>
      <c r="CG2723" s="7"/>
      <c r="CH2723" s="7"/>
      <c r="CI2723" s="7"/>
      <c r="CJ2723" s="7"/>
      <c r="CK2723" s="7"/>
      <c r="CL2723" s="7"/>
      <c r="CM2723" s="7"/>
      <c r="CN2723" s="7"/>
      <c r="CO2723" s="7"/>
      <c r="CP2723" s="7"/>
      <c r="CQ2723" s="7"/>
      <c r="CR2723" s="7"/>
      <c r="CS2723" s="7"/>
      <c r="CT2723" s="7"/>
      <c r="CU2723" s="7"/>
      <c r="CV2723" s="7"/>
      <c r="CW2723" s="7"/>
      <c r="CX2723" s="7"/>
      <c r="CY2723" s="7"/>
      <c r="CZ2723" s="7"/>
      <c r="DA2723" s="7"/>
      <c r="DB2723" s="7"/>
      <c r="DC2723" s="7"/>
      <c r="DD2723" s="7"/>
      <c r="DE2723" s="7"/>
      <c r="DF2723" s="7"/>
      <c r="DG2723" s="7"/>
      <c r="DH2723" s="7"/>
      <c r="DI2723" s="7"/>
      <c r="DJ2723" s="7"/>
      <c r="DK2723" s="7"/>
      <c r="DL2723" s="7"/>
      <c r="DM2723" s="7"/>
      <c r="DN2723" s="7"/>
      <c r="DO2723" s="7"/>
      <c r="DP2723" s="7"/>
      <c r="DQ2723" s="7"/>
      <c r="DR2723" s="7"/>
      <c r="DS2723" s="7"/>
      <c r="DT2723" s="7"/>
      <c r="DU2723" s="7"/>
      <c r="DV2723" s="7"/>
      <c r="DW2723" s="7"/>
      <c r="DX2723" s="7"/>
      <c r="DY2723" s="7"/>
      <c r="DZ2723" s="7"/>
      <c r="EA2723" s="7"/>
      <c r="EB2723" s="7"/>
      <c r="EC2723" s="7"/>
      <c r="ED2723" s="7"/>
      <c r="EE2723" s="7"/>
      <c r="EF2723" s="7"/>
      <c r="EG2723" s="7"/>
      <c r="EH2723" s="7"/>
      <c r="EI2723" s="7"/>
      <c r="EJ2723" s="7"/>
      <c r="EK2723" s="7"/>
      <c r="EL2723" s="7"/>
      <c r="EM2723" s="7"/>
      <c r="EN2723" s="7"/>
      <c r="EO2723" s="7"/>
      <c r="EP2723" s="7"/>
      <c r="EQ2723" s="7"/>
      <c r="ER2723" s="7"/>
      <c r="ES2723" s="7"/>
      <c r="ET2723" s="7"/>
      <c r="EU2723" s="7"/>
      <c r="EV2723" s="7"/>
      <c r="EW2723" s="7"/>
      <c r="EX2723" s="7"/>
      <c r="EY2723" s="7"/>
      <c r="EZ2723" s="7"/>
      <c r="FA2723" s="7"/>
      <c r="FB2723" s="7"/>
      <c r="FC2723" s="7"/>
      <c r="FD2723" s="7"/>
      <c r="FE2723" s="7"/>
      <c r="FF2723" s="7"/>
      <c r="FG2723" s="7"/>
      <c r="FH2723" s="7"/>
      <c r="FI2723" s="7"/>
      <c r="FJ2723" s="7"/>
      <c r="FK2723" s="7"/>
      <c r="FL2723" s="7"/>
      <c r="FM2723" s="7"/>
      <c r="FN2723" s="7"/>
      <c r="FO2723" s="7"/>
      <c r="FP2723" s="7"/>
      <c r="FQ2723" s="7"/>
      <c r="FR2723" s="7"/>
      <c r="FS2723" s="7"/>
      <c r="FT2723" s="7"/>
      <c r="FU2723" s="7"/>
      <c r="FV2723" s="7"/>
      <c r="FW2723" s="7"/>
      <c r="FX2723" s="7"/>
      <c r="FY2723" s="7"/>
      <c r="FZ2723" s="7"/>
      <c r="GA2723" s="7"/>
      <c r="GB2723" s="7"/>
      <c r="GC2723" s="7"/>
      <c r="GD2723" s="7"/>
      <c r="GE2723" s="7"/>
      <c r="GF2723" s="7"/>
      <c r="GG2723" s="7"/>
      <c r="GH2723" s="7"/>
      <c r="GI2723" s="7"/>
      <c r="GJ2723" s="7"/>
      <c r="GK2723" s="7"/>
      <c r="GL2723" s="7"/>
      <c r="GM2723" s="7"/>
      <c r="GN2723" s="7"/>
      <c r="GO2723" s="7"/>
      <c r="GP2723" s="7"/>
      <c r="GQ2723" s="7"/>
      <c r="GR2723" s="7"/>
      <c r="GS2723" s="7"/>
      <c r="GT2723" s="7"/>
      <c r="GU2723" s="7"/>
      <c r="GV2723" s="7"/>
      <c r="GW2723" s="7"/>
      <c r="GX2723" s="7"/>
      <c r="GY2723" s="7"/>
      <c r="GZ2723" s="7"/>
      <c r="HA2723" s="7"/>
      <c r="HB2723" s="7"/>
      <c r="HC2723" s="7"/>
      <c r="HD2723" s="7"/>
      <c r="HE2723" s="7"/>
      <c r="HF2723" s="7"/>
      <c r="HG2723" s="7"/>
      <c r="HH2723" s="7"/>
      <c r="HI2723" s="7"/>
      <c r="HJ2723" s="7"/>
      <c r="HK2723" s="7"/>
      <c r="HL2723" s="7"/>
      <c r="HM2723" s="7"/>
      <c r="HN2723" s="7"/>
      <c r="HO2723" s="7"/>
      <c r="HP2723" s="7"/>
      <c r="HQ2723" s="7"/>
    </row>
    <row r="2724" spans="1:226" s="1" customFormat="1" x14ac:dyDescent="0.35">
      <c r="A2724" s="257"/>
      <c r="B2724" s="257"/>
      <c r="C2724" s="317"/>
      <c r="D2724" s="280"/>
      <c r="E2724" s="280"/>
      <c r="F2724" s="292"/>
      <c r="G2724" s="256" t="s">
        <v>695</v>
      </c>
      <c r="H2724" s="167" t="s">
        <v>688</v>
      </c>
      <c r="I2724" s="158">
        <f>D2715*K2724</f>
        <v>1313296.8</v>
      </c>
      <c r="J2724" s="158">
        <f>I2724/D2715</f>
        <v>3561</v>
      </c>
      <c r="K2724" s="158">
        <f>1187*3</f>
        <v>3561</v>
      </c>
      <c r="L2724" s="7"/>
      <c r="M2724" s="7"/>
      <c r="N2724" s="7"/>
      <c r="O2724" s="7"/>
      <c r="P2724" s="7"/>
      <c r="Q2724" s="7"/>
      <c r="R2724" s="7"/>
      <c r="S2724" s="7"/>
      <c r="T2724" s="7"/>
      <c r="U2724" s="7"/>
      <c r="V2724" s="7"/>
      <c r="W2724" s="7"/>
      <c r="X2724" s="7"/>
      <c r="Y2724" s="7"/>
      <c r="Z2724" s="7"/>
      <c r="AA2724" s="7"/>
      <c r="AB2724" s="7"/>
      <c r="AC2724" s="7"/>
      <c r="AD2724" s="7"/>
      <c r="AE2724" s="7"/>
      <c r="AF2724" s="7"/>
      <c r="AG2724" s="7"/>
      <c r="AH2724" s="7"/>
      <c r="AI2724" s="7"/>
      <c r="AJ2724" s="7"/>
      <c r="AK2724" s="7"/>
      <c r="AL2724" s="7"/>
      <c r="AM2724" s="7"/>
      <c r="AN2724" s="7"/>
      <c r="AO2724" s="7"/>
      <c r="AP2724" s="7"/>
      <c r="AQ2724" s="7"/>
      <c r="AR2724" s="7"/>
      <c r="AS2724" s="7"/>
      <c r="AT2724" s="7"/>
      <c r="AU2724" s="7"/>
      <c r="AV2724" s="7"/>
      <c r="AW2724" s="7"/>
      <c r="AX2724" s="7"/>
      <c r="AY2724" s="7"/>
      <c r="AZ2724" s="7"/>
      <c r="BA2724" s="7"/>
      <c r="BB2724" s="7"/>
      <c r="BC2724" s="7"/>
      <c r="BD2724" s="7"/>
      <c r="BE2724" s="7"/>
      <c r="BF2724" s="7"/>
      <c r="BG2724" s="7"/>
      <c r="BH2724" s="7"/>
      <c r="BI2724" s="7"/>
      <c r="BJ2724" s="7"/>
      <c r="BK2724" s="7"/>
      <c r="BL2724" s="7"/>
      <c r="BM2724" s="7"/>
      <c r="BN2724" s="7"/>
      <c r="BO2724" s="7"/>
      <c r="BP2724" s="7"/>
      <c r="BQ2724" s="7"/>
      <c r="BR2724" s="7"/>
      <c r="BS2724" s="7"/>
      <c r="BT2724" s="7"/>
      <c r="BU2724" s="7"/>
      <c r="BV2724" s="7"/>
      <c r="BW2724" s="7"/>
      <c r="BX2724" s="7"/>
      <c r="BY2724" s="7"/>
      <c r="BZ2724" s="7"/>
      <c r="CA2724" s="7"/>
      <c r="CB2724" s="7"/>
      <c r="CC2724" s="7"/>
      <c r="CD2724" s="7"/>
      <c r="CE2724" s="7"/>
      <c r="CF2724" s="7"/>
      <c r="CG2724" s="7"/>
      <c r="CH2724" s="7"/>
      <c r="CI2724" s="7"/>
      <c r="CJ2724" s="7"/>
      <c r="CK2724" s="7"/>
      <c r="CL2724" s="7"/>
      <c r="CM2724" s="7"/>
      <c r="CN2724" s="7"/>
      <c r="CO2724" s="7"/>
      <c r="CP2724" s="7"/>
      <c r="CQ2724" s="7"/>
      <c r="CR2724" s="7"/>
      <c r="CS2724" s="7"/>
      <c r="CT2724" s="7"/>
      <c r="CU2724" s="7"/>
      <c r="CV2724" s="7"/>
      <c r="CW2724" s="7"/>
      <c r="CX2724" s="7"/>
      <c r="CY2724" s="7"/>
      <c r="CZ2724" s="7"/>
      <c r="DA2724" s="7"/>
      <c r="DB2724" s="7"/>
      <c r="DC2724" s="7"/>
      <c r="DD2724" s="7"/>
      <c r="DE2724" s="7"/>
      <c r="DF2724" s="7"/>
      <c r="DG2724" s="7"/>
      <c r="DH2724" s="7"/>
      <c r="DI2724" s="7"/>
      <c r="DJ2724" s="7"/>
      <c r="DK2724" s="7"/>
      <c r="DL2724" s="7"/>
      <c r="DM2724" s="7"/>
      <c r="DN2724" s="7"/>
      <c r="DO2724" s="7"/>
      <c r="DP2724" s="7"/>
      <c r="DQ2724" s="7"/>
      <c r="DR2724" s="7"/>
      <c r="DS2724" s="7"/>
      <c r="DT2724" s="7"/>
      <c r="DU2724" s="7"/>
      <c r="DV2724" s="7"/>
      <c r="DW2724" s="7"/>
      <c r="DX2724" s="7"/>
      <c r="DY2724" s="7"/>
      <c r="DZ2724" s="7"/>
      <c r="EA2724" s="7"/>
      <c r="EB2724" s="7"/>
      <c r="EC2724" s="7"/>
      <c r="ED2724" s="7"/>
      <c r="EE2724" s="7"/>
      <c r="EF2724" s="7"/>
      <c r="EG2724" s="7"/>
      <c r="EH2724" s="7"/>
      <c r="EI2724" s="7"/>
      <c r="EJ2724" s="7"/>
      <c r="EK2724" s="7"/>
      <c r="EL2724" s="7"/>
      <c r="EM2724" s="7"/>
      <c r="EN2724" s="7"/>
      <c r="EO2724" s="7"/>
      <c r="EP2724" s="7"/>
      <c r="EQ2724" s="7"/>
      <c r="ER2724" s="7"/>
      <c r="ES2724" s="7"/>
      <c r="ET2724" s="7"/>
      <c r="EU2724" s="7"/>
      <c r="EV2724" s="7"/>
      <c r="EW2724" s="7"/>
      <c r="EX2724" s="7"/>
      <c r="EY2724" s="7"/>
      <c r="EZ2724" s="7"/>
      <c r="FA2724" s="7"/>
      <c r="FB2724" s="7"/>
      <c r="FC2724" s="7"/>
      <c r="FD2724" s="7"/>
      <c r="FE2724" s="7"/>
      <c r="FF2724" s="7"/>
      <c r="FG2724" s="7"/>
      <c r="FH2724" s="7"/>
      <c r="FI2724" s="7"/>
      <c r="FJ2724" s="7"/>
      <c r="FK2724" s="7"/>
      <c r="FL2724" s="7"/>
      <c r="FM2724" s="7"/>
      <c r="FN2724" s="7"/>
      <c r="FO2724" s="7"/>
      <c r="FP2724" s="7"/>
      <c r="FQ2724" s="7"/>
      <c r="FR2724" s="7"/>
      <c r="FS2724" s="7"/>
      <c r="FT2724" s="7"/>
      <c r="FU2724" s="7"/>
      <c r="FV2724" s="7"/>
      <c r="FW2724" s="7"/>
      <c r="FX2724" s="7"/>
      <c r="FY2724" s="7"/>
      <c r="FZ2724" s="7"/>
      <c r="GA2724" s="7"/>
      <c r="GB2724" s="7"/>
      <c r="GC2724" s="7"/>
      <c r="GD2724" s="7"/>
      <c r="GE2724" s="7"/>
      <c r="GF2724" s="7"/>
      <c r="GG2724" s="7"/>
      <c r="GH2724" s="7"/>
      <c r="GI2724" s="7"/>
      <c r="GJ2724" s="7"/>
      <c r="GK2724" s="7"/>
      <c r="GL2724" s="7"/>
      <c r="GM2724" s="7"/>
      <c r="GN2724" s="7"/>
      <c r="GO2724" s="7"/>
      <c r="GP2724" s="7"/>
      <c r="GQ2724" s="7"/>
      <c r="GR2724" s="7"/>
      <c r="GS2724" s="7"/>
      <c r="GT2724" s="7"/>
      <c r="GU2724" s="7"/>
      <c r="GV2724" s="7"/>
      <c r="GW2724" s="7"/>
      <c r="GX2724" s="7"/>
      <c r="GY2724" s="7"/>
      <c r="GZ2724" s="7"/>
      <c r="HA2724" s="7"/>
      <c r="HB2724" s="7"/>
      <c r="HC2724" s="7"/>
      <c r="HD2724" s="7"/>
      <c r="HE2724" s="7"/>
      <c r="HF2724" s="7"/>
      <c r="HG2724" s="7"/>
      <c r="HH2724" s="7"/>
      <c r="HI2724" s="7"/>
      <c r="HJ2724" s="7"/>
      <c r="HK2724" s="7"/>
      <c r="HL2724" s="7"/>
      <c r="HM2724" s="7"/>
      <c r="HN2724" s="7"/>
      <c r="HO2724" s="7"/>
      <c r="HP2724" s="7"/>
      <c r="HQ2724" s="7"/>
    </row>
    <row r="2725" spans="1:226" s="1" customFormat="1" ht="228.75" customHeight="1" x14ac:dyDescent="0.35">
      <c r="A2725" s="258"/>
      <c r="B2725" s="258"/>
      <c r="C2725" s="318"/>
      <c r="D2725" s="281"/>
      <c r="E2725" s="281"/>
      <c r="F2725" s="294"/>
      <c r="G2725" s="258"/>
      <c r="H2725" s="167" t="s">
        <v>76</v>
      </c>
      <c r="I2725" s="158">
        <f>D2715*K2725</f>
        <v>27660</v>
      </c>
      <c r="J2725" s="158">
        <f>I2725/D2715</f>
        <v>75</v>
      </c>
      <c r="K2725" s="158">
        <f>25*3</f>
        <v>75</v>
      </c>
      <c r="L2725" s="7"/>
      <c r="M2725" s="7"/>
      <c r="N2725" s="7"/>
      <c r="O2725" s="7"/>
      <c r="P2725" s="7"/>
      <c r="Q2725" s="7"/>
      <c r="R2725" s="7"/>
      <c r="S2725" s="7"/>
      <c r="T2725" s="7"/>
      <c r="U2725" s="7"/>
      <c r="V2725" s="7"/>
      <c r="W2725" s="7"/>
      <c r="X2725" s="7"/>
      <c r="Y2725" s="7"/>
      <c r="Z2725" s="7"/>
      <c r="AA2725" s="7"/>
      <c r="AB2725" s="7"/>
      <c r="AC2725" s="7"/>
      <c r="AD2725" s="7"/>
      <c r="AE2725" s="7"/>
      <c r="AF2725" s="7"/>
      <c r="AG2725" s="7"/>
      <c r="AH2725" s="7"/>
      <c r="AI2725" s="7"/>
      <c r="AJ2725" s="7"/>
      <c r="AK2725" s="7"/>
      <c r="AL2725" s="7"/>
      <c r="AM2725" s="7"/>
      <c r="AN2725" s="7"/>
      <c r="AO2725" s="7"/>
      <c r="AP2725" s="7"/>
      <c r="AQ2725" s="7"/>
      <c r="AR2725" s="7"/>
      <c r="AS2725" s="7"/>
      <c r="AT2725" s="7"/>
      <c r="AU2725" s="7"/>
      <c r="AV2725" s="7"/>
      <c r="AW2725" s="7"/>
      <c r="AX2725" s="7"/>
      <c r="AY2725" s="7"/>
      <c r="AZ2725" s="7"/>
      <c r="BA2725" s="7"/>
      <c r="BB2725" s="7"/>
      <c r="BC2725" s="7"/>
      <c r="BD2725" s="7"/>
      <c r="BE2725" s="7"/>
      <c r="BF2725" s="7"/>
      <c r="BG2725" s="7"/>
      <c r="BH2725" s="7"/>
      <c r="BI2725" s="7"/>
      <c r="BJ2725" s="7"/>
      <c r="BK2725" s="7"/>
      <c r="BL2725" s="7"/>
      <c r="BM2725" s="7"/>
      <c r="BN2725" s="7"/>
      <c r="BO2725" s="7"/>
      <c r="BP2725" s="7"/>
      <c r="BQ2725" s="7"/>
      <c r="BR2725" s="7"/>
      <c r="BS2725" s="7"/>
      <c r="BT2725" s="7"/>
      <c r="BU2725" s="7"/>
      <c r="BV2725" s="7"/>
      <c r="BW2725" s="7"/>
      <c r="BX2725" s="7"/>
      <c r="BY2725" s="7"/>
      <c r="BZ2725" s="7"/>
      <c r="CA2725" s="7"/>
      <c r="CB2725" s="7"/>
      <c r="CC2725" s="7"/>
      <c r="CD2725" s="7"/>
      <c r="CE2725" s="7"/>
      <c r="CF2725" s="7"/>
      <c r="CG2725" s="7"/>
      <c r="CH2725" s="7"/>
      <c r="CI2725" s="7"/>
      <c r="CJ2725" s="7"/>
      <c r="CK2725" s="7"/>
      <c r="CL2725" s="7"/>
      <c r="CM2725" s="7"/>
      <c r="CN2725" s="7"/>
      <c r="CO2725" s="7"/>
      <c r="CP2725" s="7"/>
      <c r="CQ2725" s="7"/>
      <c r="CR2725" s="7"/>
      <c r="CS2725" s="7"/>
      <c r="CT2725" s="7"/>
      <c r="CU2725" s="7"/>
      <c r="CV2725" s="7"/>
      <c r="CW2725" s="7"/>
      <c r="CX2725" s="7"/>
      <c r="CY2725" s="7"/>
      <c r="CZ2725" s="7"/>
      <c r="DA2725" s="7"/>
      <c r="DB2725" s="7"/>
      <c r="DC2725" s="7"/>
      <c r="DD2725" s="7"/>
      <c r="DE2725" s="7"/>
      <c r="DF2725" s="7"/>
      <c r="DG2725" s="7"/>
      <c r="DH2725" s="7"/>
      <c r="DI2725" s="7"/>
      <c r="DJ2725" s="7"/>
      <c r="DK2725" s="7"/>
      <c r="DL2725" s="7"/>
      <c r="DM2725" s="7"/>
      <c r="DN2725" s="7"/>
      <c r="DO2725" s="7"/>
      <c r="DP2725" s="7"/>
      <c r="DQ2725" s="7"/>
      <c r="DR2725" s="7"/>
      <c r="DS2725" s="7"/>
      <c r="DT2725" s="7"/>
      <c r="DU2725" s="7"/>
      <c r="DV2725" s="7"/>
      <c r="DW2725" s="7"/>
      <c r="DX2725" s="7"/>
      <c r="DY2725" s="7"/>
      <c r="DZ2725" s="7"/>
      <c r="EA2725" s="7"/>
      <c r="EB2725" s="7"/>
      <c r="EC2725" s="7"/>
      <c r="ED2725" s="7"/>
      <c r="EE2725" s="7"/>
      <c r="EF2725" s="7"/>
      <c r="EG2725" s="7"/>
      <c r="EH2725" s="7"/>
      <c r="EI2725" s="7"/>
      <c r="EJ2725" s="7"/>
      <c r="EK2725" s="7"/>
      <c r="EL2725" s="7"/>
      <c r="EM2725" s="7"/>
      <c r="EN2725" s="7"/>
      <c r="EO2725" s="7"/>
      <c r="EP2725" s="7"/>
      <c r="EQ2725" s="7"/>
      <c r="ER2725" s="7"/>
      <c r="ES2725" s="7"/>
      <c r="ET2725" s="7"/>
      <c r="EU2725" s="7"/>
      <c r="EV2725" s="7"/>
      <c r="EW2725" s="7"/>
      <c r="EX2725" s="7"/>
      <c r="EY2725" s="7"/>
      <c r="EZ2725" s="7"/>
      <c r="FA2725" s="7"/>
      <c r="FB2725" s="7"/>
      <c r="FC2725" s="7"/>
      <c r="FD2725" s="7"/>
      <c r="FE2725" s="7"/>
      <c r="FF2725" s="7"/>
      <c r="FG2725" s="7"/>
      <c r="FH2725" s="7"/>
      <c r="FI2725" s="7"/>
      <c r="FJ2725" s="7"/>
      <c r="FK2725" s="7"/>
      <c r="FL2725" s="7"/>
      <c r="FM2725" s="7"/>
      <c r="FN2725" s="7"/>
      <c r="FO2725" s="7"/>
      <c r="FP2725" s="7"/>
      <c r="FQ2725" s="7"/>
      <c r="FR2725" s="7"/>
      <c r="FS2725" s="7"/>
      <c r="FT2725" s="7"/>
      <c r="FU2725" s="7"/>
      <c r="FV2725" s="7"/>
      <c r="FW2725" s="7"/>
      <c r="FX2725" s="7"/>
      <c r="FY2725" s="7"/>
      <c r="FZ2725" s="7"/>
      <c r="GA2725" s="7"/>
      <c r="GB2725" s="7"/>
      <c r="GC2725" s="7"/>
      <c r="GD2725" s="7"/>
      <c r="GE2725" s="7"/>
      <c r="GF2725" s="7"/>
      <c r="GG2725" s="7"/>
      <c r="GH2725" s="7"/>
      <c r="GI2725" s="7"/>
      <c r="GJ2725" s="7"/>
      <c r="GK2725" s="7"/>
      <c r="GL2725" s="7"/>
      <c r="GM2725" s="7"/>
      <c r="GN2725" s="7"/>
      <c r="GO2725" s="7"/>
      <c r="GP2725" s="7"/>
      <c r="GQ2725" s="7"/>
      <c r="GR2725" s="7"/>
      <c r="GS2725" s="7"/>
      <c r="GT2725" s="7"/>
      <c r="GU2725" s="7"/>
      <c r="GV2725" s="7"/>
      <c r="GW2725" s="7"/>
      <c r="GX2725" s="7"/>
      <c r="GY2725" s="7"/>
      <c r="GZ2725" s="7"/>
      <c r="HA2725" s="7"/>
      <c r="HB2725" s="7"/>
      <c r="HC2725" s="7"/>
      <c r="HD2725" s="7"/>
      <c r="HE2725" s="7"/>
      <c r="HF2725" s="7"/>
      <c r="HG2725" s="7"/>
      <c r="HH2725" s="7"/>
      <c r="HI2725" s="7"/>
      <c r="HJ2725" s="7"/>
      <c r="HK2725" s="7"/>
      <c r="HL2725" s="7"/>
      <c r="HM2725" s="7"/>
      <c r="HN2725" s="7"/>
      <c r="HO2725" s="7"/>
      <c r="HP2725" s="7"/>
      <c r="HQ2725" s="7"/>
    </row>
    <row r="2726" spans="1:226" s="1" customFormat="1" ht="15.75" customHeight="1" x14ac:dyDescent="0.35">
      <c r="A2726" s="251">
        <f>A2715+1</f>
        <v>5</v>
      </c>
      <c r="B2726" s="251">
        <v>5100</v>
      </c>
      <c r="C2726" s="309" t="s">
        <v>532</v>
      </c>
      <c r="D2726" s="253">
        <v>2705.3</v>
      </c>
      <c r="E2726" s="253" t="s">
        <v>71</v>
      </c>
      <c r="F2726" s="255">
        <v>5</v>
      </c>
      <c r="G2726" s="251" t="s">
        <v>72</v>
      </c>
      <c r="H2726" s="159" t="s">
        <v>73</v>
      </c>
      <c r="I2726" s="158">
        <f>I2727+I2728</f>
        <v>5859950.3300000001</v>
      </c>
      <c r="J2726" s="158">
        <f>J2727+J2728</f>
        <v>2166.1</v>
      </c>
      <c r="K2726" s="158">
        <f>K2727+K2728</f>
        <v>3067</v>
      </c>
      <c r="L2726" s="7"/>
      <c r="M2726" s="7"/>
      <c r="N2726" s="7"/>
      <c r="O2726" s="7"/>
      <c r="P2726" s="7"/>
      <c r="Q2726" s="7"/>
      <c r="R2726" s="7"/>
      <c r="S2726" s="7"/>
      <c r="T2726" s="7"/>
      <c r="U2726" s="7"/>
      <c r="V2726" s="7"/>
      <c r="W2726" s="7"/>
      <c r="X2726" s="7"/>
      <c r="Y2726" s="7"/>
      <c r="Z2726" s="7"/>
      <c r="AA2726" s="7"/>
      <c r="AB2726" s="7"/>
      <c r="AC2726" s="7"/>
      <c r="AD2726" s="7"/>
      <c r="AE2726" s="7"/>
      <c r="AF2726" s="7"/>
      <c r="AG2726" s="7"/>
      <c r="AH2726" s="7"/>
      <c r="AI2726" s="7"/>
      <c r="AJ2726" s="7"/>
      <c r="AK2726" s="7"/>
      <c r="AL2726" s="7"/>
      <c r="AM2726" s="7"/>
      <c r="AN2726" s="7"/>
      <c r="AO2726" s="7"/>
      <c r="AP2726" s="7"/>
      <c r="AQ2726" s="7"/>
      <c r="AR2726" s="7"/>
      <c r="AS2726" s="7"/>
      <c r="AT2726" s="7"/>
      <c r="AU2726" s="7"/>
      <c r="AV2726" s="7"/>
      <c r="AW2726" s="7"/>
      <c r="AX2726" s="7"/>
      <c r="AY2726" s="7"/>
      <c r="AZ2726" s="7"/>
      <c r="BA2726" s="7"/>
      <c r="BB2726" s="7"/>
      <c r="BC2726" s="7"/>
      <c r="BD2726" s="7"/>
      <c r="BE2726" s="7"/>
      <c r="BF2726" s="7"/>
      <c r="BG2726" s="7"/>
      <c r="BH2726" s="7"/>
      <c r="BI2726" s="7"/>
      <c r="BJ2726" s="7"/>
      <c r="BK2726" s="7"/>
      <c r="BL2726" s="7"/>
      <c r="BM2726" s="7"/>
      <c r="BN2726" s="7"/>
      <c r="BO2726" s="7"/>
      <c r="BP2726" s="7"/>
      <c r="BQ2726" s="7"/>
      <c r="BR2726" s="7"/>
      <c r="BS2726" s="7"/>
      <c r="BT2726" s="7"/>
      <c r="BU2726" s="7"/>
      <c r="BV2726" s="7"/>
      <c r="BW2726" s="7"/>
      <c r="BX2726" s="7"/>
      <c r="BY2726" s="7"/>
      <c r="BZ2726" s="7"/>
      <c r="CA2726" s="7"/>
      <c r="CB2726" s="7"/>
      <c r="CC2726" s="7"/>
      <c r="CD2726" s="7"/>
      <c r="CE2726" s="7"/>
      <c r="CF2726" s="7"/>
      <c r="CG2726" s="7"/>
      <c r="CH2726" s="7"/>
      <c r="CI2726" s="7"/>
      <c r="CJ2726" s="7"/>
      <c r="CK2726" s="7"/>
      <c r="CL2726" s="7"/>
      <c r="CM2726" s="7"/>
      <c r="CN2726" s="7"/>
      <c r="CO2726" s="7"/>
      <c r="CP2726" s="7"/>
      <c r="CQ2726" s="7"/>
      <c r="CR2726" s="7"/>
      <c r="CS2726" s="7"/>
      <c r="CT2726" s="7"/>
      <c r="CU2726" s="7"/>
      <c r="CV2726" s="7"/>
      <c r="CW2726" s="7"/>
      <c r="CX2726" s="7"/>
      <c r="CY2726" s="7"/>
      <c r="CZ2726" s="7"/>
      <c r="DA2726" s="7"/>
      <c r="DB2726" s="7"/>
      <c r="DC2726" s="7"/>
      <c r="DD2726" s="7"/>
      <c r="DE2726" s="7"/>
      <c r="DF2726" s="7"/>
      <c r="DG2726" s="7"/>
      <c r="DH2726" s="7"/>
      <c r="DI2726" s="7"/>
      <c r="DJ2726" s="7"/>
      <c r="DK2726" s="7"/>
      <c r="DL2726" s="7"/>
      <c r="DM2726" s="7"/>
      <c r="DN2726" s="7"/>
      <c r="DO2726" s="7"/>
      <c r="DP2726" s="7"/>
      <c r="DQ2726" s="7"/>
      <c r="DR2726" s="7"/>
      <c r="DS2726" s="7"/>
      <c r="DT2726" s="7"/>
      <c r="DU2726" s="7"/>
      <c r="DV2726" s="7"/>
      <c r="DW2726" s="7"/>
      <c r="DX2726" s="7"/>
      <c r="DY2726" s="7"/>
      <c r="DZ2726" s="7"/>
      <c r="EA2726" s="7"/>
      <c r="EB2726" s="7"/>
      <c r="EC2726" s="7"/>
      <c r="ED2726" s="7"/>
      <c r="EE2726" s="7"/>
      <c r="EF2726" s="7"/>
      <c r="EG2726" s="7"/>
      <c r="EH2726" s="7"/>
      <c r="EI2726" s="7"/>
      <c r="EJ2726" s="7"/>
      <c r="EK2726" s="7"/>
      <c r="EL2726" s="7"/>
      <c r="EM2726" s="7"/>
      <c r="EN2726" s="7"/>
      <c r="EO2726" s="7"/>
      <c r="EP2726" s="7"/>
      <c r="EQ2726" s="7"/>
      <c r="ER2726" s="7"/>
      <c r="ES2726" s="7"/>
      <c r="ET2726" s="7"/>
      <c r="EU2726" s="7"/>
      <c r="EV2726" s="7"/>
      <c r="EW2726" s="7"/>
      <c r="EX2726" s="7"/>
      <c r="EY2726" s="7"/>
      <c r="EZ2726" s="7"/>
      <c r="FA2726" s="7"/>
      <c r="FB2726" s="7"/>
      <c r="FC2726" s="7"/>
      <c r="FD2726" s="7"/>
      <c r="FE2726" s="7"/>
      <c r="FF2726" s="7"/>
      <c r="FG2726" s="7"/>
      <c r="FH2726" s="7"/>
      <c r="FI2726" s="7"/>
      <c r="FJ2726" s="7"/>
      <c r="FK2726" s="7"/>
      <c r="FL2726" s="7"/>
      <c r="FM2726" s="7"/>
      <c r="FN2726" s="7"/>
      <c r="FO2726" s="7"/>
      <c r="FP2726" s="7"/>
      <c r="FQ2726" s="7"/>
      <c r="FR2726" s="7"/>
      <c r="FS2726" s="7"/>
      <c r="FT2726" s="7"/>
      <c r="FU2726" s="7"/>
      <c r="FV2726" s="7"/>
      <c r="FW2726" s="7"/>
      <c r="FX2726" s="7"/>
      <c r="FY2726" s="7"/>
      <c r="FZ2726" s="7"/>
      <c r="GA2726" s="7"/>
      <c r="GB2726" s="7"/>
      <c r="GC2726" s="7"/>
      <c r="GD2726" s="7"/>
      <c r="GE2726" s="7"/>
      <c r="GF2726" s="7"/>
      <c r="GG2726" s="7"/>
      <c r="GH2726" s="7"/>
      <c r="GI2726" s="7"/>
      <c r="GJ2726" s="7"/>
      <c r="GK2726" s="7"/>
      <c r="GL2726" s="7"/>
      <c r="GM2726" s="7"/>
      <c r="GN2726" s="7"/>
      <c r="GO2726" s="7"/>
      <c r="GP2726" s="7"/>
      <c r="GQ2726" s="7"/>
      <c r="GR2726" s="7"/>
      <c r="GS2726" s="7"/>
      <c r="GT2726" s="7"/>
      <c r="GU2726" s="7"/>
      <c r="GV2726" s="7"/>
      <c r="GW2726" s="7"/>
      <c r="GX2726" s="7"/>
      <c r="GY2726" s="7"/>
      <c r="GZ2726" s="7"/>
      <c r="HA2726" s="7"/>
      <c r="HB2726" s="7"/>
      <c r="HC2726" s="7"/>
      <c r="HD2726" s="7"/>
      <c r="HE2726" s="7"/>
      <c r="HF2726" s="7"/>
      <c r="HG2726" s="7"/>
      <c r="HH2726" s="7"/>
      <c r="HI2726" s="7"/>
      <c r="HJ2726" s="7"/>
      <c r="HK2726" s="7"/>
      <c r="HL2726" s="7"/>
      <c r="HM2726" s="7"/>
      <c r="HN2726" s="7"/>
      <c r="HO2726" s="7"/>
      <c r="HP2726" s="7"/>
      <c r="HQ2726" s="7"/>
    </row>
    <row r="2727" spans="1:226" s="1" customFormat="1" x14ac:dyDescent="0.35">
      <c r="A2727" s="251">
        <v>275</v>
      </c>
      <c r="B2727" s="251"/>
      <c r="C2727" s="309"/>
      <c r="D2727" s="253"/>
      <c r="E2727" s="253"/>
      <c r="F2727" s="255"/>
      <c r="G2727" s="251"/>
      <c r="H2727" s="159" t="s">
        <v>74</v>
      </c>
      <c r="I2727" s="158">
        <f>K2727*D2726*0.7</f>
        <v>5686811.1299999999</v>
      </c>
      <c r="J2727" s="158">
        <f>I2727/D2726</f>
        <v>2102.1</v>
      </c>
      <c r="K2727" s="158">
        <v>3003</v>
      </c>
      <c r="L2727" s="7"/>
      <c r="M2727" s="7"/>
      <c r="N2727" s="7"/>
      <c r="O2727" s="7"/>
      <c r="P2727" s="7"/>
      <c r="Q2727" s="7"/>
      <c r="R2727" s="7"/>
      <c r="S2727" s="7"/>
      <c r="T2727" s="7"/>
      <c r="U2727" s="7"/>
      <c r="V2727" s="7"/>
      <c r="W2727" s="7"/>
      <c r="X2727" s="7"/>
      <c r="Y2727" s="7"/>
      <c r="Z2727" s="7"/>
      <c r="AA2727" s="7"/>
      <c r="AB2727" s="7"/>
      <c r="AC2727" s="7"/>
      <c r="AD2727" s="7"/>
      <c r="AE2727" s="7"/>
      <c r="AF2727" s="7"/>
      <c r="AG2727" s="7"/>
      <c r="AH2727" s="7"/>
      <c r="AI2727" s="7"/>
      <c r="AJ2727" s="7"/>
      <c r="AK2727" s="7"/>
      <c r="AL2727" s="7"/>
      <c r="AM2727" s="7"/>
      <c r="AN2727" s="7"/>
      <c r="AO2727" s="7"/>
      <c r="AP2727" s="7"/>
      <c r="AQ2727" s="7"/>
      <c r="AR2727" s="7"/>
      <c r="AS2727" s="7"/>
      <c r="AT2727" s="7"/>
      <c r="AU2727" s="7"/>
      <c r="AV2727" s="7"/>
      <c r="AW2727" s="7"/>
      <c r="AX2727" s="7"/>
      <c r="AY2727" s="7"/>
      <c r="AZ2727" s="7"/>
      <c r="BA2727" s="7"/>
      <c r="BB2727" s="7"/>
      <c r="BC2727" s="7"/>
      <c r="BD2727" s="7"/>
      <c r="BE2727" s="7"/>
      <c r="BF2727" s="7"/>
      <c r="BG2727" s="7"/>
      <c r="BH2727" s="7"/>
      <c r="BI2727" s="7"/>
      <c r="BJ2727" s="7"/>
      <c r="BK2727" s="7"/>
      <c r="BL2727" s="7"/>
      <c r="BM2727" s="7"/>
      <c r="BN2727" s="7"/>
      <c r="BO2727" s="7"/>
      <c r="BP2727" s="7"/>
      <c r="BQ2727" s="7"/>
      <c r="BR2727" s="7"/>
      <c r="BS2727" s="7"/>
      <c r="BT2727" s="7"/>
      <c r="BU2727" s="7"/>
      <c r="BV2727" s="7"/>
      <c r="BW2727" s="7"/>
      <c r="BX2727" s="7"/>
      <c r="BY2727" s="7"/>
      <c r="BZ2727" s="7"/>
      <c r="CA2727" s="7"/>
      <c r="CB2727" s="7"/>
      <c r="CC2727" s="7"/>
      <c r="CD2727" s="7"/>
      <c r="CE2727" s="7"/>
      <c r="CF2727" s="7"/>
      <c r="CG2727" s="7"/>
      <c r="CH2727" s="7"/>
      <c r="CI2727" s="7"/>
      <c r="CJ2727" s="7"/>
      <c r="CK2727" s="7"/>
      <c r="CL2727" s="7"/>
      <c r="CM2727" s="7"/>
      <c r="CN2727" s="7"/>
      <c r="CO2727" s="7"/>
      <c r="CP2727" s="7"/>
      <c r="CQ2727" s="7"/>
      <c r="CR2727" s="7"/>
      <c r="CS2727" s="7"/>
      <c r="CT2727" s="7"/>
      <c r="CU2727" s="7"/>
      <c r="CV2727" s="7"/>
      <c r="CW2727" s="7"/>
      <c r="CX2727" s="7"/>
      <c r="CY2727" s="7"/>
      <c r="CZ2727" s="7"/>
      <c r="DA2727" s="7"/>
      <c r="DB2727" s="7"/>
      <c r="DC2727" s="7"/>
      <c r="DD2727" s="7"/>
      <c r="DE2727" s="7"/>
      <c r="DF2727" s="7"/>
      <c r="DG2727" s="7"/>
      <c r="DH2727" s="7"/>
      <c r="DI2727" s="7"/>
      <c r="DJ2727" s="7"/>
      <c r="DK2727" s="7"/>
      <c r="DL2727" s="7"/>
      <c r="DM2727" s="7"/>
      <c r="DN2727" s="7"/>
      <c r="DO2727" s="7"/>
      <c r="DP2727" s="7"/>
      <c r="DQ2727" s="7"/>
      <c r="DR2727" s="7"/>
      <c r="DS2727" s="7"/>
      <c r="DT2727" s="7"/>
      <c r="DU2727" s="7"/>
      <c r="DV2727" s="7"/>
      <c r="DW2727" s="7"/>
      <c r="DX2727" s="7"/>
      <c r="DY2727" s="7"/>
      <c r="DZ2727" s="7"/>
      <c r="EA2727" s="7"/>
      <c r="EB2727" s="7"/>
      <c r="EC2727" s="7"/>
      <c r="ED2727" s="7"/>
      <c r="EE2727" s="7"/>
      <c r="EF2727" s="7"/>
      <c r="EG2727" s="7"/>
      <c r="EH2727" s="7"/>
      <c r="EI2727" s="7"/>
      <c r="EJ2727" s="7"/>
      <c r="EK2727" s="7"/>
      <c r="EL2727" s="7"/>
      <c r="EM2727" s="7"/>
      <c r="EN2727" s="7"/>
      <c r="EO2727" s="7"/>
      <c r="EP2727" s="7"/>
      <c r="EQ2727" s="7"/>
      <c r="ER2727" s="7"/>
      <c r="ES2727" s="7"/>
      <c r="ET2727" s="7"/>
      <c r="EU2727" s="7"/>
      <c r="EV2727" s="7"/>
      <c r="EW2727" s="7"/>
      <c r="EX2727" s="7"/>
      <c r="EY2727" s="7"/>
      <c r="EZ2727" s="7"/>
      <c r="FA2727" s="7"/>
      <c r="FB2727" s="7"/>
      <c r="FC2727" s="7"/>
      <c r="FD2727" s="7"/>
      <c r="FE2727" s="7"/>
      <c r="FF2727" s="7"/>
      <c r="FG2727" s="7"/>
      <c r="FH2727" s="7"/>
      <c r="FI2727" s="7"/>
      <c r="FJ2727" s="7"/>
      <c r="FK2727" s="7"/>
      <c r="FL2727" s="7"/>
      <c r="FM2727" s="7"/>
      <c r="FN2727" s="7"/>
      <c r="FO2727" s="7"/>
      <c r="FP2727" s="7"/>
      <c r="FQ2727" s="7"/>
      <c r="FR2727" s="7"/>
      <c r="FS2727" s="7"/>
      <c r="FT2727" s="7"/>
      <c r="FU2727" s="7"/>
      <c r="FV2727" s="7"/>
      <c r="FW2727" s="7"/>
      <c r="FX2727" s="7"/>
      <c r="FY2727" s="7"/>
      <c r="FZ2727" s="7"/>
      <c r="GA2727" s="7"/>
      <c r="GB2727" s="7"/>
      <c r="GC2727" s="7"/>
      <c r="GD2727" s="7"/>
      <c r="GE2727" s="7"/>
      <c r="GF2727" s="7"/>
      <c r="GG2727" s="7"/>
      <c r="GH2727" s="7"/>
      <c r="GI2727" s="7"/>
      <c r="GJ2727" s="7"/>
      <c r="GK2727" s="7"/>
      <c r="GL2727" s="7"/>
      <c r="GM2727" s="7"/>
      <c r="GN2727" s="7"/>
      <c r="GO2727" s="7"/>
      <c r="GP2727" s="7"/>
      <c r="GQ2727" s="7"/>
      <c r="GR2727" s="7"/>
      <c r="GS2727" s="7"/>
      <c r="GT2727" s="7"/>
      <c r="GU2727" s="7"/>
      <c r="GV2727" s="7"/>
      <c r="GW2727" s="7"/>
      <c r="GX2727" s="7"/>
      <c r="GY2727" s="7"/>
      <c r="GZ2727" s="7"/>
      <c r="HA2727" s="7"/>
      <c r="HB2727" s="7"/>
      <c r="HC2727" s="7"/>
      <c r="HD2727" s="7"/>
      <c r="HE2727" s="7"/>
      <c r="HF2727" s="7"/>
      <c r="HG2727" s="7"/>
      <c r="HH2727" s="7"/>
      <c r="HI2727" s="7"/>
      <c r="HJ2727" s="7"/>
      <c r="HK2727" s="7"/>
      <c r="HL2727" s="7"/>
      <c r="HM2727" s="7"/>
      <c r="HN2727" s="7"/>
      <c r="HO2727" s="7"/>
      <c r="HP2727" s="7"/>
      <c r="HQ2727" s="7"/>
    </row>
    <row r="2728" spans="1:226" s="1" customFormat="1" x14ac:dyDescent="0.35">
      <c r="A2728" s="251">
        <v>276</v>
      </c>
      <c r="B2728" s="251"/>
      <c r="C2728" s="309"/>
      <c r="D2728" s="253"/>
      <c r="E2728" s="253"/>
      <c r="F2728" s="255"/>
      <c r="G2728" s="251"/>
      <c r="H2728" s="159" t="s">
        <v>76</v>
      </c>
      <c r="I2728" s="158">
        <f>K2728*D2726</f>
        <v>173139.20000000001</v>
      </c>
      <c r="J2728" s="158">
        <f>I2728/D2726</f>
        <v>64</v>
      </c>
      <c r="K2728" s="158">
        <v>64</v>
      </c>
      <c r="L2728" s="7"/>
      <c r="M2728" s="7"/>
      <c r="N2728" s="7"/>
      <c r="O2728" s="7"/>
      <c r="P2728" s="7"/>
      <c r="Q2728" s="7"/>
      <c r="R2728" s="7"/>
      <c r="S2728" s="7"/>
      <c r="T2728" s="7"/>
      <c r="U2728" s="7"/>
      <c r="V2728" s="7"/>
      <c r="W2728" s="7"/>
      <c r="X2728" s="7"/>
      <c r="Y2728" s="7"/>
      <c r="Z2728" s="7"/>
      <c r="AA2728" s="7"/>
      <c r="AB2728" s="7"/>
      <c r="AC2728" s="7"/>
      <c r="AD2728" s="7"/>
      <c r="AE2728" s="7"/>
      <c r="AF2728" s="7"/>
      <c r="AG2728" s="7"/>
      <c r="AH2728" s="7"/>
      <c r="AI2728" s="7"/>
      <c r="AJ2728" s="7"/>
      <c r="AK2728" s="7"/>
      <c r="AL2728" s="7"/>
      <c r="AM2728" s="7"/>
      <c r="AN2728" s="7"/>
      <c r="AO2728" s="7"/>
      <c r="AP2728" s="7"/>
      <c r="AQ2728" s="7"/>
      <c r="AR2728" s="7"/>
      <c r="AS2728" s="7"/>
      <c r="AT2728" s="7"/>
      <c r="AU2728" s="7"/>
      <c r="AV2728" s="7"/>
      <c r="AW2728" s="7"/>
      <c r="AX2728" s="7"/>
      <c r="AY2728" s="7"/>
      <c r="AZ2728" s="7"/>
      <c r="BA2728" s="7"/>
      <c r="BB2728" s="7"/>
      <c r="BC2728" s="7"/>
      <c r="BD2728" s="7"/>
      <c r="BE2728" s="7"/>
      <c r="BF2728" s="7"/>
      <c r="BG2728" s="7"/>
      <c r="BH2728" s="7"/>
      <c r="BI2728" s="7"/>
      <c r="BJ2728" s="7"/>
      <c r="BK2728" s="7"/>
      <c r="BL2728" s="7"/>
      <c r="BM2728" s="7"/>
      <c r="BN2728" s="7"/>
      <c r="BO2728" s="7"/>
      <c r="BP2728" s="7"/>
      <c r="BQ2728" s="7"/>
      <c r="BR2728" s="7"/>
      <c r="BS2728" s="7"/>
      <c r="BT2728" s="7"/>
      <c r="BU2728" s="7"/>
      <c r="BV2728" s="7"/>
      <c r="BW2728" s="7"/>
      <c r="BX2728" s="7"/>
      <c r="BY2728" s="7"/>
      <c r="BZ2728" s="7"/>
      <c r="CA2728" s="7"/>
      <c r="CB2728" s="7"/>
      <c r="CC2728" s="7"/>
      <c r="CD2728" s="7"/>
      <c r="CE2728" s="7"/>
      <c r="CF2728" s="7"/>
      <c r="CG2728" s="7"/>
      <c r="CH2728" s="7"/>
      <c r="CI2728" s="7"/>
      <c r="CJ2728" s="7"/>
      <c r="CK2728" s="7"/>
      <c r="CL2728" s="7"/>
      <c r="CM2728" s="7"/>
      <c r="CN2728" s="7"/>
      <c r="CO2728" s="7"/>
      <c r="CP2728" s="7"/>
      <c r="CQ2728" s="7"/>
      <c r="CR2728" s="7"/>
      <c r="CS2728" s="7"/>
      <c r="CT2728" s="7"/>
      <c r="CU2728" s="7"/>
      <c r="CV2728" s="7"/>
      <c r="CW2728" s="7"/>
      <c r="CX2728" s="7"/>
      <c r="CY2728" s="7"/>
      <c r="CZ2728" s="7"/>
      <c r="DA2728" s="7"/>
      <c r="DB2728" s="7"/>
      <c r="DC2728" s="7"/>
      <c r="DD2728" s="7"/>
      <c r="DE2728" s="7"/>
      <c r="DF2728" s="7"/>
      <c r="DG2728" s="7"/>
      <c r="DH2728" s="7"/>
      <c r="DI2728" s="7"/>
      <c r="DJ2728" s="7"/>
      <c r="DK2728" s="7"/>
      <c r="DL2728" s="7"/>
      <c r="DM2728" s="7"/>
      <c r="DN2728" s="7"/>
      <c r="DO2728" s="7"/>
      <c r="DP2728" s="7"/>
      <c r="DQ2728" s="7"/>
      <c r="DR2728" s="7"/>
      <c r="DS2728" s="7"/>
      <c r="DT2728" s="7"/>
      <c r="DU2728" s="7"/>
      <c r="DV2728" s="7"/>
      <c r="DW2728" s="7"/>
      <c r="DX2728" s="7"/>
      <c r="DY2728" s="7"/>
      <c r="DZ2728" s="7"/>
      <c r="EA2728" s="7"/>
      <c r="EB2728" s="7"/>
      <c r="EC2728" s="7"/>
      <c r="ED2728" s="7"/>
      <c r="EE2728" s="7"/>
      <c r="EF2728" s="7"/>
      <c r="EG2728" s="7"/>
      <c r="EH2728" s="7"/>
      <c r="EI2728" s="7"/>
      <c r="EJ2728" s="7"/>
      <c r="EK2728" s="7"/>
      <c r="EL2728" s="7"/>
      <c r="EM2728" s="7"/>
      <c r="EN2728" s="7"/>
      <c r="EO2728" s="7"/>
      <c r="EP2728" s="7"/>
      <c r="EQ2728" s="7"/>
      <c r="ER2728" s="7"/>
      <c r="ES2728" s="7"/>
      <c r="ET2728" s="7"/>
      <c r="EU2728" s="7"/>
      <c r="EV2728" s="7"/>
      <c r="EW2728" s="7"/>
      <c r="EX2728" s="7"/>
      <c r="EY2728" s="7"/>
      <c r="EZ2728" s="7"/>
      <c r="FA2728" s="7"/>
      <c r="FB2728" s="7"/>
      <c r="FC2728" s="7"/>
      <c r="FD2728" s="7"/>
      <c r="FE2728" s="7"/>
      <c r="FF2728" s="7"/>
      <c r="FG2728" s="7"/>
      <c r="FH2728" s="7"/>
      <c r="FI2728" s="7"/>
      <c r="FJ2728" s="7"/>
      <c r="FK2728" s="7"/>
      <c r="FL2728" s="7"/>
      <c r="FM2728" s="7"/>
      <c r="FN2728" s="7"/>
      <c r="FO2728" s="7"/>
      <c r="FP2728" s="7"/>
      <c r="FQ2728" s="7"/>
      <c r="FR2728" s="7"/>
      <c r="FS2728" s="7"/>
      <c r="FT2728" s="7"/>
      <c r="FU2728" s="7"/>
      <c r="FV2728" s="7"/>
      <c r="FW2728" s="7"/>
      <c r="FX2728" s="7"/>
      <c r="FY2728" s="7"/>
      <c r="FZ2728" s="7"/>
      <c r="GA2728" s="7"/>
      <c r="GB2728" s="7"/>
      <c r="GC2728" s="7"/>
      <c r="GD2728" s="7"/>
      <c r="GE2728" s="7"/>
      <c r="GF2728" s="7"/>
      <c r="GG2728" s="7"/>
      <c r="GH2728" s="7"/>
      <c r="GI2728" s="7"/>
      <c r="GJ2728" s="7"/>
      <c r="GK2728" s="7"/>
      <c r="GL2728" s="7"/>
      <c r="GM2728" s="7"/>
      <c r="GN2728" s="7"/>
      <c r="GO2728" s="7"/>
      <c r="GP2728" s="7"/>
      <c r="GQ2728" s="7"/>
      <c r="GR2728" s="7"/>
      <c r="GS2728" s="7"/>
      <c r="GT2728" s="7"/>
      <c r="GU2728" s="7"/>
      <c r="GV2728" s="7"/>
      <c r="GW2728" s="7"/>
      <c r="GX2728" s="7"/>
      <c r="GY2728" s="7"/>
      <c r="GZ2728" s="7"/>
      <c r="HA2728" s="7"/>
      <c r="HB2728" s="7"/>
      <c r="HC2728" s="7"/>
      <c r="HD2728" s="7"/>
      <c r="HE2728" s="7"/>
      <c r="HF2728" s="7"/>
      <c r="HG2728" s="7"/>
      <c r="HH2728" s="7"/>
      <c r="HI2728" s="7"/>
      <c r="HJ2728" s="7"/>
      <c r="HK2728" s="7"/>
      <c r="HL2728" s="7"/>
      <c r="HM2728" s="7"/>
      <c r="HN2728" s="7"/>
      <c r="HO2728" s="7"/>
      <c r="HP2728" s="7"/>
      <c r="HQ2728" s="7"/>
    </row>
    <row r="2729" spans="1:226" s="1" customFormat="1" ht="15.75" customHeight="1" x14ac:dyDescent="0.35">
      <c r="A2729" s="251">
        <f>A2726+1</f>
        <v>6</v>
      </c>
      <c r="B2729" s="251">
        <v>5102</v>
      </c>
      <c r="C2729" s="223" t="s">
        <v>533</v>
      </c>
      <c r="D2729" s="274">
        <v>3535.3</v>
      </c>
      <c r="E2729" s="274" t="s">
        <v>71</v>
      </c>
      <c r="F2729" s="293">
        <v>5</v>
      </c>
      <c r="G2729" s="149"/>
      <c r="H2729" s="159" t="s">
        <v>73</v>
      </c>
      <c r="I2729" s="158">
        <f>SUM(I2730:I2737)</f>
        <v>9322232.5700000003</v>
      </c>
      <c r="J2729" s="158">
        <f>SUM(J2730:J2737)</f>
        <v>2636.9</v>
      </c>
      <c r="K2729" s="158">
        <f>SUM(K2730:K2737)</f>
        <v>3767</v>
      </c>
      <c r="L2729" s="7"/>
      <c r="M2729" s="7"/>
      <c r="N2729" s="7"/>
      <c r="O2729" s="7"/>
      <c r="P2729" s="7"/>
      <c r="Q2729" s="7"/>
      <c r="R2729" s="7"/>
      <c r="S2729" s="7"/>
      <c r="T2729" s="7"/>
      <c r="U2729" s="7"/>
      <c r="V2729" s="7"/>
      <c r="W2729" s="7"/>
      <c r="X2729" s="7"/>
      <c r="Y2729" s="7"/>
      <c r="Z2729" s="7"/>
      <c r="AA2729" s="7"/>
      <c r="AB2729" s="7"/>
      <c r="AC2729" s="7"/>
      <c r="AD2729" s="7"/>
      <c r="AE2729" s="7"/>
      <c r="AF2729" s="7"/>
      <c r="AG2729" s="7"/>
      <c r="AH2729" s="7"/>
      <c r="AI2729" s="7"/>
      <c r="AJ2729" s="7"/>
      <c r="AK2729" s="7"/>
      <c r="AL2729" s="7"/>
      <c r="AM2729" s="7"/>
      <c r="AN2729" s="7"/>
      <c r="AO2729" s="7"/>
      <c r="AP2729" s="7"/>
      <c r="AQ2729" s="7"/>
      <c r="AR2729" s="7"/>
      <c r="AS2729" s="7"/>
      <c r="AT2729" s="7"/>
      <c r="AU2729" s="7"/>
      <c r="AV2729" s="7"/>
      <c r="AW2729" s="7"/>
      <c r="AX2729" s="7"/>
      <c r="AY2729" s="7"/>
      <c r="AZ2729" s="7"/>
      <c r="BA2729" s="7"/>
      <c r="BB2729" s="7"/>
      <c r="BC2729" s="7"/>
      <c r="BD2729" s="7"/>
      <c r="BE2729" s="7"/>
      <c r="BF2729" s="7"/>
      <c r="BG2729" s="7"/>
      <c r="BH2729" s="7"/>
      <c r="BI2729" s="7"/>
      <c r="BJ2729" s="7"/>
      <c r="BK2729" s="7"/>
      <c r="BL2729" s="7"/>
      <c r="BM2729" s="7"/>
      <c r="BN2729" s="7"/>
      <c r="BO2729" s="7"/>
      <c r="BP2729" s="7"/>
      <c r="BQ2729" s="7"/>
      <c r="BR2729" s="7"/>
      <c r="BS2729" s="7"/>
      <c r="BT2729" s="7"/>
      <c r="BU2729" s="7"/>
      <c r="BV2729" s="7"/>
      <c r="BW2729" s="7"/>
      <c r="BX2729" s="7"/>
      <c r="BY2729" s="7"/>
      <c r="BZ2729" s="7"/>
      <c r="CA2729" s="7"/>
      <c r="CB2729" s="7"/>
      <c r="CC2729" s="7"/>
      <c r="CD2729" s="7"/>
      <c r="CE2729" s="7"/>
      <c r="CF2729" s="7"/>
      <c r="CG2729" s="7"/>
      <c r="CH2729" s="7"/>
      <c r="CI2729" s="7"/>
      <c r="CJ2729" s="7"/>
      <c r="CK2729" s="7"/>
      <c r="CL2729" s="7"/>
      <c r="CM2729" s="7"/>
      <c r="CN2729" s="7"/>
      <c r="CO2729" s="7"/>
      <c r="CP2729" s="7"/>
      <c r="CQ2729" s="7"/>
      <c r="CR2729" s="7"/>
      <c r="CS2729" s="7"/>
      <c r="CT2729" s="7"/>
      <c r="CU2729" s="7"/>
      <c r="CV2729" s="7"/>
      <c r="CW2729" s="7"/>
      <c r="CX2729" s="7"/>
      <c r="CY2729" s="7"/>
      <c r="CZ2729" s="7"/>
      <c r="DA2729" s="7"/>
      <c r="DB2729" s="7"/>
      <c r="DC2729" s="7"/>
      <c r="DD2729" s="7"/>
      <c r="DE2729" s="7"/>
      <c r="DF2729" s="7"/>
      <c r="DG2729" s="7"/>
      <c r="DH2729" s="7"/>
      <c r="DI2729" s="7"/>
      <c r="DJ2729" s="7"/>
      <c r="DK2729" s="7"/>
      <c r="DL2729" s="7"/>
      <c r="DM2729" s="7"/>
      <c r="DN2729" s="7"/>
      <c r="DO2729" s="7"/>
      <c r="DP2729" s="7"/>
      <c r="DQ2729" s="7"/>
      <c r="DR2729" s="7"/>
      <c r="DS2729" s="7"/>
      <c r="DT2729" s="7"/>
      <c r="DU2729" s="7"/>
      <c r="DV2729" s="7"/>
      <c r="DW2729" s="7"/>
      <c r="DX2729" s="7"/>
      <c r="DY2729" s="7"/>
      <c r="DZ2729" s="7"/>
      <c r="EA2729" s="7"/>
      <c r="EB2729" s="7"/>
      <c r="EC2729" s="7"/>
      <c r="ED2729" s="7"/>
      <c r="EE2729" s="7"/>
      <c r="EF2729" s="7"/>
      <c r="EG2729" s="7"/>
      <c r="EH2729" s="7"/>
      <c r="EI2729" s="7"/>
      <c r="EJ2729" s="7"/>
      <c r="EK2729" s="7"/>
      <c r="EL2729" s="7"/>
      <c r="EM2729" s="7"/>
      <c r="EN2729" s="7"/>
      <c r="EO2729" s="7"/>
      <c r="EP2729" s="7"/>
      <c r="EQ2729" s="7"/>
      <c r="ER2729" s="7"/>
      <c r="ES2729" s="7"/>
      <c r="ET2729" s="7"/>
      <c r="EU2729" s="7"/>
      <c r="EV2729" s="7"/>
      <c r="EW2729" s="7"/>
      <c r="EX2729" s="7"/>
      <c r="EY2729" s="7"/>
      <c r="EZ2729" s="7"/>
      <c r="FA2729" s="7"/>
      <c r="FB2729" s="7"/>
      <c r="FC2729" s="7"/>
      <c r="FD2729" s="7"/>
      <c r="FE2729" s="7"/>
      <c r="FF2729" s="7"/>
      <c r="FG2729" s="7"/>
      <c r="FH2729" s="7"/>
      <c r="FI2729" s="7"/>
      <c r="FJ2729" s="7"/>
      <c r="FK2729" s="7"/>
      <c r="FL2729" s="7"/>
      <c r="FM2729" s="7"/>
      <c r="FN2729" s="7"/>
      <c r="FO2729" s="7"/>
      <c r="FP2729" s="7"/>
      <c r="FQ2729" s="7"/>
      <c r="FR2729" s="7"/>
      <c r="FS2729" s="7"/>
      <c r="FT2729" s="7"/>
      <c r="FU2729" s="7"/>
      <c r="FV2729" s="7"/>
      <c r="FW2729" s="7"/>
      <c r="FX2729" s="7"/>
      <c r="FY2729" s="7"/>
      <c r="FZ2729" s="7"/>
      <c r="GA2729" s="7"/>
      <c r="GB2729" s="7"/>
      <c r="GC2729" s="7"/>
      <c r="GD2729" s="7"/>
      <c r="GE2729" s="7"/>
      <c r="GF2729" s="7"/>
      <c r="GG2729" s="7"/>
      <c r="GH2729" s="7"/>
      <c r="GI2729" s="7"/>
      <c r="GJ2729" s="7"/>
      <c r="GK2729" s="7"/>
      <c r="GL2729" s="7"/>
      <c r="GM2729" s="7"/>
      <c r="GN2729" s="7"/>
      <c r="GO2729" s="7"/>
      <c r="GP2729" s="7"/>
      <c r="GQ2729" s="7"/>
      <c r="GR2729" s="7"/>
      <c r="GS2729" s="7"/>
      <c r="GT2729" s="7"/>
      <c r="GU2729" s="7"/>
      <c r="GV2729" s="7"/>
      <c r="GW2729" s="7"/>
      <c r="GX2729" s="7"/>
      <c r="GY2729" s="7"/>
      <c r="GZ2729" s="7"/>
      <c r="HA2729" s="7"/>
      <c r="HB2729" s="7"/>
      <c r="HC2729" s="7"/>
      <c r="HD2729" s="7"/>
      <c r="HE2729" s="7"/>
      <c r="HF2729" s="7"/>
      <c r="HG2729" s="7"/>
      <c r="HH2729" s="7"/>
      <c r="HI2729" s="7"/>
      <c r="HJ2729" s="7"/>
      <c r="HK2729" s="7"/>
      <c r="HL2729" s="7"/>
      <c r="HM2729" s="7"/>
      <c r="HN2729" s="7"/>
      <c r="HO2729" s="7"/>
      <c r="HP2729" s="7"/>
      <c r="HQ2729" s="7"/>
    </row>
    <row r="2730" spans="1:226" s="1" customFormat="1" x14ac:dyDescent="0.35">
      <c r="A2730" s="251"/>
      <c r="B2730" s="251"/>
      <c r="C2730" s="223"/>
      <c r="D2730" s="274"/>
      <c r="E2730" s="274"/>
      <c r="F2730" s="293"/>
      <c r="G2730" s="251" t="s">
        <v>77</v>
      </c>
      <c r="H2730" s="167" t="s">
        <v>74</v>
      </c>
      <c r="I2730" s="158">
        <f>D2729*K2730*0.7</f>
        <v>5325575.92</v>
      </c>
      <c r="J2730" s="158">
        <f>I2730/D2729</f>
        <v>1506.4</v>
      </c>
      <c r="K2730" s="158">
        <v>2152</v>
      </c>
      <c r="L2730" s="7"/>
      <c r="M2730" s="7"/>
      <c r="N2730" s="7"/>
      <c r="O2730" s="7"/>
      <c r="P2730" s="7"/>
      <c r="Q2730" s="7"/>
      <c r="R2730" s="7"/>
      <c r="S2730" s="7"/>
      <c r="T2730" s="7"/>
      <c r="U2730" s="7"/>
      <c r="V2730" s="7"/>
      <c r="W2730" s="7"/>
      <c r="X2730" s="7"/>
      <c r="Y2730" s="7"/>
      <c r="Z2730" s="7"/>
      <c r="AA2730" s="7"/>
      <c r="AB2730" s="7"/>
      <c r="AC2730" s="7"/>
      <c r="AD2730" s="7"/>
      <c r="AE2730" s="7"/>
      <c r="AF2730" s="7"/>
      <c r="AG2730" s="7"/>
      <c r="AH2730" s="7"/>
      <c r="AI2730" s="7"/>
      <c r="AJ2730" s="7"/>
      <c r="AK2730" s="7"/>
      <c r="AL2730" s="7"/>
      <c r="AM2730" s="7"/>
      <c r="AN2730" s="7"/>
      <c r="AO2730" s="7"/>
      <c r="AP2730" s="7"/>
      <c r="AQ2730" s="7"/>
      <c r="AR2730" s="7"/>
      <c r="AS2730" s="7"/>
      <c r="AT2730" s="7"/>
      <c r="AU2730" s="7"/>
      <c r="AV2730" s="7"/>
      <c r="AW2730" s="7"/>
      <c r="AX2730" s="7"/>
      <c r="AY2730" s="7"/>
      <c r="AZ2730" s="7"/>
      <c r="BA2730" s="7"/>
      <c r="BB2730" s="7"/>
      <c r="BC2730" s="7"/>
      <c r="BD2730" s="7"/>
      <c r="BE2730" s="7"/>
      <c r="BF2730" s="7"/>
      <c r="BG2730" s="7"/>
      <c r="BH2730" s="7"/>
      <c r="BI2730" s="7"/>
      <c r="BJ2730" s="7"/>
      <c r="BK2730" s="7"/>
      <c r="BL2730" s="7"/>
      <c r="BM2730" s="7"/>
      <c r="BN2730" s="7"/>
      <c r="BO2730" s="7"/>
      <c r="BP2730" s="7"/>
      <c r="BQ2730" s="7"/>
      <c r="BR2730" s="7"/>
      <c r="BS2730" s="7"/>
      <c r="BT2730" s="7"/>
      <c r="BU2730" s="7"/>
      <c r="BV2730" s="7"/>
      <c r="BW2730" s="7"/>
      <c r="BX2730" s="7"/>
      <c r="BY2730" s="7"/>
      <c r="BZ2730" s="7"/>
      <c r="CA2730" s="7"/>
      <c r="CB2730" s="7"/>
      <c r="CC2730" s="7"/>
      <c r="CD2730" s="7"/>
      <c r="CE2730" s="7"/>
      <c r="CF2730" s="7"/>
      <c r="CG2730" s="7"/>
      <c r="CH2730" s="7"/>
      <c r="CI2730" s="7"/>
      <c r="CJ2730" s="7"/>
      <c r="CK2730" s="7"/>
      <c r="CL2730" s="7"/>
      <c r="CM2730" s="7"/>
      <c r="CN2730" s="7"/>
      <c r="CO2730" s="7"/>
      <c r="CP2730" s="7"/>
      <c r="CQ2730" s="7"/>
      <c r="CR2730" s="7"/>
      <c r="CS2730" s="7"/>
      <c r="CT2730" s="7"/>
      <c r="CU2730" s="7"/>
      <c r="CV2730" s="7"/>
      <c r="CW2730" s="7"/>
      <c r="CX2730" s="7"/>
      <c r="CY2730" s="7"/>
      <c r="CZ2730" s="7"/>
      <c r="DA2730" s="7"/>
      <c r="DB2730" s="7"/>
      <c r="DC2730" s="7"/>
      <c r="DD2730" s="7"/>
      <c r="DE2730" s="7"/>
      <c r="DF2730" s="7"/>
      <c r="DG2730" s="7"/>
      <c r="DH2730" s="7"/>
      <c r="DI2730" s="7"/>
      <c r="DJ2730" s="7"/>
      <c r="DK2730" s="7"/>
      <c r="DL2730" s="7"/>
      <c r="DM2730" s="7"/>
      <c r="DN2730" s="7"/>
      <c r="DO2730" s="7"/>
      <c r="DP2730" s="7"/>
      <c r="DQ2730" s="7"/>
      <c r="DR2730" s="7"/>
      <c r="DS2730" s="7"/>
      <c r="DT2730" s="7"/>
      <c r="DU2730" s="7"/>
      <c r="DV2730" s="7"/>
      <c r="DW2730" s="7"/>
      <c r="DX2730" s="7"/>
      <c r="DY2730" s="7"/>
      <c r="DZ2730" s="7"/>
      <c r="EA2730" s="7"/>
      <c r="EB2730" s="7"/>
      <c r="EC2730" s="7"/>
      <c r="ED2730" s="7"/>
      <c r="EE2730" s="7"/>
      <c r="EF2730" s="7"/>
      <c r="EG2730" s="7"/>
      <c r="EH2730" s="7"/>
      <c r="EI2730" s="7"/>
      <c r="EJ2730" s="7"/>
      <c r="EK2730" s="7"/>
      <c r="EL2730" s="7"/>
      <c r="EM2730" s="7"/>
      <c r="EN2730" s="7"/>
      <c r="EO2730" s="7"/>
      <c r="EP2730" s="7"/>
      <c r="EQ2730" s="7"/>
      <c r="ER2730" s="7"/>
      <c r="ES2730" s="7"/>
      <c r="ET2730" s="7"/>
      <c r="EU2730" s="7"/>
      <c r="EV2730" s="7"/>
      <c r="EW2730" s="7"/>
      <c r="EX2730" s="7"/>
      <c r="EY2730" s="7"/>
      <c r="EZ2730" s="7"/>
      <c r="FA2730" s="7"/>
      <c r="FB2730" s="7"/>
      <c r="FC2730" s="7"/>
      <c r="FD2730" s="7"/>
      <c r="FE2730" s="7"/>
      <c r="FF2730" s="7"/>
      <c r="FG2730" s="7"/>
      <c r="FH2730" s="7"/>
      <c r="FI2730" s="7"/>
      <c r="FJ2730" s="7"/>
      <c r="FK2730" s="7"/>
      <c r="FL2730" s="7"/>
      <c r="FM2730" s="7"/>
      <c r="FN2730" s="7"/>
      <c r="FO2730" s="7"/>
      <c r="FP2730" s="7"/>
      <c r="FQ2730" s="7"/>
      <c r="FR2730" s="7"/>
      <c r="FS2730" s="7"/>
      <c r="FT2730" s="7"/>
      <c r="FU2730" s="7"/>
      <c r="FV2730" s="7"/>
      <c r="FW2730" s="7"/>
      <c r="FX2730" s="7"/>
      <c r="FY2730" s="7"/>
      <c r="FZ2730" s="7"/>
      <c r="GA2730" s="7"/>
      <c r="GB2730" s="7"/>
      <c r="GC2730" s="7"/>
      <c r="GD2730" s="7"/>
      <c r="GE2730" s="7"/>
      <c r="GF2730" s="7"/>
      <c r="GG2730" s="7"/>
      <c r="GH2730" s="7"/>
      <c r="GI2730" s="7"/>
      <c r="GJ2730" s="7"/>
      <c r="GK2730" s="7"/>
      <c r="GL2730" s="7"/>
      <c r="GM2730" s="7"/>
      <c r="GN2730" s="7"/>
      <c r="GO2730" s="7"/>
      <c r="GP2730" s="7"/>
      <c r="GQ2730" s="7"/>
      <c r="GR2730" s="7"/>
      <c r="GS2730" s="7"/>
      <c r="GT2730" s="7"/>
      <c r="GU2730" s="7"/>
      <c r="GV2730" s="7"/>
      <c r="GW2730" s="7"/>
      <c r="GX2730" s="7"/>
      <c r="GY2730" s="7"/>
      <c r="GZ2730" s="7"/>
      <c r="HA2730" s="7"/>
      <c r="HB2730" s="7"/>
      <c r="HC2730" s="7"/>
      <c r="HD2730" s="7"/>
      <c r="HE2730" s="7"/>
      <c r="HF2730" s="7"/>
      <c r="HG2730" s="7"/>
      <c r="HH2730" s="7"/>
      <c r="HI2730" s="7"/>
      <c r="HJ2730" s="7"/>
      <c r="HK2730" s="7"/>
      <c r="HL2730" s="7"/>
      <c r="HM2730" s="7"/>
      <c r="HN2730" s="7"/>
      <c r="HO2730" s="7"/>
      <c r="HP2730" s="7"/>
      <c r="HQ2730" s="7"/>
    </row>
    <row r="2731" spans="1:226" s="1" customFormat="1" x14ac:dyDescent="0.35">
      <c r="A2731" s="251"/>
      <c r="B2731" s="251"/>
      <c r="C2731" s="223"/>
      <c r="D2731" s="274"/>
      <c r="E2731" s="274"/>
      <c r="F2731" s="293"/>
      <c r="G2731" s="251"/>
      <c r="H2731" s="167" t="s">
        <v>76</v>
      </c>
      <c r="I2731" s="158">
        <f>D2729*K2731*0.7</f>
        <v>113836.66</v>
      </c>
      <c r="J2731" s="158">
        <f>I2731/D2729</f>
        <v>32.200000000000003</v>
      </c>
      <c r="K2731" s="158">
        <v>46</v>
      </c>
      <c r="L2731" s="7"/>
      <c r="M2731" s="7"/>
      <c r="N2731" s="7"/>
      <c r="O2731" s="7"/>
      <c r="P2731" s="7"/>
      <c r="Q2731" s="7"/>
      <c r="R2731" s="7"/>
      <c r="S2731" s="7"/>
      <c r="T2731" s="7"/>
      <c r="U2731" s="7"/>
      <c r="V2731" s="7"/>
      <c r="W2731" s="7"/>
      <c r="X2731" s="7"/>
      <c r="Y2731" s="7"/>
      <c r="Z2731" s="7"/>
      <c r="AA2731" s="7"/>
      <c r="AB2731" s="7"/>
      <c r="AC2731" s="7"/>
      <c r="AD2731" s="7"/>
      <c r="AE2731" s="7"/>
      <c r="AF2731" s="7"/>
      <c r="AG2731" s="7"/>
      <c r="AH2731" s="7"/>
      <c r="AI2731" s="7"/>
      <c r="AJ2731" s="7"/>
      <c r="AK2731" s="7"/>
      <c r="AL2731" s="7"/>
      <c r="AM2731" s="7"/>
      <c r="AN2731" s="7"/>
      <c r="AO2731" s="7"/>
      <c r="AP2731" s="7"/>
      <c r="AQ2731" s="7"/>
      <c r="AR2731" s="7"/>
      <c r="AS2731" s="7"/>
      <c r="AT2731" s="7"/>
      <c r="AU2731" s="7"/>
      <c r="AV2731" s="7"/>
      <c r="AW2731" s="7"/>
      <c r="AX2731" s="7"/>
      <c r="AY2731" s="7"/>
      <c r="AZ2731" s="7"/>
      <c r="BA2731" s="7"/>
      <c r="BB2731" s="7"/>
      <c r="BC2731" s="7"/>
      <c r="BD2731" s="7"/>
      <c r="BE2731" s="7"/>
      <c r="BF2731" s="7"/>
      <c r="BG2731" s="7"/>
      <c r="BH2731" s="7"/>
      <c r="BI2731" s="7"/>
      <c r="BJ2731" s="7"/>
      <c r="BK2731" s="7"/>
      <c r="BL2731" s="7"/>
      <c r="BM2731" s="7"/>
      <c r="BN2731" s="7"/>
      <c r="BO2731" s="7"/>
      <c r="BP2731" s="7"/>
      <c r="BQ2731" s="7"/>
      <c r="BR2731" s="7"/>
      <c r="BS2731" s="7"/>
      <c r="BT2731" s="7"/>
      <c r="BU2731" s="7"/>
      <c r="BV2731" s="7"/>
      <c r="BW2731" s="7"/>
      <c r="BX2731" s="7"/>
      <c r="BY2731" s="7"/>
      <c r="BZ2731" s="7"/>
      <c r="CA2731" s="7"/>
      <c r="CB2731" s="7"/>
      <c r="CC2731" s="7"/>
      <c r="CD2731" s="7"/>
      <c r="CE2731" s="7"/>
      <c r="CF2731" s="7"/>
      <c r="CG2731" s="7"/>
      <c r="CH2731" s="7"/>
      <c r="CI2731" s="7"/>
      <c r="CJ2731" s="7"/>
      <c r="CK2731" s="7"/>
      <c r="CL2731" s="7"/>
      <c r="CM2731" s="7"/>
      <c r="CN2731" s="7"/>
      <c r="CO2731" s="7"/>
      <c r="CP2731" s="7"/>
      <c r="CQ2731" s="7"/>
      <c r="CR2731" s="7"/>
      <c r="CS2731" s="7"/>
      <c r="CT2731" s="7"/>
      <c r="CU2731" s="7"/>
      <c r="CV2731" s="7"/>
      <c r="CW2731" s="7"/>
      <c r="CX2731" s="7"/>
      <c r="CY2731" s="7"/>
      <c r="CZ2731" s="7"/>
      <c r="DA2731" s="7"/>
      <c r="DB2731" s="7"/>
      <c r="DC2731" s="7"/>
      <c r="DD2731" s="7"/>
      <c r="DE2731" s="7"/>
      <c r="DF2731" s="7"/>
      <c r="DG2731" s="7"/>
      <c r="DH2731" s="7"/>
      <c r="DI2731" s="7"/>
      <c r="DJ2731" s="7"/>
      <c r="DK2731" s="7"/>
      <c r="DL2731" s="7"/>
      <c r="DM2731" s="7"/>
      <c r="DN2731" s="7"/>
      <c r="DO2731" s="7"/>
      <c r="DP2731" s="7"/>
      <c r="DQ2731" s="7"/>
      <c r="DR2731" s="7"/>
      <c r="DS2731" s="7"/>
      <c r="DT2731" s="7"/>
      <c r="DU2731" s="7"/>
      <c r="DV2731" s="7"/>
      <c r="DW2731" s="7"/>
      <c r="DX2731" s="7"/>
      <c r="DY2731" s="7"/>
      <c r="DZ2731" s="7"/>
      <c r="EA2731" s="7"/>
      <c r="EB2731" s="7"/>
      <c r="EC2731" s="7"/>
      <c r="ED2731" s="7"/>
      <c r="EE2731" s="7"/>
      <c r="EF2731" s="7"/>
      <c r="EG2731" s="7"/>
      <c r="EH2731" s="7"/>
      <c r="EI2731" s="7"/>
      <c r="EJ2731" s="7"/>
      <c r="EK2731" s="7"/>
      <c r="EL2731" s="7"/>
      <c r="EM2731" s="7"/>
      <c r="EN2731" s="7"/>
      <c r="EO2731" s="7"/>
      <c r="EP2731" s="7"/>
      <c r="EQ2731" s="7"/>
      <c r="ER2731" s="7"/>
      <c r="ES2731" s="7"/>
      <c r="ET2731" s="7"/>
      <c r="EU2731" s="7"/>
      <c r="EV2731" s="7"/>
      <c r="EW2731" s="7"/>
      <c r="EX2731" s="7"/>
      <c r="EY2731" s="7"/>
      <c r="EZ2731" s="7"/>
      <c r="FA2731" s="7"/>
      <c r="FB2731" s="7"/>
      <c r="FC2731" s="7"/>
      <c r="FD2731" s="7"/>
      <c r="FE2731" s="7"/>
      <c r="FF2731" s="7"/>
      <c r="FG2731" s="7"/>
      <c r="FH2731" s="7"/>
      <c r="FI2731" s="7"/>
      <c r="FJ2731" s="7"/>
      <c r="FK2731" s="7"/>
      <c r="FL2731" s="7"/>
      <c r="FM2731" s="7"/>
      <c r="FN2731" s="7"/>
      <c r="FO2731" s="7"/>
      <c r="FP2731" s="7"/>
      <c r="FQ2731" s="7"/>
      <c r="FR2731" s="7"/>
      <c r="FS2731" s="7"/>
      <c r="FT2731" s="7"/>
      <c r="FU2731" s="7"/>
      <c r="FV2731" s="7"/>
      <c r="FW2731" s="7"/>
      <c r="FX2731" s="7"/>
      <c r="FY2731" s="7"/>
      <c r="FZ2731" s="7"/>
      <c r="GA2731" s="7"/>
      <c r="GB2731" s="7"/>
      <c r="GC2731" s="7"/>
      <c r="GD2731" s="7"/>
      <c r="GE2731" s="7"/>
      <c r="GF2731" s="7"/>
      <c r="GG2731" s="7"/>
      <c r="GH2731" s="7"/>
      <c r="GI2731" s="7"/>
      <c r="GJ2731" s="7"/>
      <c r="GK2731" s="7"/>
      <c r="GL2731" s="7"/>
      <c r="GM2731" s="7"/>
      <c r="GN2731" s="7"/>
      <c r="GO2731" s="7"/>
      <c r="GP2731" s="7"/>
      <c r="GQ2731" s="7"/>
      <c r="GR2731" s="7"/>
      <c r="GS2731" s="7"/>
      <c r="GT2731" s="7"/>
      <c r="GU2731" s="7"/>
      <c r="GV2731" s="7"/>
      <c r="GW2731" s="7"/>
      <c r="GX2731" s="7"/>
      <c r="GY2731" s="7"/>
      <c r="GZ2731" s="7"/>
      <c r="HA2731" s="7"/>
      <c r="HB2731" s="7"/>
      <c r="HC2731" s="7"/>
      <c r="HD2731" s="7"/>
      <c r="HE2731" s="7"/>
      <c r="HF2731" s="7"/>
      <c r="HG2731" s="7"/>
      <c r="HH2731" s="7"/>
      <c r="HI2731" s="7"/>
      <c r="HJ2731" s="7"/>
      <c r="HK2731" s="7"/>
      <c r="HL2731" s="7"/>
      <c r="HM2731" s="7"/>
      <c r="HN2731" s="7"/>
      <c r="HO2731" s="7"/>
      <c r="HP2731" s="7"/>
      <c r="HQ2731" s="7"/>
    </row>
    <row r="2732" spans="1:226" s="1" customFormat="1" x14ac:dyDescent="0.35">
      <c r="A2732" s="251"/>
      <c r="B2732" s="251"/>
      <c r="C2732" s="223"/>
      <c r="D2732" s="274"/>
      <c r="E2732" s="274"/>
      <c r="F2732" s="293"/>
      <c r="G2732" s="251" t="s">
        <v>78</v>
      </c>
      <c r="H2732" s="167" t="s">
        <v>74</v>
      </c>
      <c r="I2732" s="158">
        <f>D2729*K2732*0.7</f>
        <v>1311596.3</v>
      </c>
      <c r="J2732" s="158">
        <f>I2732/D2729</f>
        <v>371</v>
      </c>
      <c r="K2732" s="158">
        <v>530</v>
      </c>
      <c r="L2732" s="7"/>
      <c r="M2732" s="7"/>
      <c r="N2732" s="7"/>
      <c r="O2732" s="7"/>
      <c r="P2732" s="7"/>
      <c r="Q2732" s="7"/>
      <c r="R2732" s="7"/>
      <c r="S2732" s="7"/>
      <c r="T2732" s="7"/>
      <c r="U2732" s="7"/>
      <c r="V2732" s="7"/>
      <c r="W2732" s="7"/>
      <c r="X2732" s="7"/>
      <c r="Y2732" s="7"/>
      <c r="Z2732" s="7"/>
      <c r="AA2732" s="7"/>
      <c r="AB2732" s="7"/>
      <c r="AC2732" s="7"/>
      <c r="AD2732" s="7"/>
      <c r="AE2732" s="7"/>
      <c r="AF2732" s="7"/>
      <c r="AG2732" s="7"/>
      <c r="AH2732" s="7"/>
      <c r="AI2732" s="7"/>
      <c r="AJ2732" s="7"/>
      <c r="AK2732" s="7"/>
      <c r="AL2732" s="7"/>
      <c r="AM2732" s="7"/>
      <c r="AN2732" s="7"/>
      <c r="AO2732" s="7"/>
      <c r="AP2732" s="7"/>
      <c r="AQ2732" s="7"/>
      <c r="AR2732" s="7"/>
      <c r="AS2732" s="7"/>
      <c r="AT2732" s="7"/>
      <c r="AU2732" s="7"/>
      <c r="AV2732" s="7"/>
      <c r="AW2732" s="7"/>
      <c r="AX2732" s="7"/>
      <c r="AY2732" s="7"/>
      <c r="AZ2732" s="7"/>
      <c r="BA2732" s="7"/>
      <c r="BB2732" s="7"/>
      <c r="BC2732" s="7"/>
      <c r="BD2732" s="7"/>
      <c r="BE2732" s="7"/>
      <c r="BF2732" s="7"/>
      <c r="BG2732" s="7"/>
      <c r="BH2732" s="7"/>
      <c r="BI2732" s="7"/>
      <c r="BJ2732" s="7"/>
      <c r="BK2732" s="7"/>
      <c r="BL2732" s="7"/>
      <c r="BM2732" s="7"/>
      <c r="BN2732" s="7"/>
      <c r="BO2732" s="7"/>
      <c r="BP2732" s="7"/>
      <c r="BQ2732" s="7"/>
      <c r="BR2732" s="7"/>
      <c r="BS2732" s="7"/>
      <c r="BT2732" s="7"/>
      <c r="BU2732" s="7"/>
      <c r="BV2732" s="7"/>
      <c r="BW2732" s="7"/>
      <c r="BX2732" s="7"/>
      <c r="BY2732" s="7"/>
      <c r="BZ2732" s="7"/>
      <c r="CA2732" s="7"/>
      <c r="CB2732" s="7"/>
      <c r="CC2732" s="7"/>
      <c r="CD2732" s="7"/>
      <c r="CE2732" s="7"/>
      <c r="CF2732" s="7"/>
      <c r="CG2732" s="7"/>
      <c r="CH2732" s="7"/>
      <c r="CI2732" s="7"/>
      <c r="CJ2732" s="7"/>
      <c r="CK2732" s="7"/>
      <c r="CL2732" s="7"/>
      <c r="CM2732" s="7"/>
      <c r="CN2732" s="7"/>
      <c r="CO2732" s="7"/>
      <c r="CP2732" s="7"/>
      <c r="CQ2732" s="7"/>
      <c r="CR2732" s="7"/>
      <c r="CS2732" s="7"/>
      <c r="CT2732" s="7"/>
      <c r="CU2732" s="7"/>
      <c r="CV2732" s="7"/>
      <c r="CW2732" s="7"/>
      <c r="CX2732" s="7"/>
      <c r="CY2732" s="7"/>
      <c r="CZ2732" s="7"/>
      <c r="DA2732" s="7"/>
      <c r="DB2732" s="7"/>
      <c r="DC2732" s="7"/>
      <c r="DD2732" s="7"/>
      <c r="DE2732" s="7"/>
      <c r="DF2732" s="7"/>
      <c r="DG2732" s="7"/>
      <c r="DH2732" s="7"/>
      <c r="DI2732" s="7"/>
      <c r="DJ2732" s="7"/>
      <c r="DK2732" s="7"/>
      <c r="DL2732" s="7"/>
      <c r="DM2732" s="7"/>
      <c r="DN2732" s="7"/>
      <c r="DO2732" s="7"/>
      <c r="DP2732" s="7"/>
      <c r="DQ2732" s="7"/>
      <c r="DR2732" s="7"/>
      <c r="DS2732" s="7"/>
      <c r="DT2732" s="7"/>
      <c r="DU2732" s="7"/>
      <c r="DV2732" s="7"/>
      <c r="DW2732" s="7"/>
      <c r="DX2732" s="7"/>
      <c r="DY2732" s="7"/>
      <c r="DZ2732" s="7"/>
      <c r="EA2732" s="7"/>
      <c r="EB2732" s="7"/>
      <c r="EC2732" s="7"/>
      <c r="ED2732" s="7"/>
      <c r="EE2732" s="7"/>
      <c r="EF2732" s="7"/>
      <c r="EG2732" s="7"/>
      <c r="EH2732" s="7"/>
      <c r="EI2732" s="7"/>
      <c r="EJ2732" s="7"/>
      <c r="EK2732" s="7"/>
      <c r="EL2732" s="7"/>
      <c r="EM2732" s="7"/>
      <c r="EN2732" s="7"/>
      <c r="EO2732" s="7"/>
      <c r="EP2732" s="7"/>
      <c r="EQ2732" s="7"/>
      <c r="ER2732" s="7"/>
      <c r="ES2732" s="7"/>
      <c r="ET2732" s="7"/>
      <c r="EU2732" s="7"/>
      <c r="EV2732" s="7"/>
      <c r="EW2732" s="7"/>
      <c r="EX2732" s="7"/>
      <c r="EY2732" s="7"/>
      <c r="EZ2732" s="7"/>
      <c r="FA2732" s="7"/>
      <c r="FB2732" s="7"/>
      <c r="FC2732" s="7"/>
      <c r="FD2732" s="7"/>
      <c r="FE2732" s="7"/>
      <c r="FF2732" s="7"/>
      <c r="FG2732" s="7"/>
      <c r="FH2732" s="7"/>
      <c r="FI2732" s="7"/>
      <c r="FJ2732" s="7"/>
      <c r="FK2732" s="7"/>
      <c r="FL2732" s="7"/>
      <c r="FM2732" s="7"/>
      <c r="FN2732" s="7"/>
      <c r="FO2732" s="7"/>
      <c r="FP2732" s="7"/>
      <c r="FQ2732" s="7"/>
      <c r="FR2732" s="7"/>
      <c r="FS2732" s="7"/>
      <c r="FT2732" s="7"/>
      <c r="FU2732" s="7"/>
      <c r="FV2732" s="7"/>
      <c r="FW2732" s="7"/>
      <c r="FX2732" s="7"/>
      <c r="FY2732" s="7"/>
      <c r="FZ2732" s="7"/>
      <c r="GA2732" s="7"/>
      <c r="GB2732" s="7"/>
      <c r="GC2732" s="7"/>
      <c r="GD2732" s="7"/>
      <c r="GE2732" s="7"/>
      <c r="GF2732" s="7"/>
      <c r="GG2732" s="7"/>
      <c r="GH2732" s="7"/>
      <c r="GI2732" s="7"/>
      <c r="GJ2732" s="7"/>
      <c r="GK2732" s="7"/>
      <c r="GL2732" s="7"/>
      <c r="GM2732" s="7"/>
      <c r="GN2732" s="7"/>
      <c r="GO2732" s="7"/>
      <c r="GP2732" s="7"/>
      <c r="GQ2732" s="7"/>
      <c r="GR2732" s="7"/>
      <c r="GS2732" s="7"/>
      <c r="GT2732" s="7"/>
      <c r="GU2732" s="7"/>
      <c r="GV2732" s="7"/>
      <c r="GW2732" s="7"/>
      <c r="GX2732" s="7"/>
      <c r="GY2732" s="7"/>
      <c r="GZ2732" s="7"/>
      <c r="HA2732" s="7"/>
      <c r="HB2732" s="7"/>
      <c r="HC2732" s="7"/>
      <c r="HD2732" s="7"/>
      <c r="HE2732" s="7"/>
      <c r="HF2732" s="7"/>
      <c r="HG2732" s="7"/>
      <c r="HH2732" s="7"/>
      <c r="HI2732" s="7"/>
      <c r="HJ2732" s="7"/>
      <c r="HK2732" s="7"/>
      <c r="HL2732" s="7"/>
      <c r="HM2732" s="7"/>
      <c r="HN2732" s="7"/>
      <c r="HO2732" s="7"/>
      <c r="HP2732" s="7"/>
      <c r="HQ2732" s="7"/>
    </row>
    <row r="2733" spans="1:226" s="1" customFormat="1" x14ac:dyDescent="0.35">
      <c r="A2733" s="251"/>
      <c r="B2733" s="251"/>
      <c r="C2733" s="223"/>
      <c r="D2733" s="274"/>
      <c r="E2733" s="274"/>
      <c r="F2733" s="293"/>
      <c r="G2733" s="251"/>
      <c r="H2733" s="167" t="s">
        <v>76</v>
      </c>
      <c r="I2733" s="158">
        <f>D2729*K2733*0.7</f>
        <v>27221.81</v>
      </c>
      <c r="J2733" s="158">
        <f>I2733/D2729</f>
        <v>7.7</v>
      </c>
      <c r="K2733" s="158">
        <v>11</v>
      </c>
      <c r="L2733" s="7"/>
      <c r="M2733" s="7"/>
      <c r="N2733" s="7"/>
      <c r="O2733" s="7"/>
      <c r="P2733" s="7"/>
      <c r="Q2733" s="7"/>
      <c r="R2733" s="7"/>
      <c r="S2733" s="7"/>
      <c r="T2733" s="7"/>
      <c r="U2733" s="7"/>
      <c r="V2733" s="7"/>
      <c r="W2733" s="7"/>
      <c r="X2733" s="7"/>
      <c r="Y2733" s="7"/>
      <c r="Z2733" s="7"/>
      <c r="AA2733" s="7"/>
      <c r="AB2733" s="7"/>
      <c r="AC2733" s="7"/>
      <c r="AD2733" s="7"/>
      <c r="AE2733" s="7"/>
      <c r="AF2733" s="7"/>
      <c r="AG2733" s="7"/>
      <c r="AH2733" s="7"/>
      <c r="AI2733" s="7"/>
      <c r="AJ2733" s="7"/>
      <c r="AK2733" s="7"/>
      <c r="AL2733" s="7"/>
      <c r="AM2733" s="7"/>
      <c r="AN2733" s="7"/>
      <c r="AO2733" s="7"/>
      <c r="AP2733" s="7"/>
      <c r="AQ2733" s="7"/>
      <c r="AR2733" s="7"/>
      <c r="AS2733" s="7"/>
      <c r="AT2733" s="7"/>
      <c r="AU2733" s="7"/>
      <c r="AV2733" s="7"/>
      <c r="AW2733" s="7"/>
      <c r="AX2733" s="7"/>
      <c r="AY2733" s="7"/>
      <c r="AZ2733" s="7"/>
      <c r="BA2733" s="7"/>
      <c r="BB2733" s="7"/>
      <c r="BC2733" s="7"/>
      <c r="BD2733" s="7"/>
      <c r="BE2733" s="7"/>
      <c r="BF2733" s="7"/>
      <c r="BG2733" s="7"/>
      <c r="BH2733" s="7"/>
      <c r="BI2733" s="7"/>
      <c r="BJ2733" s="7"/>
      <c r="BK2733" s="7"/>
      <c r="BL2733" s="7"/>
      <c r="BM2733" s="7"/>
      <c r="BN2733" s="7"/>
      <c r="BO2733" s="7"/>
      <c r="BP2733" s="7"/>
      <c r="BQ2733" s="7"/>
      <c r="BR2733" s="7"/>
      <c r="BS2733" s="7"/>
      <c r="BT2733" s="7"/>
      <c r="BU2733" s="7"/>
      <c r="BV2733" s="7"/>
      <c r="BW2733" s="7"/>
      <c r="BX2733" s="7"/>
      <c r="BY2733" s="7"/>
      <c r="BZ2733" s="7"/>
      <c r="CA2733" s="7"/>
      <c r="CB2733" s="7"/>
      <c r="CC2733" s="7"/>
      <c r="CD2733" s="7"/>
      <c r="CE2733" s="7"/>
      <c r="CF2733" s="7"/>
      <c r="CG2733" s="7"/>
      <c r="CH2733" s="7"/>
      <c r="CI2733" s="7"/>
      <c r="CJ2733" s="7"/>
      <c r="CK2733" s="7"/>
      <c r="CL2733" s="7"/>
      <c r="CM2733" s="7"/>
      <c r="CN2733" s="7"/>
      <c r="CO2733" s="7"/>
      <c r="CP2733" s="7"/>
      <c r="CQ2733" s="7"/>
      <c r="CR2733" s="7"/>
      <c r="CS2733" s="7"/>
      <c r="CT2733" s="7"/>
      <c r="CU2733" s="7"/>
      <c r="CV2733" s="7"/>
      <c r="CW2733" s="7"/>
      <c r="CX2733" s="7"/>
      <c r="CY2733" s="7"/>
      <c r="CZ2733" s="7"/>
      <c r="DA2733" s="7"/>
      <c r="DB2733" s="7"/>
      <c r="DC2733" s="7"/>
      <c r="DD2733" s="7"/>
      <c r="DE2733" s="7"/>
      <c r="DF2733" s="7"/>
      <c r="DG2733" s="7"/>
      <c r="DH2733" s="7"/>
      <c r="DI2733" s="7"/>
      <c r="DJ2733" s="7"/>
      <c r="DK2733" s="7"/>
      <c r="DL2733" s="7"/>
      <c r="DM2733" s="7"/>
      <c r="DN2733" s="7"/>
      <c r="DO2733" s="7"/>
      <c r="DP2733" s="7"/>
      <c r="DQ2733" s="7"/>
      <c r="DR2733" s="7"/>
      <c r="DS2733" s="7"/>
      <c r="DT2733" s="7"/>
      <c r="DU2733" s="7"/>
      <c r="DV2733" s="7"/>
      <c r="DW2733" s="7"/>
      <c r="DX2733" s="7"/>
      <c r="DY2733" s="7"/>
      <c r="DZ2733" s="7"/>
      <c r="EA2733" s="7"/>
      <c r="EB2733" s="7"/>
      <c r="EC2733" s="7"/>
      <c r="ED2733" s="7"/>
      <c r="EE2733" s="7"/>
      <c r="EF2733" s="7"/>
      <c r="EG2733" s="7"/>
      <c r="EH2733" s="7"/>
      <c r="EI2733" s="7"/>
      <c r="EJ2733" s="7"/>
      <c r="EK2733" s="7"/>
      <c r="EL2733" s="7"/>
      <c r="EM2733" s="7"/>
      <c r="EN2733" s="7"/>
      <c r="EO2733" s="7"/>
      <c r="EP2733" s="7"/>
      <c r="EQ2733" s="7"/>
      <c r="ER2733" s="7"/>
      <c r="ES2733" s="7"/>
      <c r="ET2733" s="7"/>
      <c r="EU2733" s="7"/>
      <c r="EV2733" s="7"/>
      <c r="EW2733" s="7"/>
      <c r="EX2733" s="7"/>
      <c r="EY2733" s="7"/>
      <c r="EZ2733" s="7"/>
      <c r="FA2733" s="7"/>
      <c r="FB2733" s="7"/>
      <c r="FC2733" s="7"/>
      <c r="FD2733" s="7"/>
      <c r="FE2733" s="7"/>
      <c r="FF2733" s="7"/>
      <c r="FG2733" s="7"/>
      <c r="FH2733" s="7"/>
      <c r="FI2733" s="7"/>
      <c r="FJ2733" s="7"/>
      <c r="FK2733" s="7"/>
      <c r="FL2733" s="7"/>
      <c r="FM2733" s="7"/>
      <c r="FN2733" s="7"/>
      <c r="FO2733" s="7"/>
      <c r="FP2733" s="7"/>
      <c r="FQ2733" s="7"/>
      <c r="FR2733" s="7"/>
      <c r="FS2733" s="7"/>
      <c r="FT2733" s="7"/>
      <c r="FU2733" s="7"/>
      <c r="FV2733" s="7"/>
      <c r="FW2733" s="7"/>
      <c r="FX2733" s="7"/>
      <c r="FY2733" s="7"/>
      <c r="FZ2733" s="7"/>
      <c r="GA2733" s="7"/>
      <c r="GB2733" s="7"/>
      <c r="GC2733" s="7"/>
      <c r="GD2733" s="7"/>
      <c r="GE2733" s="7"/>
      <c r="GF2733" s="7"/>
      <c r="GG2733" s="7"/>
      <c r="GH2733" s="7"/>
      <c r="GI2733" s="7"/>
      <c r="GJ2733" s="7"/>
      <c r="GK2733" s="7"/>
      <c r="GL2733" s="7"/>
      <c r="GM2733" s="7"/>
      <c r="GN2733" s="7"/>
      <c r="GO2733" s="7"/>
      <c r="GP2733" s="7"/>
      <c r="GQ2733" s="7"/>
      <c r="GR2733" s="7"/>
      <c r="GS2733" s="7"/>
      <c r="GT2733" s="7"/>
      <c r="GU2733" s="7"/>
      <c r="GV2733" s="7"/>
      <c r="GW2733" s="7"/>
      <c r="GX2733" s="7"/>
      <c r="GY2733" s="7"/>
      <c r="GZ2733" s="7"/>
      <c r="HA2733" s="7"/>
      <c r="HB2733" s="7"/>
      <c r="HC2733" s="7"/>
      <c r="HD2733" s="7"/>
      <c r="HE2733" s="7"/>
      <c r="HF2733" s="7"/>
      <c r="HG2733" s="7"/>
      <c r="HH2733" s="7"/>
      <c r="HI2733" s="7"/>
      <c r="HJ2733" s="7"/>
      <c r="HK2733" s="7"/>
      <c r="HL2733" s="7"/>
      <c r="HM2733" s="7"/>
      <c r="HN2733" s="7"/>
      <c r="HO2733" s="7"/>
      <c r="HP2733" s="7"/>
      <c r="HQ2733" s="7"/>
    </row>
    <row r="2734" spans="1:226" s="1" customFormat="1" x14ac:dyDescent="0.35">
      <c r="A2734" s="251"/>
      <c r="B2734" s="251"/>
      <c r="C2734" s="223"/>
      <c r="D2734" s="274"/>
      <c r="E2734" s="274"/>
      <c r="F2734" s="293"/>
      <c r="G2734" s="251" t="s">
        <v>79</v>
      </c>
      <c r="H2734" s="167" t="s">
        <v>74</v>
      </c>
      <c r="I2734" s="158">
        <f>D2729*K2734*0.7</f>
        <v>1286849.2</v>
      </c>
      <c r="J2734" s="158">
        <f>I2734/D2729</f>
        <v>364</v>
      </c>
      <c r="K2734" s="158">
        <v>520</v>
      </c>
      <c r="L2734" s="7"/>
      <c r="M2734" s="7"/>
      <c r="N2734" s="7"/>
      <c r="O2734" s="7"/>
      <c r="P2734" s="7"/>
      <c r="Q2734" s="7"/>
      <c r="R2734" s="7"/>
      <c r="S2734" s="7"/>
      <c r="T2734" s="7"/>
      <c r="U2734" s="7"/>
      <c r="V2734" s="7"/>
      <c r="W2734" s="7"/>
      <c r="X2734" s="7"/>
      <c r="Y2734" s="7"/>
      <c r="Z2734" s="7"/>
      <c r="AA2734" s="7"/>
      <c r="AB2734" s="7"/>
      <c r="AC2734" s="7"/>
      <c r="AD2734" s="7"/>
      <c r="AE2734" s="7"/>
      <c r="AF2734" s="7"/>
      <c r="AG2734" s="7"/>
      <c r="AH2734" s="7"/>
      <c r="AI2734" s="7"/>
      <c r="AJ2734" s="7"/>
      <c r="AK2734" s="7"/>
      <c r="AL2734" s="7"/>
      <c r="AM2734" s="7"/>
      <c r="AN2734" s="7"/>
      <c r="AO2734" s="7"/>
      <c r="AP2734" s="7"/>
      <c r="AQ2734" s="7"/>
      <c r="AR2734" s="7"/>
      <c r="AS2734" s="7"/>
      <c r="AT2734" s="7"/>
      <c r="AU2734" s="7"/>
      <c r="AV2734" s="7"/>
      <c r="AW2734" s="7"/>
      <c r="AX2734" s="7"/>
      <c r="AY2734" s="7"/>
      <c r="AZ2734" s="7"/>
      <c r="BA2734" s="7"/>
      <c r="BB2734" s="7"/>
      <c r="BC2734" s="7"/>
      <c r="BD2734" s="7"/>
      <c r="BE2734" s="7"/>
      <c r="BF2734" s="7"/>
      <c r="BG2734" s="7"/>
      <c r="BH2734" s="7"/>
      <c r="BI2734" s="7"/>
      <c r="BJ2734" s="7"/>
      <c r="BK2734" s="7"/>
      <c r="BL2734" s="7"/>
      <c r="BM2734" s="7"/>
      <c r="BN2734" s="7"/>
      <c r="BO2734" s="7"/>
      <c r="BP2734" s="7"/>
      <c r="BQ2734" s="7"/>
      <c r="BR2734" s="7"/>
      <c r="BS2734" s="7"/>
      <c r="BT2734" s="7"/>
      <c r="BU2734" s="7"/>
      <c r="BV2734" s="7"/>
      <c r="BW2734" s="7"/>
      <c r="BX2734" s="7"/>
      <c r="BY2734" s="7"/>
      <c r="BZ2734" s="7"/>
      <c r="CA2734" s="7"/>
      <c r="CB2734" s="7"/>
      <c r="CC2734" s="7"/>
      <c r="CD2734" s="7"/>
      <c r="CE2734" s="7"/>
      <c r="CF2734" s="7"/>
      <c r="CG2734" s="7"/>
      <c r="CH2734" s="7"/>
      <c r="CI2734" s="7"/>
      <c r="CJ2734" s="7"/>
      <c r="CK2734" s="7"/>
      <c r="CL2734" s="7"/>
      <c r="CM2734" s="7"/>
      <c r="CN2734" s="7"/>
      <c r="CO2734" s="7"/>
      <c r="CP2734" s="7"/>
      <c r="CQ2734" s="7"/>
      <c r="CR2734" s="7"/>
      <c r="CS2734" s="7"/>
      <c r="CT2734" s="7"/>
      <c r="CU2734" s="7"/>
      <c r="CV2734" s="7"/>
      <c r="CW2734" s="7"/>
      <c r="CX2734" s="7"/>
      <c r="CY2734" s="7"/>
      <c r="CZ2734" s="7"/>
      <c r="DA2734" s="7"/>
      <c r="DB2734" s="7"/>
      <c r="DC2734" s="7"/>
      <c r="DD2734" s="7"/>
      <c r="DE2734" s="7"/>
      <c r="DF2734" s="7"/>
      <c r="DG2734" s="7"/>
      <c r="DH2734" s="7"/>
      <c r="DI2734" s="7"/>
      <c r="DJ2734" s="7"/>
      <c r="DK2734" s="7"/>
      <c r="DL2734" s="7"/>
      <c r="DM2734" s="7"/>
      <c r="DN2734" s="7"/>
      <c r="DO2734" s="7"/>
      <c r="DP2734" s="7"/>
      <c r="DQ2734" s="7"/>
      <c r="DR2734" s="7"/>
      <c r="DS2734" s="7"/>
      <c r="DT2734" s="7"/>
      <c r="DU2734" s="7"/>
      <c r="DV2734" s="7"/>
      <c r="DW2734" s="7"/>
      <c r="DX2734" s="7"/>
      <c r="DY2734" s="7"/>
      <c r="DZ2734" s="7"/>
      <c r="EA2734" s="7"/>
      <c r="EB2734" s="7"/>
      <c r="EC2734" s="7"/>
      <c r="ED2734" s="7"/>
      <c r="EE2734" s="7"/>
      <c r="EF2734" s="7"/>
      <c r="EG2734" s="7"/>
      <c r="EH2734" s="7"/>
      <c r="EI2734" s="7"/>
      <c r="EJ2734" s="7"/>
      <c r="EK2734" s="7"/>
      <c r="EL2734" s="7"/>
      <c r="EM2734" s="7"/>
      <c r="EN2734" s="7"/>
      <c r="EO2734" s="7"/>
      <c r="EP2734" s="7"/>
      <c r="EQ2734" s="7"/>
      <c r="ER2734" s="7"/>
      <c r="ES2734" s="7"/>
      <c r="ET2734" s="7"/>
      <c r="EU2734" s="7"/>
      <c r="EV2734" s="7"/>
      <c r="EW2734" s="7"/>
      <c r="EX2734" s="7"/>
      <c r="EY2734" s="7"/>
      <c r="EZ2734" s="7"/>
      <c r="FA2734" s="7"/>
      <c r="FB2734" s="7"/>
      <c r="FC2734" s="7"/>
      <c r="FD2734" s="7"/>
      <c r="FE2734" s="7"/>
      <c r="FF2734" s="7"/>
      <c r="FG2734" s="7"/>
      <c r="FH2734" s="7"/>
      <c r="FI2734" s="7"/>
      <c r="FJ2734" s="7"/>
      <c r="FK2734" s="7"/>
      <c r="FL2734" s="7"/>
      <c r="FM2734" s="7"/>
      <c r="FN2734" s="7"/>
      <c r="FO2734" s="7"/>
      <c r="FP2734" s="7"/>
      <c r="FQ2734" s="7"/>
      <c r="FR2734" s="7"/>
      <c r="FS2734" s="7"/>
      <c r="FT2734" s="7"/>
      <c r="FU2734" s="7"/>
      <c r="FV2734" s="7"/>
      <c r="FW2734" s="7"/>
      <c r="FX2734" s="7"/>
      <c r="FY2734" s="7"/>
      <c r="FZ2734" s="7"/>
      <c r="GA2734" s="7"/>
      <c r="GB2734" s="7"/>
      <c r="GC2734" s="7"/>
      <c r="GD2734" s="7"/>
      <c r="GE2734" s="7"/>
      <c r="GF2734" s="7"/>
      <c r="GG2734" s="7"/>
      <c r="GH2734" s="7"/>
      <c r="GI2734" s="7"/>
      <c r="GJ2734" s="7"/>
      <c r="GK2734" s="7"/>
      <c r="GL2734" s="7"/>
      <c r="GM2734" s="7"/>
      <c r="GN2734" s="7"/>
      <c r="GO2734" s="7"/>
      <c r="GP2734" s="7"/>
      <c r="GQ2734" s="7"/>
      <c r="GR2734" s="7"/>
      <c r="GS2734" s="7"/>
      <c r="GT2734" s="7"/>
      <c r="GU2734" s="7"/>
      <c r="GV2734" s="7"/>
      <c r="GW2734" s="7"/>
      <c r="GX2734" s="7"/>
      <c r="GY2734" s="7"/>
      <c r="GZ2734" s="7"/>
      <c r="HA2734" s="7"/>
      <c r="HB2734" s="7"/>
      <c r="HC2734" s="7"/>
      <c r="HD2734" s="7"/>
      <c r="HE2734" s="7"/>
      <c r="HF2734" s="7"/>
      <c r="HG2734" s="7"/>
      <c r="HH2734" s="7"/>
      <c r="HI2734" s="7"/>
      <c r="HJ2734" s="7"/>
      <c r="HK2734" s="7"/>
      <c r="HL2734" s="7"/>
      <c r="HM2734" s="7"/>
      <c r="HN2734" s="7"/>
      <c r="HO2734" s="7"/>
      <c r="HP2734" s="7"/>
      <c r="HQ2734" s="7"/>
    </row>
    <row r="2735" spans="1:226" s="1" customFormat="1" x14ac:dyDescent="0.35">
      <c r="A2735" s="251"/>
      <c r="B2735" s="251"/>
      <c r="C2735" s="223"/>
      <c r="D2735" s="274"/>
      <c r="E2735" s="274"/>
      <c r="F2735" s="293"/>
      <c r="G2735" s="251"/>
      <c r="H2735" s="167" t="s">
        <v>76</v>
      </c>
      <c r="I2735" s="158">
        <f>D2729*K2735*0.7</f>
        <v>27221.81</v>
      </c>
      <c r="J2735" s="158">
        <f>I2735/D2729</f>
        <v>7.7</v>
      </c>
      <c r="K2735" s="158">
        <v>11</v>
      </c>
      <c r="L2735" s="7"/>
      <c r="M2735" s="7"/>
      <c r="N2735" s="7"/>
      <c r="O2735" s="7"/>
      <c r="P2735" s="7"/>
      <c r="Q2735" s="7"/>
      <c r="R2735" s="7"/>
      <c r="S2735" s="7"/>
      <c r="T2735" s="7"/>
      <c r="U2735" s="7"/>
      <c r="V2735" s="7"/>
      <c r="W2735" s="7"/>
      <c r="X2735" s="7"/>
      <c r="Y2735" s="7"/>
      <c r="Z2735" s="7"/>
      <c r="AA2735" s="7"/>
      <c r="AB2735" s="7"/>
      <c r="AC2735" s="7"/>
      <c r="AD2735" s="7"/>
      <c r="AE2735" s="7"/>
      <c r="AF2735" s="7"/>
      <c r="AG2735" s="7"/>
      <c r="AH2735" s="7"/>
      <c r="AI2735" s="7"/>
      <c r="AJ2735" s="7"/>
      <c r="AK2735" s="7"/>
      <c r="AL2735" s="7"/>
      <c r="AM2735" s="7"/>
      <c r="AN2735" s="7"/>
      <c r="AO2735" s="7"/>
      <c r="AP2735" s="7"/>
      <c r="AQ2735" s="7"/>
      <c r="AR2735" s="7"/>
      <c r="AS2735" s="7"/>
      <c r="AT2735" s="7"/>
      <c r="AU2735" s="7"/>
      <c r="AV2735" s="7"/>
      <c r="AW2735" s="7"/>
      <c r="AX2735" s="7"/>
      <c r="AY2735" s="7"/>
      <c r="AZ2735" s="7"/>
      <c r="BA2735" s="7"/>
      <c r="BB2735" s="7"/>
      <c r="BC2735" s="7"/>
      <c r="BD2735" s="7"/>
      <c r="BE2735" s="7"/>
      <c r="BF2735" s="7"/>
      <c r="BG2735" s="7"/>
      <c r="BH2735" s="7"/>
      <c r="BI2735" s="7"/>
      <c r="BJ2735" s="7"/>
      <c r="BK2735" s="7"/>
      <c r="BL2735" s="7"/>
      <c r="BM2735" s="7"/>
      <c r="BN2735" s="7"/>
      <c r="BO2735" s="7"/>
      <c r="BP2735" s="7"/>
      <c r="BQ2735" s="7"/>
      <c r="BR2735" s="7"/>
      <c r="BS2735" s="7"/>
      <c r="BT2735" s="7"/>
      <c r="BU2735" s="7"/>
      <c r="BV2735" s="7"/>
      <c r="BW2735" s="7"/>
      <c r="BX2735" s="7"/>
      <c r="BY2735" s="7"/>
      <c r="BZ2735" s="7"/>
      <c r="CA2735" s="7"/>
      <c r="CB2735" s="7"/>
      <c r="CC2735" s="7"/>
      <c r="CD2735" s="7"/>
      <c r="CE2735" s="7"/>
      <c r="CF2735" s="7"/>
      <c r="CG2735" s="7"/>
      <c r="CH2735" s="7"/>
      <c r="CI2735" s="7"/>
      <c r="CJ2735" s="7"/>
      <c r="CK2735" s="7"/>
      <c r="CL2735" s="7"/>
      <c r="CM2735" s="7"/>
      <c r="CN2735" s="7"/>
      <c r="CO2735" s="7"/>
      <c r="CP2735" s="7"/>
      <c r="CQ2735" s="7"/>
      <c r="CR2735" s="7"/>
      <c r="CS2735" s="7"/>
      <c r="CT2735" s="7"/>
      <c r="CU2735" s="7"/>
      <c r="CV2735" s="7"/>
      <c r="CW2735" s="7"/>
      <c r="CX2735" s="7"/>
      <c r="CY2735" s="7"/>
      <c r="CZ2735" s="7"/>
      <c r="DA2735" s="7"/>
      <c r="DB2735" s="7"/>
      <c r="DC2735" s="7"/>
      <c r="DD2735" s="7"/>
      <c r="DE2735" s="7"/>
      <c r="DF2735" s="7"/>
      <c r="DG2735" s="7"/>
      <c r="DH2735" s="7"/>
      <c r="DI2735" s="7"/>
      <c r="DJ2735" s="7"/>
      <c r="DK2735" s="7"/>
      <c r="DL2735" s="7"/>
      <c r="DM2735" s="7"/>
      <c r="DN2735" s="7"/>
      <c r="DO2735" s="7"/>
      <c r="DP2735" s="7"/>
      <c r="DQ2735" s="7"/>
      <c r="DR2735" s="7"/>
      <c r="DS2735" s="7"/>
      <c r="DT2735" s="7"/>
      <c r="DU2735" s="7"/>
      <c r="DV2735" s="7"/>
      <c r="DW2735" s="7"/>
      <c r="DX2735" s="7"/>
      <c r="DY2735" s="7"/>
      <c r="DZ2735" s="7"/>
      <c r="EA2735" s="7"/>
      <c r="EB2735" s="7"/>
      <c r="EC2735" s="7"/>
      <c r="ED2735" s="7"/>
      <c r="EE2735" s="7"/>
      <c r="EF2735" s="7"/>
      <c r="EG2735" s="7"/>
      <c r="EH2735" s="7"/>
      <c r="EI2735" s="7"/>
      <c r="EJ2735" s="7"/>
      <c r="EK2735" s="7"/>
      <c r="EL2735" s="7"/>
      <c r="EM2735" s="7"/>
      <c r="EN2735" s="7"/>
      <c r="EO2735" s="7"/>
      <c r="EP2735" s="7"/>
      <c r="EQ2735" s="7"/>
      <c r="ER2735" s="7"/>
      <c r="ES2735" s="7"/>
      <c r="ET2735" s="7"/>
      <c r="EU2735" s="7"/>
      <c r="EV2735" s="7"/>
      <c r="EW2735" s="7"/>
      <c r="EX2735" s="7"/>
      <c r="EY2735" s="7"/>
      <c r="EZ2735" s="7"/>
      <c r="FA2735" s="7"/>
      <c r="FB2735" s="7"/>
      <c r="FC2735" s="7"/>
      <c r="FD2735" s="7"/>
      <c r="FE2735" s="7"/>
      <c r="FF2735" s="7"/>
      <c r="FG2735" s="7"/>
      <c r="FH2735" s="7"/>
      <c r="FI2735" s="7"/>
      <c r="FJ2735" s="7"/>
      <c r="FK2735" s="7"/>
      <c r="FL2735" s="7"/>
      <c r="FM2735" s="7"/>
      <c r="FN2735" s="7"/>
      <c r="FO2735" s="7"/>
      <c r="FP2735" s="7"/>
      <c r="FQ2735" s="7"/>
      <c r="FR2735" s="7"/>
      <c r="FS2735" s="7"/>
      <c r="FT2735" s="7"/>
      <c r="FU2735" s="7"/>
      <c r="FV2735" s="7"/>
      <c r="FW2735" s="7"/>
      <c r="FX2735" s="7"/>
      <c r="FY2735" s="7"/>
      <c r="FZ2735" s="7"/>
      <c r="GA2735" s="7"/>
      <c r="GB2735" s="7"/>
      <c r="GC2735" s="7"/>
      <c r="GD2735" s="7"/>
      <c r="GE2735" s="7"/>
      <c r="GF2735" s="7"/>
      <c r="GG2735" s="7"/>
      <c r="GH2735" s="7"/>
      <c r="GI2735" s="7"/>
      <c r="GJ2735" s="7"/>
      <c r="GK2735" s="7"/>
      <c r="GL2735" s="7"/>
      <c r="GM2735" s="7"/>
      <c r="GN2735" s="7"/>
      <c r="GO2735" s="7"/>
      <c r="GP2735" s="7"/>
      <c r="GQ2735" s="7"/>
      <c r="GR2735" s="7"/>
      <c r="GS2735" s="7"/>
      <c r="GT2735" s="7"/>
      <c r="GU2735" s="7"/>
      <c r="GV2735" s="7"/>
      <c r="GW2735" s="7"/>
      <c r="GX2735" s="7"/>
      <c r="GY2735" s="7"/>
      <c r="GZ2735" s="7"/>
      <c r="HA2735" s="7"/>
      <c r="HB2735" s="7"/>
      <c r="HC2735" s="7"/>
      <c r="HD2735" s="7"/>
      <c r="HE2735" s="7"/>
      <c r="HF2735" s="7"/>
      <c r="HG2735" s="7"/>
      <c r="HH2735" s="7"/>
      <c r="HI2735" s="7"/>
      <c r="HJ2735" s="7"/>
      <c r="HK2735" s="7"/>
      <c r="HL2735" s="7"/>
      <c r="HM2735" s="7"/>
      <c r="HN2735" s="7"/>
      <c r="HO2735" s="7"/>
      <c r="HP2735" s="7"/>
      <c r="HQ2735" s="7"/>
    </row>
    <row r="2736" spans="1:226" s="1" customFormat="1" x14ac:dyDescent="0.35">
      <c r="A2736" s="251"/>
      <c r="B2736" s="251"/>
      <c r="C2736" s="223"/>
      <c r="D2736" s="274"/>
      <c r="E2736" s="274"/>
      <c r="F2736" s="293"/>
      <c r="G2736" s="251" t="s">
        <v>90</v>
      </c>
      <c r="H2736" s="167" t="s">
        <v>74</v>
      </c>
      <c r="I2736" s="158">
        <f>D2729*K2736*0.7</f>
        <v>1205183.77</v>
      </c>
      <c r="J2736" s="158">
        <f>I2736/D2729</f>
        <v>340.9</v>
      </c>
      <c r="K2736" s="158">
        <v>487</v>
      </c>
      <c r="L2736" s="7"/>
      <c r="M2736" s="7"/>
      <c r="N2736" s="7"/>
      <c r="O2736" s="7"/>
      <c r="P2736" s="7"/>
      <c r="Q2736" s="7"/>
      <c r="R2736" s="7"/>
      <c r="S2736" s="7"/>
      <c r="T2736" s="7"/>
      <c r="U2736" s="7"/>
      <c r="V2736" s="7"/>
      <c r="W2736" s="7"/>
      <c r="X2736" s="7"/>
      <c r="Y2736" s="7"/>
      <c r="Z2736" s="7"/>
      <c r="AA2736" s="7"/>
      <c r="AB2736" s="7"/>
      <c r="AC2736" s="7"/>
      <c r="AD2736" s="7"/>
      <c r="AE2736" s="7"/>
      <c r="AF2736" s="7"/>
      <c r="AG2736" s="7"/>
      <c r="AH2736" s="7"/>
      <c r="AI2736" s="7"/>
      <c r="AJ2736" s="7"/>
      <c r="AK2736" s="7"/>
      <c r="AL2736" s="7"/>
      <c r="AM2736" s="7"/>
      <c r="AN2736" s="7"/>
      <c r="AO2736" s="7"/>
      <c r="AP2736" s="7"/>
      <c r="AQ2736" s="7"/>
      <c r="AR2736" s="7"/>
      <c r="AS2736" s="7"/>
      <c r="AT2736" s="7"/>
      <c r="AU2736" s="7"/>
      <c r="AV2736" s="7"/>
      <c r="AW2736" s="7"/>
      <c r="AX2736" s="7"/>
      <c r="AY2736" s="7"/>
      <c r="AZ2736" s="7"/>
      <c r="BA2736" s="7"/>
      <c r="BB2736" s="7"/>
      <c r="BC2736" s="7"/>
      <c r="BD2736" s="7"/>
      <c r="BE2736" s="7"/>
      <c r="BF2736" s="7"/>
      <c r="BG2736" s="7"/>
      <c r="BH2736" s="7"/>
      <c r="BI2736" s="7"/>
      <c r="BJ2736" s="7"/>
      <c r="BK2736" s="7"/>
      <c r="BL2736" s="7"/>
      <c r="BM2736" s="7"/>
      <c r="BN2736" s="7"/>
      <c r="BO2736" s="7"/>
      <c r="BP2736" s="7"/>
      <c r="BQ2736" s="7"/>
      <c r="BR2736" s="7"/>
      <c r="BS2736" s="7"/>
      <c r="BT2736" s="7"/>
      <c r="BU2736" s="7"/>
      <c r="BV2736" s="7"/>
      <c r="BW2736" s="7"/>
      <c r="BX2736" s="7"/>
      <c r="BY2736" s="7"/>
      <c r="BZ2736" s="7"/>
      <c r="CA2736" s="7"/>
      <c r="CB2736" s="7"/>
      <c r="CC2736" s="7"/>
      <c r="CD2736" s="7"/>
      <c r="CE2736" s="7"/>
      <c r="CF2736" s="7"/>
      <c r="CG2736" s="7"/>
      <c r="CH2736" s="7"/>
      <c r="CI2736" s="7"/>
      <c r="CJ2736" s="7"/>
      <c r="CK2736" s="7"/>
      <c r="CL2736" s="7"/>
      <c r="CM2736" s="7"/>
      <c r="CN2736" s="7"/>
      <c r="CO2736" s="7"/>
      <c r="CP2736" s="7"/>
      <c r="CQ2736" s="7"/>
      <c r="CR2736" s="7"/>
      <c r="CS2736" s="7"/>
      <c r="CT2736" s="7"/>
      <c r="CU2736" s="7"/>
      <c r="CV2736" s="7"/>
      <c r="CW2736" s="7"/>
      <c r="CX2736" s="7"/>
      <c r="CY2736" s="7"/>
      <c r="CZ2736" s="7"/>
      <c r="DA2736" s="7"/>
      <c r="DB2736" s="7"/>
      <c r="DC2736" s="7"/>
      <c r="DD2736" s="7"/>
      <c r="DE2736" s="7"/>
      <c r="DF2736" s="7"/>
      <c r="DG2736" s="7"/>
      <c r="DH2736" s="7"/>
      <c r="DI2736" s="7"/>
      <c r="DJ2736" s="7"/>
      <c r="DK2736" s="7"/>
      <c r="DL2736" s="7"/>
      <c r="DM2736" s="7"/>
      <c r="DN2736" s="7"/>
      <c r="DO2736" s="7"/>
      <c r="DP2736" s="7"/>
      <c r="DQ2736" s="7"/>
      <c r="DR2736" s="7"/>
      <c r="DS2736" s="7"/>
      <c r="DT2736" s="7"/>
      <c r="DU2736" s="7"/>
      <c r="DV2736" s="7"/>
      <c r="DW2736" s="7"/>
      <c r="DX2736" s="7"/>
      <c r="DY2736" s="7"/>
      <c r="DZ2736" s="7"/>
      <c r="EA2736" s="7"/>
      <c r="EB2736" s="7"/>
      <c r="EC2736" s="7"/>
      <c r="ED2736" s="7"/>
      <c r="EE2736" s="7"/>
      <c r="EF2736" s="7"/>
      <c r="EG2736" s="7"/>
      <c r="EH2736" s="7"/>
      <c r="EI2736" s="7"/>
      <c r="EJ2736" s="7"/>
      <c r="EK2736" s="7"/>
      <c r="EL2736" s="7"/>
      <c r="EM2736" s="7"/>
      <c r="EN2736" s="7"/>
      <c r="EO2736" s="7"/>
      <c r="EP2736" s="7"/>
      <c r="EQ2736" s="7"/>
      <c r="ER2736" s="7"/>
      <c r="ES2736" s="7"/>
      <c r="ET2736" s="7"/>
      <c r="EU2736" s="7"/>
      <c r="EV2736" s="7"/>
      <c r="EW2736" s="7"/>
      <c r="EX2736" s="7"/>
      <c r="EY2736" s="7"/>
      <c r="EZ2736" s="7"/>
      <c r="FA2736" s="7"/>
      <c r="FB2736" s="7"/>
      <c r="FC2736" s="7"/>
      <c r="FD2736" s="7"/>
      <c r="FE2736" s="7"/>
      <c r="FF2736" s="7"/>
      <c r="FG2736" s="7"/>
      <c r="FH2736" s="7"/>
      <c r="FI2736" s="7"/>
      <c r="FJ2736" s="7"/>
      <c r="FK2736" s="7"/>
      <c r="FL2736" s="7"/>
      <c r="FM2736" s="7"/>
      <c r="FN2736" s="7"/>
      <c r="FO2736" s="7"/>
      <c r="FP2736" s="7"/>
      <c r="FQ2736" s="7"/>
      <c r="FR2736" s="7"/>
      <c r="FS2736" s="7"/>
      <c r="FT2736" s="7"/>
      <c r="FU2736" s="7"/>
      <c r="FV2736" s="7"/>
      <c r="FW2736" s="7"/>
      <c r="FX2736" s="7"/>
      <c r="FY2736" s="7"/>
      <c r="FZ2736" s="7"/>
      <c r="GA2736" s="7"/>
      <c r="GB2736" s="7"/>
      <c r="GC2736" s="7"/>
      <c r="GD2736" s="7"/>
      <c r="GE2736" s="7"/>
      <c r="GF2736" s="7"/>
      <c r="GG2736" s="7"/>
      <c r="GH2736" s="7"/>
      <c r="GI2736" s="7"/>
      <c r="GJ2736" s="7"/>
      <c r="GK2736" s="7"/>
      <c r="GL2736" s="7"/>
      <c r="GM2736" s="7"/>
      <c r="GN2736" s="7"/>
      <c r="GO2736" s="7"/>
      <c r="GP2736" s="7"/>
      <c r="GQ2736" s="7"/>
      <c r="GR2736" s="7"/>
      <c r="GS2736" s="7"/>
      <c r="GT2736" s="7"/>
      <c r="GU2736" s="7"/>
      <c r="GV2736" s="7"/>
      <c r="GW2736" s="7"/>
      <c r="GX2736" s="7"/>
      <c r="GY2736" s="7"/>
      <c r="GZ2736" s="7"/>
      <c r="HA2736" s="7"/>
      <c r="HB2736" s="7"/>
      <c r="HC2736" s="7"/>
      <c r="HD2736" s="7"/>
      <c r="HE2736" s="7"/>
      <c r="HF2736" s="7"/>
      <c r="HG2736" s="7"/>
      <c r="HH2736" s="7"/>
      <c r="HI2736" s="7"/>
      <c r="HJ2736" s="7"/>
      <c r="HK2736" s="7"/>
      <c r="HL2736" s="7"/>
      <c r="HM2736" s="7"/>
      <c r="HN2736" s="7"/>
      <c r="HO2736" s="7"/>
      <c r="HP2736" s="7"/>
      <c r="HQ2736" s="7"/>
    </row>
    <row r="2737" spans="1:225" s="1" customFormat="1" x14ac:dyDescent="0.35">
      <c r="A2737" s="251"/>
      <c r="B2737" s="251"/>
      <c r="C2737" s="223"/>
      <c r="D2737" s="274"/>
      <c r="E2737" s="274"/>
      <c r="F2737" s="293"/>
      <c r="G2737" s="251"/>
      <c r="H2737" s="167" t="s">
        <v>76</v>
      </c>
      <c r="I2737" s="158">
        <f>D2729*K2737*0.7</f>
        <v>24747.1</v>
      </c>
      <c r="J2737" s="158">
        <f>I2737/D2729</f>
        <v>7</v>
      </c>
      <c r="K2737" s="158">
        <v>10</v>
      </c>
      <c r="L2737" s="7"/>
      <c r="M2737" s="7"/>
      <c r="N2737" s="7"/>
      <c r="O2737" s="7"/>
      <c r="P2737" s="7"/>
      <c r="Q2737" s="7"/>
      <c r="R2737" s="7"/>
      <c r="S2737" s="7"/>
      <c r="T2737" s="7"/>
      <c r="U2737" s="7"/>
      <c r="V2737" s="7"/>
      <c r="W2737" s="7"/>
      <c r="X2737" s="7"/>
      <c r="Y2737" s="7"/>
      <c r="Z2737" s="7"/>
      <c r="AA2737" s="7"/>
      <c r="AB2737" s="7"/>
      <c r="AC2737" s="7"/>
      <c r="AD2737" s="7"/>
      <c r="AE2737" s="7"/>
      <c r="AF2737" s="7"/>
      <c r="AG2737" s="7"/>
      <c r="AH2737" s="7"/>
      <c r="AI2737" s="7"/>
      <c r="AJ2737" s="7"/>
      <c r="AK2737" s="7"/>
      <c r="AL2737" s="7"/>
      <c r="AM2737" s="7"/>
      <c r="AN2737" s="7"/>
      <c r="AO2737" s="7"/>
      <c r="AP2737" s="7"/>
      <c r="AQ2737" s="7"/>
      <c r="AR2737" s="7"/>
      <c r="AS2737" s="7"/>
      <c r="AT2737" s="7"/>
      <c r="AU2737" s="7"/>
      <c r="AV2737" s="7"/>
      <c r="AW2737" s="7"/>
      <c r="AX2737" s="7"/>
      <c r="AY2737" s="7"/>
      <c r="AZ2737" s="7"/>
      <c r="BA2737" s="7"/>
      <c r="BB2737" s="7"/>
      <c r="BC2737" s="7"/>
      <c r="BD2737" s="7"/>
      <c r="BE2737" s="7"/>
      <c r="BF2737" s="7"/>
      <c r="BG2737" s="7"/>
      <c r="BH2737" s="7"/>
      <c r="BI2737" s="7"/>
      <c r="BJ2737" s="7"/>
      <c r="BK2737" s="7"/>
      <c r="BL2737" s="7"/>
      <c r="BM2737" s="7"/>
      <c r="BN2737" s="7"/>
      <c r="BO2737" s="7"/>
      <c r="BP2737" s="7"/>
      <c r="BQ2737" s="7"/>
      <c r="BR2737" s="7"/>
      <c r="BS2737" s="7"/>
      <c r="BT2737" s="7"/>
      <c r="BU2737" s="7"/>
      <c r="BV2737" s="7"/>
      <c r="BW2737" s="7"/>
      <c r="BX2737" s="7"/>
      <c r="BY2737" s="7"/>
      <c r="BZ2737" s="7"/>
      <c r="CA2737" s="7"/>
      <c r="CB2737" s="7"/>
      <c r="CC2737" s="7"/>
      <c r="CD2737" s="7"/>
      <c r="CE2737" s="7"/>
      <c r="CF2737" s="7"/>
      <c r="CG2737" s="7"/>
      <c r="CH2737" s="7"/>
      <c r="CI2737" s="7"/>
      <c r="CJ2737" s="7"/>
      <c r="CK2737" s="7"/>
      <c r="CL2737" s="7"/>
      <c r="CM2737" s="7"/>
      <c r="CN2737" s="7"/>
      <c r="CO2737" s="7"/>
      <c r="CP2737" s="7"/>
      <c r="CQ2737" s="7"/>
      <c r="CR2737" s="7"/>
      <c r="CS2737" s="7"/>
      <c r="CT2737" s="7"/>
      <c r="CU2737" s="7"/>
      <c r="CV2737" s="7"/>
      <c r="CW2737" s="7"/>
      <c r="CX2737" s="7"/>
      <c r="CY2737" s="7"/>
      <c r="CZ2737" s="7"/>
      <c r="DA2737" s="7"/>
      <c r="DB2737" s="7"/>
      <c r="DC2737" s="7"/>
      <c r="DD2737" s="7"/>
      <c r="DE2737" s="7"/>
      <c r="DF2737" s="7"/>
      <c r="DG2737" s="7"/>
      <c r="DH2737" s="7"/>
      <c r="DI2737" s="7"/>
      <c r="DJ2737" s="7"/>
      <c r="DK2737" s="7"/>
      <c r="DL2737" s="7"/>
      <c r="DM2737" s="7"/>
      <c r="DN2737" s="7"/>
      <c r="DO2737" s="7"/>
      <c r="DP2737" s="7"/>
      <c r="DQ2737" s="7"/>
      <c r="DR2737" s="7"/>
      <c r="DS2737" s="7"/>
      <c r="DT2737" s="7"/>
      <c r="DU2737" s="7"/>
      <c r="DV2737" s="7"/>
      <c r="DW2737" s="7"/>
      <c r="DX2737" s="7"/>
      <c r="DY2737" s="7"/>
      <c r="DZ2737" s="7"/>
      <c r="EA2737" s="7"/>
      <c r="EB2737" s="7"/>
      <c r="EC2737" s="7"/>
      <c r="ED2737" s="7"/>
      <c r="EE2737" s="7"/>
      <c r="EF2737" s="7"/>
      <c r="EG2737" s="7"/>
      <c r="EH2737" s="7"/>
      <c r="EI2737" s="7"/>
      <c r="EJ2737" s="7"/>
      <c r="EK2737" s="7"/>
      <c r="EL2737" s="7"/>
      <c r="EM2737" s="7"/>
      <c r="EN2737" s="7"/>
      <c r="EO2737" s="7"/>
      <c r="EP2737" s="7"/>
      <c r="EQ2737" s="7"/>
      <c r="ER2737" s="7"/>
      <c r="ES2737" s="7"/>
      <c r="ET2737" s="7"/>
      <c r="EU2737" s="7"/>
      <c r="EV2737" s="7"/>
      <c r="EW2737" s="7"/>
      <c r="EX2737" s="7"/>
      <c r="EY2737" s="7"/>
      <c r="EZ2737" s="7"/>
      <c r="FA2737" s="7"/>
      <c r="FB2737" s="7"/>
      <c r="FC2737" s="7"/>
      <c r="FD2737" s="7"/>
      <c r="FE2737" s="7"/>
      <c r="FF2737" s="7"/>
      <c r="FG2737" s="7"/>
      <c r="FH2737" s="7"/>
      <c r="FI2737" s="7"/>
      <c r="FJ2737" s="7"/>
      <c r="FK2737" s="7"/>
      <c r="FL2737" s="7"/>
      <c r="FM2737" s="7"/>
      <c r="FN2737" s="7"/>
      <c r="FO2737" s="7"/>
      <c r="FP2737" s="7"/>
      <c r="FQ2737" s="7"/>
      <c r="FR2737" s="7"/>
      <c r="FS2737" s="7"/>
      <c r="FT2737" s="7"/>
      <c r="FU2737" s="7"/>
      <c r="FV2737" s="7"/>
      <c r="FW2737" s="7"/>
      <c r="FX2737" s="7"/>
      <c r="FY2737" s="7"/>
      <c r="FZ2737" s="7"/>
      <c r="GA2737" s="7"/>
      <c r="GB2737" s="7"/>
      <c r="GC2737" s="7"/>
      <c r="GD2737" s="7"/>
      <c r="GE2737" s="7"/>
      <c r="GF2737" s="7"/>
      <c r="GG2737" s="7"/>
      <c r="GH2737" s="7"/>
      <c r="GI2737" s="7"/>
      <c r="GJ2737" s="7"/>
      <c r="GK2737" s="7"/>
      <c r="GL2737" s="7"/>
      <c r="GM2737" s="7"/>
      <c r="GN2737" s="7"/>
      <c r="GO2737" s="7"/>
      <c r="GP2737" s="7"/>
      <c r="GQ2737" s="7"/>
      <c r="GR2737" s="7"/>
      <c r="GS2737" s="7"/>
      <c r="GT2737" s="7"/>
      <c r="GU2737" s="7"/>
      <c r="GV2737" s="7"/>
      <c r="GW2737" s="7"/>
      <c r="GX2737" s="7"/>
      <c r="GY2737" s="7"/>
      <c r="GZ2737" s="7"/>
      <c r="HA2737" s="7"/>
      <c r="HB2737" s="7"/>
      <c r="HC2737" s="7"/>
      <c r="HD2737" s="7"/>
      <c r="HE2737" s="7"/>
      <c r="HF2737" s="7"/>
      <c r="HG2737" s="7"/>
      <c r="HH2737" s="7"/>
      <c r="HI2737" s="7"/>
      <c r="HJ2737" s="7"/>
      <c r="HK2737" s="7"/>
      <c r="HL2737" s="7"/>
      <c r="HM2737" s="7"/>
      <c r="HN2737" s="7"/>
      <c r="HO2737" s="7"/>
      <c r="HP2737" s="7"/>
      <c r="HQ2737" s="7"/>
    </row>
    <row r="2738" spans="1:225" s="1" customFormat="1" ht="15.75" customHeight="1" x14ac:dyDescent="0.35">
      <c r="A2738" s="251">
        <f>A2729+1</f>
        <v>7</v>
      </c>
      <c r="B2738" s="251">
        <v>5107</v>
      </c>
      <c r="C2738" s="309" t="s">
        <v>535</v>
      </c>
      <c r="D2738" s="253">
        <v>743</v>
      </c>
      <c r="E2738" s="253" t="s">
        <v>75</v>
      </c>
      <c r="F2738" s="255">
        <v>2</v>
      </c>
      <c r="G2738" s="251" t="s">
        <v>72</v>
      </c>
      <c r="H2738" s="159" t="s">
        <v>73</v>
      </c>
      <c r="I2738" s="158">
        <f>I2739+I2740</f>
        <v>5601477</v>
      </c>
      <c r="J2738" s="158">
        <f>J2739+J2740</f>
        <v>7539</v>
      </c>
      <c r="K2738" s="158">
        <f>K2739+K2740</f>
        <v>7539</v>
      </c>
      <c r="L2738" s="7"/>
      <c r="M2738" s="7"/>
      <c r="N2738" s="7"/>
      <c r="O2738" s="7"/>
      <c r="P2738" s="7"/>
      <c r="Q2738" s="7"/>
      <c r="R2738" s="7"/>
      <c r="S2738" s="7"/>
      <c r="T2738" s="7"/>
      <c r="U2738" s="7"/>
      <c r="V2738" s="7"/>
      <c r="W2738" s="7"/>
      <c r="X2738" s="7"/>
      <c r="Y2738" s="7"/>
      <c r="Z2738" s="7"/>
      <c r="AA2738" s="7"/>
      <c r="AB2738" s="7"/>
      <c r="AC2738" s="7"/>
      <c r="AD2738" s="7"/>
      <c r="AE2738" s="7"/>
      <c r="AF2738" s="7"/>
      <c r="AG2738" s="7"/>
      <c r="AH2738" s="7"/>
      <c r="AI2738" s="7"/>
      <c r="AJ2738" s="7"/>
      <c r="AK2738" s="7"/>
      <c r="AL2738" s="7"/>
      <c r="AM2738" s="7"/>
      <c r="AN2738" s="7"/>
      <c r="AO2738" s="7"/>
      <c r="AP2738" s="7"/>
      <c r="AQ2738" s="7"/>
      <c r="AR2738" s="7"/>
      <c r="AS2738" s="7"/>
      <c r="AT2738" s="7"/>
      <c r="AU2738" s="7"/>
      <c r="AV2738" s="7"/>
      <c r="AW2738" s="7"/>
      <c r="AX2738" s="7"/>
      <c r="AY2738" s="7"/>
      <c r="AZ2738" s="7"/>
      <c r="BA2738" s="7"/>
      <c r="BB2738" s="7"/>
      <c r="BC2738" s="7"/>
      <c r="BD2738" s="7"/>
      <c r="BE2738" s="7"/>
      <c r="BF2738" s="7"/>
      <c r="BG2738" s="7"/>
      <c r="BH2738" s="7"/>
      <c r="BI2738" s="7"/>
      <c r="BJ2738" s="7"/>
      <c r="BK2738" s="7"/>
      <c r="BL2738" s="7"/>
      <c r="BM2738" s="7"/>
      <c r="BN2738" s="7"/>
      <c r="BO2738" s="7"/>
      <c r="BP2738" s="7"/>
      <c r="BQ2738" s="7"/>
      <c r="BR2738" s="7"/>
      <c r="BS2738" s="7"/>
      <c r="BT2738" s="7"/>
      <c r="BU2738" s="7"/>
      <c r="BV2738" s="7"/>
      <c r="BW2738" s="7"/>
      <c r="BX2738" s="7"/>
      <c r="BY2738" s="7"/>
      <c r="BZ2738" s="7"/>
      <c r="CA2738" s="7"/>
      <c r="CB2738" s="7"/>
      <c r="CC2738" s="7"/>
      <c r="CD2738" s="7"/>
      <c r="CE2738" s="7"/>
      <c r="CF2738" s="7"/>
      <c r="CG2738" s="7"/>
      <c r="CH2738" s="7"/>
      <c r="CI2738" s="7"/>
      <c r="CJ2738" s="7"/>
      <c r="CK2738" s="7"/>
      <c r="CL2738" s="7"/>
      <c r="CM2738" s="7"/>
      <c r="CN2738" s="7"/>
      <c r="CO2738" s="7"/>
      <c r="CP2738" s="7"/>
      <c r="CQ2738" s="7"/>
      <c r="CR2738" s="7"/>
      <c r="CS2738" s="7"/>
      <c r="CT2738" s="7"/>
      <c r="CU2738" s="7"/>
      <c r="CV2738" s="7"/>
      <c r="CW2738" s="7"/>
      <c r="CX2738" s="7"/>
      <c r="CY2738" s="7"/>
      <c r="CZ2738" s="7"/>
      <c r="DA2738" s="7"/>
      <c r="DB2738" s="7"/>
      <c r="DC2738" s="7"/>
      <c r="DD2738" s="7"/>
      <c r="DE2738" s="7"/>
      <c r="DF2738" s="7"/>
      <c r="DG2738" s="7"/>
      <c r="DH2738" s="7"/>
      <c r="DI2738" s="7"/>
      <c r="DJ2738" s="7"/>
      <c r="DK2738" s="7"/>
      <c r="DL2738" s="7"/>
      <c r="DM2738" s="7"/>
      <c r="DN2738" s="7"/>
      <c r="DO2738" s="7"/>
      <c r="DP2738" s="7"/>
      <c r="DQ2738" s="7"/>
      <c r="DR2738" s="7"/>
      <c r="DS2738" s="7"/>
      <c r="DT2738" s="7"/>
      <c r="DU2738" s="7"/>
      <c r="DV2738" s="7"/>
      <c r="DW2738" s="7"/>
      <c r="DX2738" s="7"/>
      <c r="DY2738" s="7"/>
      <c r="DZ2738" s="7"/>
      <c r="EA2738" s="7"/>
      <c r="EB2738" s="7"/>
      <c r="EC2738" s="7"/>
      <c r="ED2738" s="7"/>
      <c r="EE2738" s="7"/>
      <c r="EF2738" s="7"/>
      <c r="EG2738" s="7"/>
      <c r="EH2738" s="7"/>
      <c r="EI2738" s="7"/>
      <c r="EJ2738" s="7"/>
      <c r="EK2738" s="7"/>
      <c r="EL2738" s="7"/>
      <c r="EM2738" s="7"/>
      <c r="EN2738" s="7"/>
      <c r="EO2738" s="7"/>
      <c r="EP2738" s="7"/>
      <c r="EQ2738" s="7"/>
      <c r="ER2738" s="7"/>
      <c r="ES2738" s="7"/>
      <c r="ET2738" s="7"/>
      <c r="EU2738" s="7"/>
      <c r="EV2738" s="7"/>
      <c r="EW2738" s="7"/>
      <c r="EX2738" s="7"/>
      <c r="EY2738" s="7"/>
      <c r="EZ2738" s="7"/>
      <c r="FA2738" s="7"/>
      <c r="FB2738" s="7"/>
      <c r="FC2738" s="7"/>
      <c r="FD2738" s="7"/>
      <c r="FE2738" s="7"/>
      <c r="FF2738" s="7"/>
      <c r="FG2738" s="7"/>
      <c r="FH2738" s="7"/>
      <c r="FI2738" s="7"/>
      <c r="FJ2738" s="7"/>
      <c r="FK2738" s="7"/>
      <c r="FL2738" s="7"/>
      <c r="FM2738" s="7"/>
      <c r="FN2738" s="7"/>
      <c r="FO2738" s="7"/>
      <c r="FP2738" s="7"/>
      <c r="FQ2738" s="7"/>
      <c r="FR2738" s="7"/>
      <c r="FS2738" s="7"/>
      <c r="FT2738" s="7"/>
      <c r="FU2738" s="7"/>
      <c r="FV2738" s="7"/>
      <c r="FW2738" s="7"/>
      <c r="FX2738" s="7"/>
      <c r="FY2738" s="7"/>
      <c r="FZ2738" s="7"/>
      <c r="GA2738" s="7"/>
      <c r="GB2738" s="7"/>
      <c r="GC2738" s="7"/>
      <c r="GD2738" s="7"/>
      <c r="GE2738" s="7"/>
      <c r="GF2738" s="7"/>
      <c r="GG2738" s="7"/>
      <c r="GH2738" s="7"/>
      <c r="GI2738" s="7"/>
      <c r="GJ2738" s="7"/>
      <c r="GK2738" s="7"/>
      <c r="GL2738" s="7"/>
      <c r="GM2738" s="7"/>
      <c r="GN2738" s="7"/>
      <c r="GO2738" s="7"/>
      <c r="GP2738" s="7"/>
      <c r="GQ2738" s="7"/>
      <c r="GR2738" s="7"/>
      <c r="GS2738" s="7"/>
      <c r="GT2738" s="7"/>
      <c r="GU2738" s="7"/>
      <c r="GV2738" s="7"/>
      <c r="GW2738" s="7"/>
      <c r="GX2738" s="7"/>
      <c r="GY2738" s="7"/>
      <c r="GZ2738" s="7"/>
      <c r="HA2738" s="7"/>
      <c r="HB2738" s="7"/>
      <c r="HC2738" s="7"/>
      <c r="HD2738" s="7"/>
      <c r="HE2738" s="7"/>
      <c r="HF2738" s="7"/>
      <c r="HG2738" s="7"/>
      <c r="HH2738" s="7"/>
      <c r="HI2738" s="7"/>
      <c r="HJ2738" s="7"/>
      <c r="HK2738" s="7"/>
      <c r="HL2738" s="7"/>
      <c r="HM2738" s="7"/>
      <c r="HN2738" s="7"/>
      <c r="HO2738" s="7"/>
      <c r="HP2738" s="7"/>
      <c r="HQ2738" s="7"/>
    </row>
    <row r="2739" spans="1:225" s="1" customFormat="1" x14ac:dyDescent="0.35">
      <c r="A2739" s="251">
        <v>275</v>
      </c>
      <c r="B2739" s="251"/>
      <c r="C2739" s="309"/>
      <c r="D2739" s="253"/>
      <c r="E2739" s="253"/>
      <c r="F2739" s="255"/>
      <c r="G2739" s="251"/>
      <c r="H2739" s="159" t="s">
        <v>74</v>
      </c>
      <c r="I2739" s="158">
        <f>K2739*D2738</f>
        <v>5484083</v>
      </c>
      <c r="J2739" s="158">
        <f>I2739/D2738</f>
        <v>7381</v>
      </c>
      <c r="K2739" s="158">
        <v>7381</v>
      </c>
      <c r="L2739" s="7"/>
      <c r="M2739" s="7"/>
      <c r="N2739" s="7"/>
      <c r="O2739" s="7"/>
      <c r="P2739" s="7"/>
      <c r="Q2739" s="7"/>
      <c r="R2739" s="7"/>
      <c r="S2739" s="7"/>
      <c r="T2739" s="7"/>
      <c r="U2739" s="7"/>
      <c r="V2739" s="7"/>
      <c r="W2739" s="7"/>
      <c r="X2739" s="7"/>
      <c r="Y2739" s="7"/>
      <c r="Z2739" s="7"/>
      <c r="AA2739" s="7"/>
      <c r="AB2739" s="7"/>
      <c r="AC2739" s="7"/>
      <c r="AD2739" s="7"/>
      <c r="AE2739" s="7"/>
      <c r="AF2739" s="7"/>
      <c r="AG2739" s="7"/>
      <c r="AH2739" s="7"/>
      <c r="AI2739" s="7"/>
      <c r="AJ2739" s="7"/>
      <c r="AK2739" s="7"/>
      <c r="AL2739" s="7"/>
      <c r="AM2739" s="7"/>
      <c r="AN2739" s="7"/>
      <c r="AO2739" s="7"/>
      <c r="AP2739" s="7"/>
      <c r="AQ2739" s="7"/>
      <c r="AR2739" s="7"/>
      <c r="AS2739" s="7"/>
      <c r="AT2739" s="7"/>
      <c r="AU2739" s="7"/>
      <c r="AV2739" s="7"/>
      <c r="AW2739" s="7"/>
      <c r="AX2739" s="7"/>
      <c r="AY2739" s="7"/>
      <c r="AZ2739" s="7"/>
      <c r="BA2739" s="7"/>
      <c r="BB2739" s="7"/>
      <c r="BC2739" s="7"/>
      <c r="BD2739" s="7"/>
      <c r="BE2739" s="7"/>
      <c r="BF2739" s="7"/>
      <c r="BG2739" s="7"/>
      <c r="BH2739" s="7"/>
      <c r="BI2739" s="7"/>
      <c r="BJ2739" s="7"/>
      <c r="BK2739" s="7"/>
      <c r="BL2739" s="7"/>
      <c r="BM2739" s="7"/>
      <c r="BN2739" s="7"/>
      <c r="BO2739" s="7"/>
      <c r="BP2739" s="7"/>
      <c r="BQ2739" s="7"/>
      <c r="BR2739" s="7"/>
      <c r="BS2739" s="7"/>
      <c r="BT2739" s="7"/>
      <c r="BU2739" s="7"/>
      <c r="BV2739" s="7"/>
      <c r="BW2739" s="7"/>
      <c r="BX2739" s="7"/>
      <c r="BY2739" s="7"/>
      <c r="BZ2739" s="7"/>
      <c r="CA2739" s="7"/>
      <c r="CB2739" s="7"/>
      <c r="CC2739" s="7"/>
      <c r="CD2739" s="7"/>
      <c r="CE2739" s="7"/>
      <c r="CF2739" s="7"/>
      <c r="CG2739" s="7"/>
      <c r="CH2739" s="7"/>
      <c r="CI2739" s="7"/>
      <c r="CJ2739" s="7"/>
      <c r="CK2739" s="7"/>
      <c r="CL2739" s="7"/>
      <c r="CM2739" s="7"/>
      <c r="CN2739" s="7"/>
      <c r="CO2739" s="7"/>
      <c r="CP2739" s="7"/>
      <c r="CQ2739" s="7"/>
      <c r="CR2739" s="7"/>
      <c r="CS2739" s="7"/>
      <c r="CT2739" s="7"/>
      <c r="CU2739" s="7"/>
      <c r="CV2739" s="7"/>
      <c r="CW2739" s="7"/>
      <c r="CX2739" s="7"/>
      <c r="CY2739" s="7"/>
      <c r="CZ2739" s="7"/>
      <c r="DA2739" s="7"/>
      <c r="DB2739" s="7"/>
      <c r="DC2739" s="7"/>
      <c r="DD2739" s="7"/>
      <c r="DE2739" s="7"/>
      <c r="DF2739" s="7"/>
      <c r="DG2739" s="7"/>
      <c r="DH2739" s="7"/>
      <c r="DI2739" s="7"/>
      <c r="DJ2739" s="7"/>
      <c r="DK2739" s="7"/>
      <c r="DL2739" s="7"/>
      <c r="DM2739" s="7"/>
      <c r="DN2739" s="7"/>
      <c r="DO2739" s="7"/>
      <c r="DP2739" s="7"/>
      <c r="DQ2739" s="7"/>
      <c r="DR2739" s="7"/>
      <c r="DS2739" s="7"/>
      <c r="DT2739" s="7"/>
      <c r="DU2739" s="7"/>
      <c r="DV2739" s="7"/>
      <c r="DW2739" s="7"/>
      <c r="DX2739" s="7"/>
      <c r="DY2739" s="7"/>
      <c r="DZ2739" s="7"/>
      <c r="EA2739" s="7"/>
      <c r="EB2739" s="7"/>
      <c r="EC2739" s="7"/>
      <c r="ED2739" s="7"/>
      <c r="EE2739" s="7"/>
      <c r="EF2739" s="7"/>
      <c r="EG2739" s="7"/>
      <c r="EH2739" s="7"/>
      <c r="EI2739" s="7"/>
      <c r="EJ2739" s="7"/>
      <c r="EK2739" s="7"/>
      <c r="EL2739" s="7"/>
      <c r="EM2739" s="7"/>
      <c r="EN2739" s="7"/>
      <c r="EO2739" s="7"/>
      <c r="EP2739" s="7"/>
      <c r="EQ2739" s="7"/>
      <c r="ER2739" s="7"/>
      <c r="ES2739" s="7"/>
      <c r="ET2739" s="7"/>
      <c r="EU2739" s="7"/>
      <c r="EV2739" s="7"/>
      <c r="EW2739" s="7"/>
      <c r="EX2739" s="7"/>
      <c r="EY2739" s="7"/>
      <c r="EZ2739" s="7"/>
      <c r="FA2739" s="7"/>
      <c r="FB2739" s="7"/>
      <c r="FC2739" s="7"/>
      <c r="FD2739" s="7"/>
      <c r="FE2739" s="7"/>
      <c r="FF2739" s="7"/>
      <c r="FG2739" s="7"/>
      <c r="FH2739" s="7"/>
      <c r="FI2739" s="7"/>
      <c r="FJ2739" s="7"/>
      <c r="FK2739" s="7"/>
      <c r="FL2739" s="7"/>
      <c r="FM2739" s="7"/>
      <c r="FN2739" s="7"/>
      <c r="FO2739" s="7"/>
      <c r="FP2739" s="7"/>
      <c r="FQ2739" s="7"/>
      <c r="FR2739" s="7"/>
      <c r="FS2739" s="7"/>
      <c r="FT2739" s="7"/>
      <c r="FU2739" s="7"/>
      <c r="FV2739" s="7"/>
      <c r="FW2739" s="7"/>
      <c r="FX2739" s="7"/>
      <c r="FY2739" s="7"/>
      <c r="FZ2739" s="7"/>
      <c r="GA2739" s="7"/>
      <c r="GB2739" s="7"/>
      <c r="GC2739" s="7"/>
      <c r="GD2739" s="7"/>
      <c r="GE2739" s="7"/>
      <c r="GF2739" s="7"/>
      <c r="GG2739" s="7"/>
      <c r="GH2739" s="7"/>
      <c r="GI2739" s="7"/>
      <c r="GJ2739" s="7"/>
      <c r="GK2739" s="7"/>
      <c r="GL2739" s="7"/>
      <c r="GM2739" s="7"/>
      <c r="GN2739" s="7"/>
      <c r="GO2739" s="7"/>
      <c r="GP2739" s="7"/>
      <c r="GQ2739" s="7"/>
      <c r="GR2739" s="7"/>
      <c r="GS2739" s="7"/>
      <c r="GT2739" s="7"/>
      <c r="GU2739" s="7"/>
      <c r="GV2739" s="7"/>
      <c r="GW2739" s="7"/>
      <c r="GX2739" s="7"/>
      <c r="GY2739" s="7"/>
      <c r="GZ2739" s="7"/>
      <c r="HA2739" s="7"/>
      <c r="HB2739" s="7"/>
      <c r="HC2739" s="7"/>
      <c r="HD2739" s="7"/>
      <c r="HE2739" s="7"/>
      <c r="HF2739" s="7"/>
      <c r="HG2739" s="7"/>
      <c r="HH2739" s="7"/>
      <c r="HI2739" s="7"/>
      <c r="HJ2739" s="7"/>
      <c r="HK2739" s="7"/>
      <c r="HL2739" s="7"/>
      <c r="HM2739" s="7"/>
      <c r="HN2739" s="7"/>
      <c r="HO2739" s="7"/>
      <c r="HP2739" s="7"/>
      <c r="HQ2739" s="7"/>
    </row>
    <row r="2740" spans="1:225" s="1" customFormat="1" x14ac:dyDescent="0.35">
      <c r="A2740" s="251">
        <v>276</v>
      </c>
      <c r="B2740" s="251"/>
      <c r="C2740" s="309"/>
      <c r="D2740" s="253"/>
      <c r="E2740" s="253"/>
      <c r="F2740" s="255"/>
      <c r="G2740" s="251"/>
      <c r="H2740" s="159" t="s">
        <v>76</v>
      </c>
      <c r="I2740" s="158">
        <f>K2740*D2738</f>
        <v>117394</v>
      </c>
      <c r="J2740" s="158">
        <f>I2740/D2738</f>
        <v>158</v>
      </c>
      <c r="K2740" s="158">
        <v>158</v>
      </c>
      <c r="L2740" s="7"/>
      <c r="M2740" s="7"/>
      <c r="N2740" s="7"/>
      <c r="O2740" s="7"/>
      <c r="P2740" s="7"/>
      <c r="Q2740" s="7"/>
      <c r="R2740" s="7"/>
      <c r="S2740" s="7"/>
      <c r="T2740" s="7"/>
      <c r="U2740" s="7"/>
      <c r="V2740" s="7"/>
      <c r="W2740" s="7"/>
      <c r="X2740" s="7"/>
      <c r="Y2740" s="7"/>
      <c r="Z2740" s="7"/>
      <c r="AA2740" s="7"/>
      <c r="AB2740" s="7"/>
      <c r="AC2740" s="7"/>
      <c r="AD2740" s="7"/>
      <c r="AE2740" s="7"/>
      <c r="AF2740" s="7"/>
      <c r="AG2740" s="7"/>
      <c r="AH2740" s="7"/>
      <c r="AI2740" s="7"/>
      <c r="AJ2740" s="7"/>
      <c r="AK2740" s="7"/>
      <c r="AL2740" s="7"/>
      <c r="AM2740" s="7"/>
      <c r="AN2740" s="7"/>
      <c r="AO2740" s="7"/>
      <c r="AP2740" s="7"/>
      <c r="AQ2740" s="7"/>
      <c r="AR2740" s="7"/>
      <c r="AS2740" s="7"/>
      <c r="AT2740" s="7"/>
      <c r="AU2740" s="7"/>
      <c r="AV2740" s="7"/>
      <c r="AW2740" s="7"/>
      <c r="AX2740" s="7"/>
      <c r="AY2740" s="7"/>
      <c r="AZ2740" s="7"/>
      <c r="BA2740" s="7"/>
      <c r="BB2740" s="7"/>
      <c r="BC2740" s="7"/>
      <c r="BD2740" s="7"/>
      <c r="BE2740" s="7"/>
      <c r="BF2740" s="7"/>
      <c r="BG2740" s="7"/>
      <c r="BH2740" s="7"/>
      <c r="BI2740" s="7"/>
      <c r="BJ2740" s="7"/>
      <c r="BK2740" s="7"/>
      <c r="BL2740" s="7"/>
      <c r="BM2740" s="7"/>
      <c r="BN2740" s="7"/>
      <c r="BO2740" s="7"/>
      <c r="BP2740" s="7"/>
      <c r="BQ2740" s="7"/>
      <c r="BR2740" s="7"/>
      <c r="BS2740" s="7"/>
      <c r="BT2740" s="7"/>
      <c r="BU2740" s="7"/>
      <c r="BV2740" s="7"/>
      <c r="BW2740" s="7"/>
      <c r="BX2740" s="7"/>
      <c r="BY2740" s="7"/>
      <c r="BZ2740" s="7"/>
      <c r="CA2740" s="7"/>
      <c r="CB2740" s="7"/>
      <c r="CC2740" s="7"/>
      <c r="CD2740" s="7"/>
      <c r="CE2740" s="7"/>
      <c r="CF2740" s="7"/>
      <c r="CG2740" s="7"/>
      <c r="CH2740" s="7"/>
      <c r="CI2740" s="7"/>
      <c r="CJ2740" s="7"/>
      <c r="CK2740" s="7"/>
      <c r="CL2740" s="7"/>
      <c r="CM2740" s="7"/>
      <c r="CN2740" s="7"/>
      <c r="CO2740" s="7"/>
      <c r="CP2740" s="7"/>
      <c r="CQ2740" s="7"/>
      <c r="CR2740" s="7"/>
      <c r="CS2740" s="7"/>
      <c r="CT2740" s="7"/>
      <c r="CU2740" s="7"/>
      <c r="CV2740" s="7"/>
      <c r="CW2740" s="7"/>
      <c r="CX2740" s="7"/>
      <c r="CY2740" s="7"/>
      <c r="CZ2740" s="7"/>
      <c r="DA2740" s="7"/>
      <c r="DB2740" s="7"/>
      <c r="DC2740" s="7"/>
      <c r="DD2740" s="7"/>
      <c r="DE2740" s="7"/>
      <c r="DF2740" s="7"/>
      <c r="DG2740" s="7"/>
      <c r="DH2740" s="7"/>
      <c r="DI2740" s="7"/>
      <c r="DJ2740" s="7"/>
      <c r="DK2740" s="7"/>
      <c r="DL2740" s="7"/>
      <c r="DM2740" s="7"/>
      <c r="DN2740" s="7"/>
      <c r="DO2740" s="7"/>
      <c r="DP2740" s="7"/>
      <c r="DQ2740" s="7"/>
      <c r="DR2740" s="7"/>
      <c r="DS2740" s="7"/>
      <c r="DT2740" s="7"/>
      <c r="DU2740" s="7"/>
      <c r="DV2740" s="7"/>
      <c r="DW2740" s="7"/>
      <c r="DX2740" s="7"/>
      <c r="DY2740" s="7"/>
      <c r="DZ2740" s="7"/>
      <c r="EA2740" s="7"/>
      <c r="EB2740" s="7"/>
      <c r="EC2740" s="7"/>
      <c r="ED2740" s="7"/>
      <c r="EE2740" s="7"/>
      <c r="EF2740" s="7"/>
      <c r="EG2740" s="7"/>
      <c r="EH2740" s="7"/>
      <c r="EI2740" s="7"/>
      <c r="EJ2740" s="7"/>
      <c r="EK2740" s="7"/>
      <c r="EL2740" s="7"/>
      <c r="EM2740" s="7"/>
      <c r="EN2740" s="7"/>
      <c r="EO2740" s="7"/>
      <c r="EP2740" s="7"/>
      <c r="EQ2740" s="7"/>
      <c r="ER2740" s="7"/>
      <c r="ES2740" s="7"/>
      <c r="ET2740" s="7"/>
      <c r="EU2740" s="7"/>
      <c r="EV2740" s="7"/>
      <c r="EW2740" s="7"/>
      <c r="EX2740" s="7"/>
      <c r="EY2740" s="7"/>
      <c r="EZ2740" s="7"/>
      <c r="FA2740" s="7"/>
      <c r="FB2740" s="7"/>
      <c r="FC2740" s="7"/>
      <c r="FD2740" s="7"/>
      <c r="FE2740" s="7"/>
      <c r="FF2740" s="7"/>
      <c r="FG2740" s="7"/>
      <c r="FH2740" s="7"/>
      <c r="FI2740" s="7"/>
      <c r="FJ2740" s="7"/>
      <c r="FK2740" s="7"/>
      <c r="FL2740" s="7"/>
      <c r="FM2740" s="7"/>
      <c r="FN2740" s="7"/>
      <c r="FO2740" s="7"/>
      <c r="FP2740" s="7"/>
      <c r="FQ2740" s="7"/>
      <c r="FR2740" s="7"/>
      <c r="FS2740" s="7"/>
      <c r="FT2740" s="7"/>
      <c r="FU2740" s="7"/>
      <c r="FV2740" s="7"/>
      <c r="FW2740" s="7"/>
      <c r="FX2740" s="7"/>
      <c r="FY2740" s="7"/>
      <c r="FZ2740" s="7"/>
      <c r="GA2740" s="7"/>
      <c r="GB2740" s="7"/>
      <c r="GC2740" s="7"/>
      <c r="GD2740" s="7"/>
      <c r="GE2740" s="7"/>
      <c r="GF2740" s="7"/>
      <c r="GG2740" s="7"/>
      <c r="GH2740" s="7"/>
      <c r="GI2740" s="7"/>
      <c r="GJ2740" s="7"/>
      <c r="GK2740" s="7"/>
      <c r="GL2740" s="7"/>
      <c r="GM2740" s="7"/>
      <c r="GN2740" s="7"/>
      <c r="GO2740" s="7"/>
      <c r="GP2740" s="7"/>
      <c r="GQ2740" s="7"/>
      <c r="GR2740" s="7"/>
      <c r="GS2740" s="7"/>
      <c r="GT2740" s="7"/>
      <c r="GU2740" s="7"/>
      <c r="GV2740" s="7"/>
      <c r="GW2740" s="7"/>
      <c r="GX2740" s="7"/>
      <c r="GY2740" s="7"/>
      <c r="GZ2740" s="7"/>
      <c r="HA2740" s="7"/>
      <c r="HB2740" s="7"/>
      <c r="HC2740" s="7"/>
      <c r="HD2740" s="7"/>
      <c r="HE2740" s="7"/>
      <c r="HF2740" s="7"/>
      <c r="HG2740" s="7"/>
      <c r="HH2740" s="7"/>
      <c r="HI2740" s="7"/>
      <c r="HJ2740" s="7"/>
      <c r="HK2740" s="7"/>
      <c r="HL2740" s="7"/>
      <c r="HM2740" s="7"/>
      <c r="HN2740" s="7"/>
      <c r="HO2740" s="7"/>
      <c r="HP2740" s="7"/>
      <c r="HQ2740" s="7"/>
    </row>
    <row r="2741" spans="1:225" s="1" customFormat="1" ht="15.75" customHeight="1" x14ac:dyDescent="0.35">
      <c r="A2741" s="251">
        <f>A2738+1</f>
        <v>8</v>
      </c>
      <c r="B2741" s="251">
        <v>5109</v>
      </c>
      <c r="C2741" s="309" t="s">
        <v>537</v>
      </c>
      <c r="D2741" s="253">
        <v>901.46</v>
      </c>
      <c r="E2741" s="253" t="s">
        <v>75</v>
      </c>
      <c r="F2741" s="255">
        <v>2</v>
      </c>
      <c r="G2741" s="251" t="s">
        <v>72</v>
      </c>
      <c r="H2741" s="159" t="s">
        <v>73</v>
      </c>
      <c r="I2741" s="158">
        <f>I2742+I2743</f>
        <v>4800004.0599999996</v>
      </c>
      <c r="J2741" s="158">
        <f>J2742+J2743</f>
        <v>5324.7</v>
      </c>
      <c r="K2741" s="158">
        <f>K2742+K2743</f>
        <v>7539</v>
      </c>
      <c r="L2741" s="7"/>
      <c r="M2741" s="7"/>
      <c r="N2741" s="7"/>
      <c r="O2741" s="7"/>
      <c r="P2741" s="7"/>
      <c r="Q2741" s="7"/>
      <c r="R2741" s="7"/>
      <c r="S2741" s="7"/>
      <c r="T2741" s="7"/>
      <c r="U2741" s="7"/>
      <c r="V2741" s="7"/>
      <c r="W2741" s="7"/>
      <c r="X2741" s="7"/>
      <c r="Y2741" s="7"/>
      <c r="Z2741" s="7"/>
      <c r="AA2741" s="7"/>
      <c r="AB2741" s="7"/>
      <c r="AC2741" s="7"/>
      <c r="AD2741" s="7"/>
      <c r="AE2741" s="7"/>
      <c r="AF2741" s="7"/>
      <c r="AG2741" s="7"/>
      <c r="AH2741" s="7"/>
      <c r="AI2741" s="7"/>
      <c r="AJ2741" s="7"/>
      <c r="AK2741" s="7"/>
      <c r="AL2741" s="7"/>
      <c r="AM2741" s="7"/>
      <c r="AN2741" s="7"/>
      <c r="AO2741" s="7"/>
      <c r="AP2741" s="7"/>
      <c r="AQ2741" s="7"/>
      <c r="AR2741" s="7"/>
      <c r="AS2741" s="7"/>
      <c r="AT2741" s="7"/>
      <c r="AU2741" s="7"/>
      <c r="AV2741" s="7"/>
      <c r="AW2741" s="7"/>
      <c r="AX2741" s="7"/>
      <c r="AY2741" s="7"/>
      <c r="AZ2741" s="7"/>
      <c r="BA2741" s="7"/>
      <c r="BB2741" s="7"/>
      <c r="BC2741" s="7"/>
      <c r="BD2741" s="7"/>
      <c r="BE2741" s="7"/>
      <c r="BF2741" s="7"/>
      <c r="BG2741" s="7"/>
      <c r="BH2741" s="7"/>
      <c r="BI2741" s="7"/>
      <c r="BJ2741" s="7"/>
      <c r="BK2741" s="7"/>
      <c r="BL2741" s="7"/>
      <c r="BM2741" s="7"/>
      <c r="BN2741" s="7"/>
      <c r="BO2741" s="7"/>
      <c r="BP2741" s="7"/>
      <c r="BQ2741" s="7"/>
      <c r="BR2741" s="7"/>
      <c r="BS2741" s="7"/>
      <c r="BT2741" s="7"/>
      <c r="BU2741" s="7"/>
      <c r="BV2741" s="7"/>
      <c r="BW2741" s="7"/>
      <c r="BX2741" s="7"/>
      <c r="BY2741" s="7"/>
      <c r="BZ2741" s="7"/>
      <c r="CA2741" s="7"/>
      <c r="CB2741" s="7"/>
      <c r="CC2741" s="7"/>
      <c r="CD2741" s="7"/>
      <c r="CE2741" s="7"/>
      <c r="CF2741" s="7"/>
      <c r="CG2741" s="7"/>
      <c r="CH2741" s="7"/>
      <c r="CI2741" s="7"/>
      <c r="CJ2741" s="7"/>
      <c r="CK2741" s="7"/>
      <c r="CL2741" s="7"/>
      <c r="CM2741" s="7"/>
      <c r="CN2741" s="7"/>
      <c r="CO2741" s="7"/>
      <c r="CP2741" s="7"/>
      <c r="CQ2741" s="7"/>
      <c r="CR2741" s="7"/>
      <c r="CS2741" s="7"/>
      <c r="CT2741" s="7"/>
      <c r="CU2741" s="7"/>
      <c r="CV2741" s="7"/>
      <c r="CW2741" s="7"/>
      <c r="CX2741" s="7"/>
      <c r="CY2741" s="7"/>
      <c r="CZ2741" s="7"/>
      <c r="DA2741" s="7"/>
      <c r="DB2741" s="7"/>
      <c r="DC2741" s="7"/>
      <c r="DD2741" s="7"/>
      <c r="DE2741" s="7"/>
      <c r="DF2741" s="7"/>
      <c r="DG2741" s="7"/>
      <c r="DH2741" s="7"/>
      <c r="DI2741" s="7"/>
      <c r="DJ2741" s="7"/>
      <c r="DK2741" s="7"/>
      <c r="DL2741" s="7"/>
      <c r="DM2741" s="7"/>
      <c r="DN2741" s="7"/>
      <c r="DO2741" s="7"/>
      <c r="DP2741" s="7"/>
      <c r="DQ2741" s="7"/>
      <c r="DR2741" s="7"/>
      <c r="DS2741" s="7"/>
      <c r="DT2741" s="7"/>
      <c r="DU2741" s="7"/>
      <c r="DV2741" s="7"/>
      <c r="DW2741" s="7"/>
      <c r="DX2741" s="7"/>
      <c r="DY2741" s="7"/>
      <c r="DZ2741" s="7"/>
      <c r="EA2741" s="7"/>
      <c r="EB2741" s="7"/>
      <c r="EC2741" s="7"/>
      <c r="ED2741" s="7"/>
      <c r="EE2741" s="7"/>
      <c r="EF2741" s="7"/>
      <c r="EG2741" s="7"/>
      <c r="EH2741" s="7"/>
      <c r="EI2741" s="7"/>
      <c r="EJ2741" s="7"/>
      <c r="EK2741" s="7"/>
      <c r="EL2741" s="7"/>
      <c r="EM2741" s="7"/>
      <c r="EN2741" s="7"/>
      <c r="EO2741" s="7"/>
      <c r="EP2741" s="7"/>
      <c r="EQ2741" s="7"/>
      <c r="ER2741" s="7"/>
      <c r="ES2741" s="7"/>
      <c r="ET2741" s="7"/>
      <c r="EU2741" s="7"/>
      <c r="EV2741" s="7"/>
      <c r="EW2741" s="7"/>
      <c r="EX2741" s="7"/>
      <c r="EY2741" s="7"/>
      <c r="EZ2741" s="7"/>
      <c r="FA2741" s="7"/>
      <c r="FB2741" s="7"/>
      <c r="FC2741" s="7"/>
      <c r="FD2741" s="7"/>
      <c r="FE2741" s="7"/>
      <c r="FF2741" s="7"/>
      <c r="FG2741" s="7"/>
      <c r="FH2741" s="7"/>
      <c r="FI2741" s="7"/>
      <c r="FJ2741" s="7"/>
      <c r="FK2741" s="7"/>
      <c r="FL2741" s="7"/>
      <c r="FM2741" s="7"/>
      <c r="FN2741" s="7"/>
      <c r="FO2741" s="7"/>
      <c r="FP2741" s="7"/>
      <c r="FQ2741" s="7"/>
      <c r="FR2741" s="7"/>
      <c r="FS2741" s="7"/>
      <c r="FT2741" s="7"/>
      <c r="FU2741" s="7"/>
      <c r="FV2741" s="7"/>
      <c r="FW2741" s="7"/>
      <c r="FX2741" s="7"/>
      <c r="FY2741" s="7"/>
      <c r="FZ2741" s="7"/>
      <c r="GA2741" s="7"/>
      <c r="GB2741" s="7"/>
      <c r="GC2741" s="7"/>
      <c r="GD2741" s="7"/>
      <c r="GE2741" s="7"/>
      <c r="GF2741" s="7"/>
      <c r="GG2741" s="7"/>
      <c r="GH2741" s="7"/>
      <c r="GI2741" s="7"/>
      <c r="GJ2741" s="7"/>
      <c r="GK2741" s="7"/>
      <c r="GL2741" s="7"/>
      <c r="GM2741" s="7"/>
      <c r="GN2741" s="7"/>
      <c r="GO2741" s="7"/>
      <c r="GP2741" s="7"/>
      <c r="GQ2741" s="7"/>
      <c r="GR2741" s="7"/>
      <c r="GS2741" s="7"/>
      <c r="GT2741" s="7"/>
      <c r="GU2741" s="7"/>
      <c r="GV2741" s="7"/>
      <c r="GW2741" s="7"/>
      <c r="GX2741" s="7"/>
      <c r="GY2741" s="7"/>
      <c r="GZ2741" s="7"/>
      <c r="HA2741" s="7"/>
      <c r="HB2741" s="7"/>
      <c r="HC2741" s="7"/>
      <c r="HD2741" s="7"/>
      <c r="HE2741" s="7"/>
      <c r="HF2741" s="7"/>
      <c r="HG2741" s="7"/>
      <c r="HH2741" s="7"/>
      <c r="HI2741" s="7"/>
      <c r="HJ2741" s="7"/>
      <c r="HK2741" s="7"/>
      <c r="HL2741" s="7"/>
      <c r="HM2741" s="7"/>
      <c r="HN2741" s="7"/>
      <c r="HO2741" s="7"/>
      <c r="HP2741" s="7"/>
      <c r="HQ2741" s="7"/>
    </row>
    <row r="2742" spans="1:225" s="1" customFormat="1" x14ac:dyDescent="0.35">
      <c r="A2742" s="251">
        <v>275</v>
      </c>
      <c r="B2742" s="251"/>
      <c r="C2742" s="309"/>
      <c r="D2742" s="253"/>
      <c r="E2742" s="253"/>
      <c r="F2742" s="255"/>
      <c r="G2742" s="251"/>
      <c r="H2742" s="159" t="s">
        <v>74</v>
      </c>
      <c r="I2742" s="158">
        <f>K2742*D2741*0.7</f>
        <v>4657573.38</v>
      </c>
      <c r="J2742" s="158">
        <f>I2742/D2741</f>
        <v>5166.7</v>
      </c>
      <c r="K2742" s="158">
        <v>7381</v>
      </c>
      <c r="L2742" s="7"/>
      <c r="M2742" s="7"/>
      <c r="N2742" s="7"/>
      <c r="O2742" s="7"/>
      <c r="P2742" s="7"/>
      <c r="Q2742" s="7"/>
      <c r="R2742" s="7"/>
      <c r="S2742" s="7"/>
      <c r="T2742" s="7"/>
      <c r="U2742" s="7"/>
      <c r="V2742" s="7"/>
      <c r="W2742" s="7"/>
      <c r="X2742" s="7"/>
      <c r="Y2742" s="7"/>
      <c r="Z2742" s="7"/>
      <c r="AA2742" s="7"/>
      <c r="AB2742" s="7"/>
      <c r="AC2742" s="7"/>
      <c r="AD2742" s="7"/>
      <c r="AE2742" s="7"/>
      <c r="AF2742" s="7"/>
      <c r="AG2742" s="7"/>
      <c r="AH2742" s="7"/>
      <c r="AI2742" s="7"/>
      <c r="AJ2742" s="7"/>
      <c r="AK2742" s="7"/>
      <c r="AL2742" s="7"/>
      <c r="AM2742" s="7"/>
      <c r="AN2742" s="7"/>
      <c r="AO2742" s="7"/>
      <c r="AP2742" s="7"/>
      <c r="AQ2742" s="7"/>
      <c r="AR2742" s="7"/>
      <c r="AS2742" s="7"/>
      <c r="AT2742" s="7"/>
      <c r="AU2742" s="7"/>
      <c r="AV2742" s="7"/>
      <c r="AW2742" s="7"/>
      <c r="AX2742" s="7"/>
      <c r="AY2742" s="7"/>
      <c r="AZ2742" s="7"/>
      <c r="BA2742" s="7"/>
      <c r="BB2742" s="7"/>
      <c r="BC2742" s="7"/>
      <c r="BD2742" s="7"/>
      <c r="BE2742" s="7"/>
      <c r="BF2742" s="7"/>
      <c r="BG2742" s="7"/>
      <c r="BH2742" s="7"/>
      <c r="BI2742" s="7"/>
      <c r="BJ2742" s="7"/>
      <c r="BK2742" s="7"/>
      <c r="BL2742" s="7"/>
      <c r="BM2742" s="7"/>
      <c r="BN2742" s="7"/>
      <c r="BO2742" s="7"/>
      <c r="BP2742" s="7"/>
      <c r="BQ2742" s="7"/>
      <c r="BR2742" s="7"/>
      <c r="BS2742" s="7"/>
      <c r="BT2742" s="7"/>
      <c r="BU2742" s="7"/>
      <c r="BV2742" s="7"/>
      <c r="BW2742" s="7"/>
      <c r="BX2742" s="7"/>
      <c r="BY2742" s="7"/>
      <c r="BZ2742" s="7"/>
      <c r="CA2742" s="7"/>
      <c r="CB2742" s="7"/>
      <c r="CC2742" s="7"/>
      <c r="CD2742" s="7"/>
      <c r="CE2742" s="7"/>
      <c r="CF2742" s="7"/>
      <c r="CG2742" s="7"/>
      <c r="CH2742" s="7"/>
      <c r="CI2742" s="7"/>
      <c r="CJ2742" s="7"/>
      <c r="CK2742" s="7"/>
      <c r="CL2742" s="7"/>
      <c r="CM2742" s="7"/>
      <c r="CN2742" s="7"/>
      <c r="CO2742" s="7"/>
      <c r="CP2742" s="7"/>
      <c r="CQ2742" s="7"/>
      <c r="CR2742" s="7"/>
      <c r="CS2742" s="7"/>
      <c r="CT2742" s="7"/>
      <c r="CU2742" s="7"/>
      <c r="CV2742" s="7"/>
      <c r="CW2742" s="7"/>
      <c r="CX2742" s="7"/>
      <c r="CY2742" s="7"/>
      <c r="CZ2742" s="7"/>
      <c r="DA2742" s="7"/>
      <c r="DB2742" s="7"/>
      <c r="DC2742" s="7"/>
      <c r="DD2742" s="7"/>
      <c r="DE2742" s="7"/>
      <c r="DF2742" s="7"/>
      <c r="DG2742" s="7"/>
      <c r="DH2742" s="7"/>
      <c r="DI2742" s="7"/>
      <c r="DJ2742" s="7"/>
      <c r="DK2742" s="7"/>
      <c r="DL2742" s="7"/>
      <c r="DM2742" s="7"/>
      <c r="DN2742" s="7"/>
      <c r="DO2742" s="7"/>
      <c r="DP2742" s="7"/>
      <c r="DQ2742" s="7"/>
      <c r="DR2742" s="7"/>
      <c r="DS2742" s="7"/>
      <c r="DT2742" s="7"/>
      <c r="DU2742" s="7"/>
      <c r="DV2742" s="7"/>
      <c r="DW2742" s="7"/>
      <c r="DX2742" s="7"/>
      <c r="DY2742" s="7"/>
      <c r="DZ2742" s="7"/>
      <c r="EA2742" s="7"/>
      <c r="EB2742" s="7"/>
      <c r="EC2742" s="7"/>
      <c r="ED2742" s="7"/>
      <c r="EE2742" s="7"/>
      <c r="EF2742" s="7"/>
      <c r="EG2742" s="7"/>
      <c r="EH2742" s="7"/>
      <c r="EI2742" s="7"/>
      <c r="EJ2742" s="7"/>
      <c r="EK2742" s="7"/>
      <c r="EL2742" s="7"/>
      <c r="EM2742" s="7"/>
      <c r="EN2742" s="7"/>
      <c r="EO2742" s="7"/>
      <c r="EP2742" s="7"/>
      <c r="EQ2742" s="7"/>
      <c r="ER2742" s="7"/>
      <c r="ES2742" s="7"/>
      <c r="ET2742" s="7"/>
      <c r="EU2742" s="7"/>
      <c r="EV2742" s="7"/>
      <c r="EW2742" s="7"/>
      <c r="EX2742" s="7"/>
      <c r="EY2742" s="7"/>
      <c r="EZ2742" s="7"/>
      <c r="FA2742" s="7"/>
      <c r="FB2742" s="7"/>
      <c r="FC2742" s="7"/>
      <c r="FD2742" s="7"/>
      <c r="FE2742" s="7"/>
      <c r="FF2742" s="7"/>
      <c r="FG2742" s="7"/>
      <c r="FH2742" s="7"/>
      <c r="FI2742" s="7"/>
      <c r="FJ2742" s="7"/>
      <c r="FK2742" s="7"/>
      <c r="FL2742" s="7"/>
      <c r="FM2742" s="7"/>
      <c r="FN2742" s="7"/>
      <c r="FO2742" s="7"/>
      <c r="FP2742" s="7"/>
      <c r="FQ2742" s="7"/>
      <c r="FR2742" s="7"/>
      <c r="FS2742" s="7"/>
      <c r="FT2742" s="7"/>
      <c r="FU2742" s="7"/>
      <c r="FV2742" s="7"/>
      <c r="FW2742" s="7"/>
      <c r="FX2742" s="7"/>
      <c r="FY2742" s="7"/>
      <c r="FZ2742" s="7"/>
      <c r="GA2742" s="7"/>
      <c r="GB2742" s="7"/>
      <c r="GC2742" s="7"/>
      <c r="GD2742" s="7"/>
      <c r="GE2742" s="7"/>
      <c r="GF2742" s="7"/>
      <c r="GG2742" s="7"/>
      <c r="GH2742" s="7"/>
      <c r="GI2742" s="7"/>
      <c r="GJ2742" s="7"/>
      <c r="GK2742" s="7"/>
      <c r="GL2742" s="7"/>
      <c r="GM2742" s="7"/>
      <c r="GN2742" s="7"/>
      <c r="GO2742" s="7"/>
      <c r="GP2742" s="7"/>
      <c r="GQ2742" s="7"/>
      <c r="GR2742" s="7"/>
      <c r="GS2742" s="7"/>
      <c r="GT2742" s="7"/>
      <c r="GU2742" s="7"/>
      <c r="GV2742" s="7"/>
      <c r="GW2742" s="7"/>
      <c r="GX2742" s="7"/>
      <c r="GY2742" s="7"/>
      <c r="GZ2742" s="7"/>
      <c r="HA2742" s="7"/>
      <c r="HB2742" s="7"/>
      <c r="HC2742" s="7"/>
      <c r="HD2742" s="7"/>
      <c r="HE2742" s="7"/>
      <c r="HF2742" s="7"/>
      <c r="HG2742" s="7"/>
      <c r="HH2742" s="7"/>
      <c r="HI2742" s="7"/>
      <c r="HJ2742" s="7"/>
      <c r="HK2742" s="7"/>
      <c r="HL2742" s="7"/>
      <c r="HM2742" s="7"/>
      <c r="HN2742" s="7"/>
      <c r="HO2742" s="7"/>
      <c r="HP2742" s="7"/>
      <c r="HQ2742" s="7"/>
    </row>
    <row r="2743" spans="1:225" x14ac:dyDescent="0.35">
      <c r="A2743" s="251">
        <v>276</v>
      </c>
      <c r="B2743" s="251"/>
      <c r="C2743" s="309"/>
      <c r="D2743" s="253"/>
      <c r="E2743" s="253"/>
      <c r="F2743" s="255"/>
      <c r="G2743" s="251"/>
      <c r="H2743" s="159" t="s">
        <v>76</v>
      </c>
      <c r="I2743" s="158">
        <f>K2743*D2741</f>
        <v>142430.68</v>
      </c>
      <c r="J2743" s="158">
        <f>I2743/D2741</f>
        <v>158</v>
      </c>
      <c r="K2743" s="158">
        <v>158</v>
      </c>
      <c r="L2743" s="7"/>
      <c r="M2743" s="7"/>
      <c r="N2743" s="7"/>
      <c r="O2743" s="7"/>
      <c r="P2743" s="7"/>
      <c r="Q2743" s="7"/>
      <c r="R2743" s="7"/>
      <c r="S2743" s="7"/>
      <c r="T2743" s="7"/>
      <c r="U2743" s="7"/>
      <c r="V2743" s="7"/>
      <c r="W2743" s="7"/>
    </row>
    <row r="2744" spans="1:225" s="1" customFormat="1" ht="15.75" customHeight="1" x14ac:dyDescent="0.35">
      <c r="A2744" s="256">
        <f>A2741+1</f>
        <v>9</v>
      </c>
      <c r="B2744" s="256">
        <v>5134</v>
      </c>
      <c r="C2744" s="288" t="s">
        <v>659</v>
      </c>
      <c r="D2744" s="262">
        <v>7548.1</v>
      </c>
      <c r="E2744" s="262" t="s">
        <v>75</v>
      </c>
      <c r="F2744" s="265">
        <v>9</v>
      </c>
      <c r="G2744" s="256" t="s">
        <v>72</v>
      </c>
      <c r="H2744" s="159" t="s">
        <v>73</v>
      </c>
      <c r="I2744" s="158">
        <f>I2745</f>
        <v>1260532.7</v>
      </c>
      <c r="J2744" s="158">
        <f>J2745</f>
        <v>167</v>
      </c>
      <c r="K2744" s="158">
        <f>K2745</f>
        <v>167</v>
      </c>
      <c r="L2744" s="7"/>
      <c r="M2744" s="7"/>
      <c r="N2744" s="7"/>
      <c r="O2744" s="7"/>
      <c r="P2744" s="7"/>
      <c r="Q2744" s="7"/>
      <c r="R2744" s="7"/>
      <c r="S2744" s="7"/>
      <c r="T2744" s="7"/>
      <c r="U2744" s="7"/>
      <c r="V2744" s="7"/>
      <c r="W2744" s="7"/>
      <c r="X2744" s="7"/>
      <c r="Y2744" s="7"/>
      <c r="Z2744" s="7"/>
      <c r="AA2744" s="7"/>
      <c r="AB2744" s="7"/>
      <c r="AC2744" s="7"/>
      <c r="AD2744" s="7"/>
      <c r="AE2744" s="7"/>
      <c r="AF2744" s="7"/>
      <c r="AG2744" s="7"/>
      <c r="AH2744" s="7"/>
      <c r="AI2744" s="7"/>
      <c r="AJ2744" s="7"/>
      <c r="AK2744" s="7"/>
      <c r="AL2744" s="7"/>
      <c r="AM2744" s="7"/>
      <c r="AN2744" s="7"/>
      <c r="AO2744" s="7"/>
      <c r="AP2744" s="7"/>
      <c r="AQ2744" s="7"/>
      <c r="AR2744" s="7"/>
      <c r="AS2744" s="7"/>
      <c r="AT2744" s="7"/>
      <c r="AU2744" s="7"/>
      <c r="AV2744" s="7"/>
      <c r="AW2744" s="7"/>
      <c r="AX2744" s="7"/>
      <c r="AY2744" s="7"/>
      <c r="AZ2744" s="7"/>
      <c r="BA2744" s="7"/>
      <c r="BB2744" s="7"/>
      <c r="BC2744" s="7"/>
      <c r="BD2744" s="7"/>
      <c r="BE2744" s="7"/>
      <c r="BF2744" s="7"/>
      <c r="BG2744" s="7"/>
      <c r="BH2744" s="7"/>
      <c r="BI2744" s="7"/>
      <c r="BJ2744" s="7"/>
      <c r="BK2744" s="7"/>
      <c r="BL2744" s="7"/>
      <c r="BM2744" s="7"/>
      <c r="BN2744" s="7"/>
      <c r="BO2744" s="7"/>
      <c r="BP2744" s="7"/>
      <c r="BQ2744" s="7"/>
      <c r="BR2744" s="7"/>
      <c r="BS2744" s="7"/>
      <c r="BT2744" s="7"/>
      <c r="BU2744" s="7"/>
      <c r="BV2744" s="7"/>
      <c r="BW2744" s="7"/>
      <c r="BX2744" s="7"/>
      <c r="BY2744" s="7"/>
      <c r="BZ2744" s="7"/>
      <c r="CA2744" s="7"/>
      <c r="CB2744" s="7"/>
      <c r="CC2744" s="7"/>
      <c r="CD2744" s="7"/>
      <c r="CE2744" s="7"/>
      <c r="CF2744" s="7"/>
      <c r="CG2744" s="7"/>
      <c r="CH2744" s="7"/>
      <c r="CI2744" s="7"/>
      <c r="CJ2744" s="7"/>
      <c r="CK2744" s="7"/>
      <c r="CL2744" s="7"/>
      <c r="CM2744" s="7"/>
      <c r="CN2744" s="7"/>
      <c r="CO2744" s="7"/>
      <c r="CP2744" s="7"/>
      <c r="CQ2744" s="7"/>
      <c r="CR2744" s="7"/>
      <c r="CS2744" s="7"/>
      <c r="CT2744" s="7"/>
      <c r="CU2744" s="7"/>
      <c r="CV2744" s="7"/>
      <c r="CW2744" s="7"/>
      <c r="CX2744" s="7"/>
      <c r="CY2744" s="7"/>
      <c r="CZ2744" s="7"/>
      <c r="DA2744" s="7"/>
      <c r="DB2744" s="7"/>
      <c r="DC2744" s="7"/>
      <c r="DD2744" s="7"/>
      <c r="DE2744" s="7"/>
      <c r="DF2744" s="7"/>
      <c r="DG2744" s="7"/>
      <c r="DH2744" s="7"/>
      <c r="DI2744" s="7"/>
      <c r="DJ2744" s="7"/>
      <c r="DK2744" s="7"/>
      <c r="DL2744" s="7"/>
      <c r="DM2744" s="7"/>
      <c r="DN2744" s="7"/>
      <c r="DO2744" s="7"/>
      <c r="DP2744" s="7"/>
      <c r="DQ2744" s="7"/>
      <c r="DR2744" s="7"/>
      <c r="DS2744" s="7"/>
      <c r="DT2744" s="7"/>
      <c r="DU2744" s="7"/>
      <c r="DV2744" s="7"/>
      <c r="DW2744" s="7"/>
      <c r="DX2744" s="7"/>
      <c r="DY2744" s="7"/>
      <c r="DZ2744" s="7"/>
      <c r="EA2744" s="7"/>
      <c r="EB2744" s="7"/>
      <c r="EC2744" s="7"/>
      <c r="ED2744" s="7"/>
      <c r="EE2744" s="7"/>
      <c r="EF2744" s="7"/>
      <c r="EG2744" s="7"/>
      <c r="EH2744" s="7"/>
      <c r="EI2744" s="7"/>
      <c r="EJ2744" s="7"/>
      <c r="EK2744" s="7"/>
      <c r="EL2744" s="7"/>
      <c r="EM2744" s="7"/>
      <c r="EN2744" s="7"/>
      <c r="EO2744" s="7"/>
      <c r="EP2744" s="7"/>
      <c r="EQ2744" s="7"/>
      <c r="ER2744" s="7"/>
      <c r="ES2744" s="7"/>
      <c r="ET2744" s="7"/>
      <c r="EU2744" s="7"/>
      <c r="EV2744" s="7"/>
      <c r="EW2744" s="7"/>
      <c r="EX2744" s="7"/>
      <c r="EY2744" s="7"/>
      <c r="EZ2744" s="7"/>
      <c r="FA2744" s="7"/>
      <c r="FB2744" s="7"/>
      <c r="FC2744" s="7"/>
      <c r="FD2744" s="7"/>
      <c r="FE2744" s="7"/>
      <c r="FF2744" s="7"/>
      <c r="FG2744" s="7"/>
      <c r="FH2744" s="7"/>
      <c r="FI2744" s="7"/>
      <c r="FJ2744" s="7"/>
      <c r="FK2744" s="7"/>
      <c r="FL2744" s="7"/>
      <c r="FM2744" s="7"/>
      <c r="FN2744" s="7"/>
      <c r="FO2744" s="7"/>
      <c r="FP2744" s="7"/>
      <c r="FQ2744" s="7"/>
      <c r="FR2744" s="7"/>
      <c r="FS2744" s="7"/>
      <c r="FT2744" s="7"/>
      <c r="FU2744" s="7"/>
      <c r="FV2744" s="7"/>
      <c r="FW2744" s="7"/>
      <c r="FX2744" s="7"/>
      <c r="FY2744" s="7"/>
      <c r="FZ2744" s="7"/>
      <c r="GA2744" s="7"/>
      <c r="GB2744" s="7"/>
      <c r="GC2744" s="7"/>
      <c r="GD2744" s="7"/>
      <c r="GE2744" s="7"/>
      <c r="GF2744" s="7"/>
      <c r="GG2744" s="7"/>
      <c r="GH2744" s="7"/>
      <c r="GI2744" s="7"/>
      <c r="GJ2744" s="7"/>
      <c r="GK2744" s="7"/>
      <c r="GL2744" s="7"/>
      <c r="GM2744" s="7"/>
      <c r="GN2744" s="7"/>
      <c r="GO2744" s="7"/>
      <c r="GP2744" s="7"/>
      <c r="GQ2744" s="7"/>
      <c r="GR2744" s="7"/>
      <c r="GS2744" s="7"/>
      <c r="GT2744" s="7"/>
      <c r="GU2744" s="7"/>
      <c r="GV2744" s="7"/>
      <c r="GW2744" s="7"/>
      <c r="GX2744" s="7"/>
      <c r="GY2744" s="7"/>
      <c r="GZ2744" s="7"/>
      <c r="HA2744" s="7"/>
      <c r="HB2744" s="7"/>
      <c r="HC2744" s="7"/>
      <c r="HD2744" s="7"/>
      <c r="HE2744" s="7"/>
      <c r="HF2744" s="7"/>
      <c r="HG2744" s="7"/>
      <c r="HH2744" s="7"/>
      <c r="HI2744" s="7"/>
      <c r="HJ2744" s="7"/>
      <c r="HK2744" s="7"/>
      <c r="HL2744" s="7"/>
      <c r="HM2744" s="7"/>
      <c r="HN2744" s="7"/>
      <c r="HO2744" s="7"/>
      <c r="HP2744" s="7"/>
      <c r="HQ2744" s="7"/>
    </row>
    <row r="2745" spans="1:225" s="1" customFormat="1" ht="46.5" x14ac:dyDescent="0.35">
      <c r="A2745" s="257"/>
      <c r="B2745" s="257"/>
      <c r="C2745" s="289"/>
      <c r="D2745" s="263"/>
      <c r="E2745" s="263"/>
      <c r="F2745" s="266"/>
      <c r="G2745" s="257"/>
      <c r="H2745" s="159" t="s">
        <v>705</v>
      </c>
      <c r="I2745" s="158">
        <f>K2745*D2744</f>
        <v>1260532.7</v>
      </c>
      <c r="J2745" s="158">
        <f>I2745/D2744</f>
        <v>167</v>
      </c>
      <c r="K2745" s="85">
        <f>154+13</f>
        <v>167</v>
      </c>
      <c r="L2745" s="7"/>
      <c r="M2745" s="7"/>
      <c r="N2745" s="7"/>
      <c r="O2745" s="7"/>
      <c r="P2745" s="7"/>
      <c r="Q2745" s="7"/>
      <c r="R2745" s="7"/>
      <c r="S2745" s="7"/>
      <c r="T2745" s="7"/>
      <c r="U2745" s="7"/>
      <c r="V2745" s="7"/>
      <c r="W2745" s="7"/>
      <c r="X2745" s="7"/>
      <c r="Y2745" s="7"/>
      <c r="Z2745" s="7"/>
      <c r="AA2745" s="7"/>
      <c r="AB2745" s="7"/>
      <c r="AC2745" s="7"/>
      <c r="AD2745" s="7"/>
      <c r="AE2745" s="7"/>
      <c r="AF2745" s="7"/>
      <c r="AG2745" s="7"/>
      <c r="AH2745" s="7"/>
      <c r="AI2745" s="7"/>
      <c r="AJ2745" s="7"/>
      <c r="AK2745" s="7"/>
      <c r="AL2745" s="7"/>
      <c r="AM2745" s="7"/>
      <c r="AN2745" s="7"/>
      <c r="AO2745" s="7"/>
      <c r="AP2745" s="7"/>
      <c r="AQ2745" s="7"/>
      <c r="AR2745" s="7"/>
      <c r="AS2745" s="7"/>
      <c r="AT2745" s="7"/>
      <c r="AU2745" s="7"/>
      <c r="AV2745" s="7"/>
      <c r="AW2745" s="7"/>
      <c r="AX2745" s="7"/>
      <c r="AY2745" s="7"/>
      <c r="AZ2745" s="7"/>
      <c r="BA2745" s="7"/>
      <c r="BB2745" s="7"/>
      <c r="BC2745" s="7"/>
      <c r="BD2745" s="7"/>
      <c r="BE2745" s="7"/>
      <c r="BF2745" s="7"/>
      <c r="BG2745" s="7"/>
      <c r="BH2745" s="7"/>
      <c r="BI2745" s="7"/>
      <c r="BJ2745" s="7"/>
      <c r="BK2745" s="7"/>
      <c r="BL2745" s="7"/>
      <c r="BM2745" s="7"/>
      <c r="BN2745" s="7"/>
      <c r="BO2745" s="7"/>
      <c r="BP2745" s="7"/>
      <c r="BQ2745" s="7"/>
      <c r="BR2745" s="7"/>
      <c r="BS2745" s="7"/>
      <c r="BT2745" s="7"/>
      <c r="BU2745" s="7"/>
      <c r="BV2745" s="7"/>
      <c r="BW2745" s="7"/>
      <c r="BX2745" s="7"/>
      <c r="BY2745" s="7"/>
      <c r="BZ2745" s="7"/>
      <c r="CA2745" s="7"/>
      <c r="CB2745" s="7"/>
      <c r="CC2745" s="7"/>
      <c r="CD2745" s="7"/>
      <c r="CE2745" s="7"/>
      <c r="CF2745" s="7"/>
      <c r="CG2745" s="7"/>
      <c r="CH2745" s="7"/>
      <c r="CI2745" s="7"/>
      <c r="CJ2745" s="7"/>
      <c r="CK2745" s="7"/>
      <c r="CL2745" s="7"/>
      <c r="CM2745" s="7"/>
      <c r="CN2745" s="7"/>
      <c r="CO2745" s="7"/>
      <c r="CP2745" s="7"/>
      <c r="CQ2745" s="7"/>
      <c r="CR2745" s="7"/>
      <c r="CS2745" s="7"/>
      <c r="CT2745" s="7"/>
      <c r="CU2745" s="7"/>
      <c r="CV2745" s="7"/>
      <c r="CW2745" s="7"/>
      <c r="CX2745" s="7"/>
      <c r="CY2745" s="7"/>
      <c r="CZ2745" s="7"/>
      <c r="DA2745" s="7"/>
      <c r="DB2745" s="7"/>
      <c r="DC2745" s="7"/>
      <c r="DD2745" s="7"/>
      <c r="DE2745" s="7"/>
      <c r="DF2745" s="7"/>
      <c r="DG2745" s="7"/>
      <c r="DH2745" s="7"/>
      <c r="DI2745" s="7"/>
      <c r="DJ2745" s="7"/>
      <c r="DK2745" s="7"/>
      <c r="DL2745" s="7"/>
      <c r="DM2745" s="7"/>
      <c r="DN2745" s="7"/>
      <c r="DO2745" s="7"/>
      <c r="DP2745" s="7"/>
      <c r="DQ2745" s="7"/>
      <c r="DR2745" s="7"/>
      <c r="DS2745" s="7"/>
      <c r="DT2745" s="7"/>
      <c r="DU2745" s="7"/>
      <c r="DV2745" s="7"/>
      <c r="DW2745" s="7"/>
      <c r="DX2745" s="7"/>
      <c r="DY2745" s="7"/>
      <c r="DZ2745" s="7"/>
      <c r="EA2745" s="7"/>
      <c r="EB2745" s="7"/>
      <c r="EC2745" s="7"/>
      <c r="ED2745" s="7"/>
      <c r="EE2745" s="7"/>
      <c r="EF2745" s="7"/>
      <c r="EG2745" s="7"/>
      <c r="EH2745" s="7"/>
      <c r="EI2745" s="7"/>
      <c r="EJ2745" s="7"/>
      <c r="EK2745" s="7"/>
      <c r="EL2745" s="7"/>
      <c r="EM2745" s="7"/>
      <c r="EN2745" s="7"/>
      <c r="EO2745" s="7"/>
      <c r="EP2745" s="7"/>
      <c r="EQ2745" s="7"/>
      <c r="ER2745" s="7"/>
      <c r="ES2745" s="7"/>
      <c r="ET2745" s="7"/>
      <c r="EU2745" s="7"/>
      <c r="EV2745" s="7"/>
      <c r="EW2745" s="7"/>
      <c r="EX2745" s="7"/>
      <c r="EY2745" s="7"/>
      <c r="EZ2745" s="7"/>
      <c r="FA2745" s="7"/>
      <c r="FB2745" s="7"/>
      <c r="FC2745" s="7"/>
      <c r="FD2745" s="7"/>
      <c r="FE2745" s="7"/>
      <c r="FF2745" s="7"/>
      <c r="FG2745" s="7"/>
      <c r="FH2745" s="7"/>
      <c r="FI2745" s="7"/>
      <c r="FJ2745" s="7"/>
      <c r="FK2745" s="7"/>
      <c r="FL2745" s="7"/>
      <c r="FM2745" s="7"/>
      <c r="FN2745" s="7"/>
      <c r="FO2745" s="7"/>
      <c r="FP2745" s="7"/>
      <c r="FQ2745" s="7"/>
      <c r="FR2745" s="7"/>
      <c r="FS2745" s="7"/>
      <c r="FT2745" s="7"/>
      <c r="FU2745" s="7"/>
      <c r="FV2745" s="7"/>
      <c r="FW2745" s="7"/>
      <c r="FX2745" s="7"/>
      <c r="FY2745" s="7"/>
      <c r="FZ2745" s="7"/>
      <c r="GA2745" s="7"/>
      <c r="GB2745" s="7"/>
      <c r="GC2745" s="7"/>
      <c r="GD2745" s="7"/>
      <c r="GE2745" s="7"/>
      <c r="GF2745" s="7"/>
      <c r="GG2745" s="7"/>
      <c r="GH2745" s="7"/>
      <c r="GI2745" s="7"/>
      <c r="GJ2745" s="7"/>
      <c r="GK2745" s="7"/>
      <c r="GL2745" s="7"/>
      <c r="GM2745" s="7"/>
      <c r="GN2745" s="7"/>
      <c r="GO2745" s="7"/>
      <c r="GP2745" s="7"/>
      <c r="GQ2745" s="7"/>
      <c r="GR2745" s="7"/>
      <c r="GS2745" s="7"/>
      <c r="GT2745" s="7"/>
      <c r="GU2745" s="7"/>
      <c r="GV2745" s="7"/>
      <c r="GW2745" s="7"/>
      <c r="GX2745" s="7"/>
      <c r="GY2745" s="7"/>
      <c r="GZ2745" s="7"/>
      <c r="HA2745" s="7"/>
      <c r="HB2745" s="7"/>
      <c r="HC2745" s="7"/>
      <c r="HD2745" s="7"/>
      <c r="HE2745" s="7"/>
      <c r="HF2745" s="7"/>
      <c r="HG2745" s="7"/>
      <c r="HH2745" s="7"/>
      <c r="HI2745" s="7"/>
      <c r="HJ2745" s="7"/>
      <c r="HK2745" s="7"/>
      <c r="HL2745" s="7"/>
      <c r="HM2745" s="7"/>
      <c r="HN2745" s="7"/>
      <c r="HO2745" s="7"/>
      <c r="HP2745" s="7"/>
      <c r="HQ2745" s="7"/>
    </row>
    <row r="2746" spans="1:225" s="1" customFormat="1" ht="15.75" customHeight="1" x14ac:dyDescent="0.35">
      <c r="A2746" s="251">
        <f>A2744+1</f>
        <v>10</v>
      </c>
      <c r="B2746" s="251">
        <v>5140</v>
      </c>
      <c r="C2746" s="309" t="s">
        <v>541</v>
      </c>
      <c r="D2746" s="253">
        <v>8292.2000000000007</v>
      </c>
      <c r="E2746" s="253" t="s">
        <v>75</v>
      </c>
      <c r="F2746" s="255">
        <v>9</v>
      </c>
      <c r="G2746" s="251" t="s">
        <v>72</v>
      </c>
      <c r="H2746" s="159" t="s">
        <v>73</v>
      </c>
      <c r="I2746" s="158">
        <f>I2747+I2748</f>
        <v>9763236.2799999993</v>
      </c>
      <c r="J2746" s="158">
        <f>J2747+J2748</f>
        <v>1177.4000000000001</v>
      </c>
      <c r="K2746" s="158">
        <f>K2747+K2748</f>
        <v>1667</v>
      </c>
      <c r="L2746" s="7"/>
      <c r="M2746" s="7"/>
      <c r="N2746" s="7"/>
      <c r="O2746" s="7"/>
      <c r="P2746" s="7"/>
      <c r="Q2746" s="7"/>
      <c r="R2746" s="7"/>
      <c r="S2746" s="7"/>
      <c r="T2746" s="7"/>
      <c r="U2746" s="7"/>
      <c r="V2746" s="7"/>
      <c r="W2746" s="7"/>
      <c r="X2746" s="7"/>
      <c r="Y2746" s="7"/>
      <c r="Z2746" s="7"/>
      <c r="AA2746" s="7"/>
      <c r="AB2746" s="7"/>
      <c r="AC2746" s="7"/>
      <c r="AD2746" s="7"/>
      <c r="AE2746" s="7"/>
      <c r="AF2746" s="7"/>
      <c r="AG2746" s="7"/>
      <c r="AH2746" s="7"/>
      <c r="AI2746" s="7"/>
      <c r="AJ2746" s="7"/>
      <c r="AK2746" s="7"/>
      <c r="AL2746" s="7"/>
      <c r="AM2746" s="7"/>
      <c r="AN2746" s="7"/>
      <c r="AO2746" s="7"/>
      <c r="AP2746" s="7"/>
      <c r="AQ2746" s="7"/>
      <c r="AR2746" s="7"/>
      <c r="AS2746" s="7"/>
      <c r="AT2746" s="7"/>
      <c r="AU2746" s="7"/>
      <c r="AV2746" s="7"/>
      <c r="AW2746" s="7"/>
      <c r="AX2746" s="7"/>
      <c r="AY2746" s="7"/>
      <c r="AZ2746" s="7"/>
      <c r="BA2746" s="7"/>
      <c r="BB2746" s="7"/>
      <c r="BC2746" s="7"/>
      <c r="BD2746" s="7"/>
      <c r="BE2746" s="7"/>
      <c r="BF2746" s="7"/>
      <c r="BG2746" s="7"/>
      <c r="BH2746" s="7"/>
      <c r="BI2746" s="7"/>
      <c r="BJ2746" s="7"/>
      <c r="BK2746" s="7"/>
      <c r="BL2746" s="7"/>
      <c r="BM2746" s="7"/>
      <c r="BN2746" s="7"/>
      <c r="BO2746" s="7"/>
      <c r="BP2746" s="7"/>
      <c r="BQ2746" s="7"/>
      <c r="BR2746" s="7"/>
      <c r="BS2746" s="7"/>
      <c r="BT2746" s="7"/>
      <c r="BU2746" s="7"/>
      <c r="BV2746" s="7"/>
      <c r="BW2746" s="7"/>
      <c r="BX2746" s="7"/>
      <c r="BY2746" s="7"/>
      <c r="BZ2746" s="7"/>
      <c r="CA2746" s="7"/>
      <c r="CB2746" s="7"/>
      <c r="CC2746" s="7"/>
      <c r="CD2746" s="7"/>
      <c r="CE2746" s="7"/>
      <c r="CF2746" s="7"/>
      <c r="CG2746" s="7"/>
      <c r="CH2746" s="7"/>
      <c r="CI2746" s="7"/>
      <c r="CJ2746" s="7"/>
      <c r="CK2746" s="7"/>
      <c r="CL2746" s="7"/>
      <c r="CM2746" s="7"/>
      <c r="CN2746" s="7"/>
      <c r="CO2746" s="7"/>
      <c r="CP2746" s="7"/>
      <c r="CQ2746" s="7"/>
      <c r="CR2746" s="7"/>
      <c r="CS2746" s="7"/>
      <c r="CT2746" s="7"/>
      <c r="CU2746" s="7"/>
      <c r="CV2746" s="7"/>
      <c r="CW2746" s="7"/>
      <c r="CX2746" s="7"/>
      <c r="CY2746" s="7"/>
      <c r="CZ2746" s="7"/>
      <c r="DA2746" s="7"/>
      <c r="DB2746" s="7"/>
      <c r="DC2746" s="7"/>
      <c r="DD2746" s="7"/>
      <c r="DE2746" s="7"/>
      <c r="DF2746" s="7"/>
      <c r="DG2746" s="7"/>
      <c r="DH2746" s="7"/>
      <c r="DI2746" s="7"/>
      <c r="DJ2746" s="7"/>
      <c r="DK2746" s="7"/>
      <c r="DL2746" s="7"/>
      <c r="DM2746" s="7"/>
      <c r="DN2746" s="7"/>
      <c r="DO2746" s="7"/>
      <c r="DP2746" s="7"/>
      <c r="DQ2746" s="7"/>
      <c r="DR2746" s="7"/>
      <c r="DS2746" s="7"/>
      <c r="DT2746" s="7"/>
      <c r="DU2746" s="7"/>
      <c r="DV2746" s="7"/>
      <c r="DW2746" s="7"/>
      <c r="DX2746" s="7"/>
      <c r="DY2746" s="7"/>
      <c r="DZ2746" s="7"/>
      <c r="EA2746" s="7"/>
      <c r="EB2746" s="7"/>
      <c r="EC2746" s="7"/>
      <c r="ED2746" s="7"/>
      <c r="EE2746" s="7"/>
      <c r="EF2746" s="7"/>
      <c r="EG2746" s="7"/>
      <c r="EH2746" s="7"/>
      <c r="EI2746" s="7"/>
      <c r="EJ2746" s="7"/>
      <c r="EK2746" s="7"/>
      <c r="EL2746" s="7"/>
      <c r="EM2746" s="7"/>
      <c r="EN2746" s="7"/>
      <c r="EO2746" s="7"/>
      <c r="EP2746" s="7"/>
      <c r="EQ2746" s="7"/>
      <c r="ER2746" s="7"/>
      <c r="ES2746" s="7"/>
      <c r="ET2746" s="7"/>
      <c r="EU2746" s="7"/>
      <c r="EV2746" s="7"/>
      <c r="EW2746" s="7"/>
      <c r="EX2746" s="7"/>
      <c r="EY2746" s="7"/>
      <c r="EZ2746" s="7"/>
      <c r="FA2746" s="7"/>
      <c r="FB2746" s="7"/>
      <c r="FC2746" s="7"/>
      <c r="FD2746" s="7"/>
      <c r="FE2746" s="7"/>
      <c r="FF2746" s="7"/>
      <c r="FG2746" s="7"/>
      <c r="FH2746" s="7"/>
      <c r="FI2746" s="7"/>
      <c r="FJ2746" s="7"/>
      <c r="FK2746" s="7"/>
      <c r="FL2746" s="7"/>
      <c r="FM2746" s="7"/>
      <c r="FN2746" s="7"/>
      <c r="FO2746" s="7"/>
      <c r="FP2746" s="7"/>
      <c r="FQ2746" s="7"/>
      <c r="FR2746" s="7"/>
      <c r="FS2746" s="7"/>
      <c r="FT2746" s="7"/>
      <c r="FU2746" s="7"/>
      <c r="FV2746" s="7"/>
      <c r="FW2746" s="7"/>
      <c r="FX2746" s="7"/>
      <c r="FY2746" s="7"/>
      <c r="FZ2746" s="7"/>
      <c r="GA2746" s="7"/>
      <c r="GB2746" s="7"/>
      <c r="GC2746" s="7"/>
      <c r="GD2746" s="7"/>
      <c r="GE2746" s="7"/>
      <c r="GF2746" s="7"/>
      <c r="GG2746" s="7"/>
      <c r="GH2746" s="7"/>
      <c r="GI2746" s="7"/>
      <c r="GJ2746" s="7"/>
      <c r="GK2746" s="7"/>
      <c r="GL2746" s="7"/>
      <c r="GM2746" s="7"/>
      <c r="GN2746" s="7"/>
      <c r="GO2746" s="7"/>
      <c r="GP2746" s="7"/>
      <c r="GQ2746" s="7"/>
      <c r="GR2746" s="7"/>
      <c r="GS2746" s="7"/>
      <c r="GT2746" s="7"/>
      <c r="GU2746" s="7"/>
      <c r="GV2746" s="7"/>
      <c r="GW2746" s="7"/>
      <c r="GX2746" s="7"/>
      <c r="GY2746" s="7"/>
      <c r="GZ2746" s="7"/>
      <c r="HA2746" s="7"/>
      <c r="HB2746" s="7"/>
      <c r="HC2746" s="7"/>
      <c r="HD2746" s="7"/>
      <c r="HE2746" s="7"/>
      <c r="HF2746" s="7"/>
      <c r="HG2746" s="7"/>
      <c r="HH2746" s="7"/>
      <c r="HI2746" s="7"/>
      <c r="HJ2746" s="7"/>
      <c r="HK2746" s="7"/>
      <c r="HL2746" s="7"/>
      <c r="HM2746" s="7"/>
      <c r="HN2746" s="7"/>
      <c r="HO2746" s="7"/>
      <c r="HP2746" s="7"/>
      <c r="HQ2746" s="7"/>
    </row>
    <row r="2747" spans="1:225" x14ac:dyDescent="0.35">
      <c r="A2747" s="251">
        <v>275</v>
      </c>
      <c r="B2747" s="251"/>
      <c r="C2747" s="309"/>
      <c r="D2747" s="253"/>
      <c r="E2747" s="253"/>
      <c r="F2747" s="255"/>
      <c r="G2747" s="251"/>
      <c r="H2747" s="159" t="s">
        <v>74</v>
      </c>
      <c r="I2747" s="158">
        <f>K2747*D2746*0.7</f>
        <v>9473009.2799999993</v>
      </c>
      <c r="J2747" s="158">
        <f>I2747/D2746</f>
        <v>1142.4000000000001</v>
      </c>
      <c r="K2747" s="158">
        <v>1632</v>
      </c>
      <c r="L2747" s="7"/>
      <c r="M2747" s="7"/>
      <c r="N2747" s="7"/>
      <c r="O2747" s="7"/>
      <c r="P2747" s="7"/>
      <c r="Q2747" s="7"/>
      <c r="R2747" s="7"/>
      <c r="S2747" s="7"/>
      <c r="T2747" s="7"/>
      <c r="U2747" s="7"/>
      <c r="V2747" s="7"/>
      <c r="W2747" s="7"/>
    </row>
    <row r="2748" spans="1:225" s="1" customFormat="1" x14ac:dyDescent="0.35">
      <c r="A2748" s="251">
        <v>276</v>
      </c>
      <c r="B2748" s="251"/>
      <c r="C2748" s="309"/>
      <c r="D2748" s="253"/>
      <c r="E2748" s="253"/>
      <c r="F2748" s="255"/>
      <c r="G2748" s="251"/>
      <c r="H2748" s="159" t="s">
        <v>76</v>
      </c>
      <c r="I2748" s="158">
        <f>K2748*D2746</f>
        <v>290227</v>
      </c>
      <c r="J2748" s="158">
        <f>I2748/D2746</f>
        <v>35</v>
      </c>
      <c r="K2748" s="158">
        <v>35</v>
      </c>
      <c r="L2748" s="7"/>
      <c r="M2748" s="7"/>
      <c r="N2748" s="7"/>
      <c r="O2748" s="7"/>
      <c r="P2748" s="7"/>
      <c r="Q2748" s="7"/>
      <c r="R2748" s="7"/>
      <c r="S2748" s="7"/>
      <c r="T2748" s="7"/>
      <c r="U2748" s="7"/>
      <c r="V2748" s="7"/>
      <c r="W2748" s="7"/>
      <c r="X2748" s="7"/>
      <c r="Y2748" s="7"/>
      <c r="Z2748" s="7"/>
      <c r="AA2748" s="7"/>
      <c r="AB2748" s="7"/>
      <c r="AC2748" s="7"/>
      <c r="AD2748" s="7"/>
      <c r="AE2748" s="7"/>
      <c r="AF2748" s="7"/>
      <c r="AG2748" s="7"/>
      <c r="AH2748" s="7"/>
      <c r="AI2748" s="7"/>
      <c r="AJ2748" s="7"/>
      <c r="AK2748" s="7"/>
      <c r="AL2748" s="7"/>
      <c r="AM2748" s="7"/>
      <c r="AN2748" s="7"/>
      <c r="AO2748" s="7"/>
      <c r="AP2748" s="7"/>
      <c r="AQ2748" s="7"/>
      <c r="AR2748" s="7"/>
      <c r="AS2748" s="7"/>
      <c r="AT2748" s="7"/>
      <c r="AU2748" s="7"/>
      <c r="AV2748" s="7"/>
      <c r="AW2748" s="7"/>
      <c r="AX2748" s="7"/>
      <c r="AY2748" s="7"/>
      <c r="AZ2748" s="7"/>
      <c r="BA2748" s="7"/>
      <c r="BB2748" s="7"/>
      <c r="BC2748" s="7"/>
      <c r="BD2748" s="7"/>
      <c r="BE2748" s="7"/>
      <c r="BF2748" s="7"/>
      <c r="BG2748" s="7"/>
      <c r="BH2748" s="7"/>
      <c r="BI2748" s="7"/>
      <c r="BJ2748" s="7"/>
      <c r="BK2748" s="7"/>
      <c r="BL2748" s="7"/>
      <c r="BM2748" s="7"/>
      <c r="BN2748" s="7"/>
      <c r="BO2748" s="7"/>
      <c r="BP2748" s="7"/>
      <c r="BQ2748" s="7"/>
      <c r="BR2748" s="7"/>
      <c r="BS2748" s="7"/>
      <c r="BT2748" s="7"/>
      <c r="BU2748" s="7"/>
      <c r="BV2748" s="7"/>
      <c r="BW2748" s="7"/>
      <c r="BX2748" s="7"/>
      <c r="BY2748" s="7"/>
      <c r="BZ2748" s="7"/>
      <c r="CA2748" s="7"/>
      <c r="CB2748" s="7"/>
      <c r="CC2748" s="7"/>
      <c r="CD2748" s="7"/>
      <c r="CE2748" s="7"/>
      <c r="CF2748" s="7"/>
      <c r="CG2748" s="7"/>
      <c r="CH2748" s="7"/>
      <c r="CI2748" s="7"/>
      <c r="CJ2748" s="7"/>
      <c r="CK2748" s="7"/>
      <c r="CL2748" s="7"/>
      <c r="CM2748" s="7"/>
      <c r="CN2748" s="7"/>
      <c r="CO2748" s="7"/>
      <c r="CP2748" s="7"/>
      <c r="CQ2748" s="7"/>
      <c r="CR2748" s="7"/>
      <c r="CS2748" s="7"/>
      <c r="CT2748" s="7"/>
      <c r="CU2748" s="7"/>
      <c r="CV2748" s="7"/>
      <c r="CW2748" s="7"/>
      <c r="CX2748" s="7"/>
      <c r="CY2748" s="7"/>
      <c r="CZ2748" s="7"/>
      <c r="DA2748" s="7"/>
      <c r="DB2748" s="7"/>
      <c r="DC2748" s="7"/>
      <c r="DD2748" s="7"/>
      <c r="DE2748" s="7"/>
      <c r="DF2748" s="7"/>
      <c r="DG2748" s="7"/>
      <c r="DH2748" s="7"/>
      <c r="DI2748" s="7"/>
      <c r="DJ2748" s="7"/>
      <c r="DK2748" s="7"/>
      <c r="DL2748" s="7"/>
      <c r="DM2748" s="7"/>
      <c r="DN2748" s="7"/>
      <c r="DO2748" s="7"/>
      <c r="DP2748" s="7"/>
      <c r="DQ2748" s="7"/>
      <c r="DR2748" s="7"/>
      <c r="DS2748" s="7"/>
      <c r="DT2748" s="7"/>
      <c r="DU2748" s="7"/>
      <c r="DV2748" s="7"/>
      <c r="DW2748" s="7"/>
      <c r="DX2748" s="7"/>
      <c r="DY2748" s="7"/>
      <c r="DZ2748" s="7"/>
      <c r="EA2748" s="7"/>
      <c r="EB2748" s="7"/>
      <c r="EC2748" s="7"/>
      <c r="ED2748" s="7"/>
      <c r="EE2748" s="7"/>
      <c r="EF2748" s="7"/>
      <c r="EG2748" s="7"/>
      <c r="EH2748" s="7"/>
      <c r="EI2748" s="7"/>
      <c r="EJ2748" s="7"/>
      <c r="EK2748" s="7"/>
      <c r="EL2748" s="7"/>
      <c r="EM2748" s="7"/>
      <c r="EN2748" s="7"/>
      <c r="EO2748" s="7"/>
      <c r="EP2748" s="7"/>
      <c r="EQ2748" s="7"/>
      <c r="ER2748" s="7"/>
      <c r="ES2748" s="7"/>
      <c r="ET2748" s="7"/>
      <c r="EU2748" s="7"/>
      <c r="EV2748" s="7"/>
      <c r="EW2748" s="7"/>
      <c r="EX2748" s="7"/>
      <c r="EY2748" s="7"/>
      <c r="EZ2748" s="7"/>
      <c r="FA2748" s="7"/>
      <c r="FB2748" s="7"/>
      <c r="FC2748" s="7"/>
      <c r="FD2748" s="7"/>
      <c r="FE2748" s="7"/>
      <c r="FF2748" s="7"/>
      <c r="FG2748" s="7"/>
      <c r="FH2748" s="7"/>
      <c r="FI2748" s="7"/>
      <c r="FJ2748" s="7"/>
      <c r="FK2748" s="7"/>
      <c r="FL2748" s="7"/>
      <c r="FM2748" s="7"/>
      <c r="FN2748" s="7"/>
      <c r="FO2748" s="7"/>
      <c r="FP2748" s="7"/>
      <c r="FQ2748" s="7"/>
      <c r="FR2748" s="7"/>
      <c r="FS2748" s="7"/>
      <c r="FT2748" s="7"/>
      <c r="FU2748" s="7"/>
      <c r="FV2748" s="7"/>
      <c r="FW2748" s="7"/>
      <c r="FX2748" s="7"/>
      <c r="FY2748" s="7"/>
      <c r="FZ2748" s="7"/>
      <c r="GA2748" s="7"/>
      <c r="GB2748" s="7"/>
      <c r="GC2748" s="7"/>
      <c r="GD2748" s="7"/>
      <c r="GE2748" s="7"/>
      <c r="GF2748" s="7"/>
      <c r="GG2748" s="7"/>
      <c r="GH2748" s="7"/>
      <c r="GI2748" s="7"/>
      <c r="GJ2748" s="7"/>
      <c r="GK2748" s="7"/>
      <c r="GL2748" s="7"/>
      <c r="GM2748" s="7"/>
      <c r="GN2748" s="7"/>
      <c r="GO2748" s="7"/>
      <c r="GP2748" s="7"/>
      <c r="GQ2748" s="7"/>
      <c r="GR2748" s="7"/>
      <c r="GS2748" s="7"/>
      <c r="GT2748" s="7"/>
      <c r="GU2748" s="7"/>
      <c r="GV2748" s="7"/>
      <c r="GW2748" s="7"/>
      <c r="GX2748" s="7"/>
      <c r="GY2748" s="7"/>
      <c r="GZ2748" s="7"/>
      <c r="HA2748" s="7"/>
      <c r="HB2748" s="7"/>
      <c r="HC2748" s="7"/>
      <c r="HD2748" s="7"/>
      <c r="HE2748" s="7"/>
      <c r="HF2748" s="7"/>
      <c r="HG2748" s="7"/>
      <c r="HH2748" s="7"/>
      <c r="HI2748" s="7"/>
      <c r="HJ2748" s="7"/>
      <c r="HK2748" s="7"/>
      <c r="HL2748" s="7"/>
      <c r="HM2748" s="7"/>
      <c r="HN2748" s="7"/>
      <c r="HO2748" s="7"/>
      <c r="HP2748" s="7"/>
      <c r="HQ2748" s="7"/>
    </row>
    <row r="2749" spans="1:225" s="1" customFormat="1" ht="15.75" customHeight="1" x14ac:dyDescent="0.35">
      <c r="A2749" s="251">
        <f>A2746+1</f>
        <v>11</v>
      </c>
      <c r="B2749" s="251">
        <v>5164</v>
      </c>
      <c r="C2749" s="309" t="s">
        <v>542</v>
      </c>
      <c r="D2749" s="253">
        <v>2523.3000000000002</v>
      </c>
      <c r="E2749" s="253" t="s">
        <v>75</v>
      </c>
      <c r="F2749" s="255">
        <v>5</v>
      </c>
      <c r="G2749" s="251" t="s">
        <v>72</v>
      </c>
      <c r="H2749" s="159" t="s">
        <v>73</v>
      </c>
      <c r="I2749" s="158">
        <f>I2750+I2751</f>
        <v>7738961.0999999996</v>
      </c>
      <c r="J2749" s="158">
        <f>J2750+J2751</f>
        <v>3067</v>
      </c>
      <c r="K2749" s="158">
        <f>K2750+K2751</f>
        <v>3067</v>
      </c>
      <c r="L2749" s="7"/>
      <c r="M2749" s="7"/>
      <c r="N2749" s="7"/>
      <c r="O2749" s="7"/>
      <c r="P2749" s="7"/>
      <c r="Q2749" s="7"/>
      <c r="R2749" s="7"/>
      <c r="S2749" s="7"/>
      <c r="T2749" s="7"/>
      <c r="U2749" s="7"/>
      <c r="V2749" s="7"/>
      <c r="W2749" s="7"/>
      <c r="X2749" s="7"/>
      <c r="Y2749" s="7"/>
      <c r="Z2749" s="7"/>
      <c r="AA2749" s="7"/>
      <c r="AB2749" s="7"/>
      <c r="AC2749" s="7"/>
      <c r="AD2749" s="7"/>
      <c r="AE2749" s="7"/>
      <c r="AF2749" s="7"/>
      <c r="AG2749" s="7"/>
      <c r="AH2749" s="7"/>
      <c r="AI2749" s="7"/>
      <c r="AJ2749" s="7"/>
      <c r="AK2749" s="7"/>
      <c r="AL2749" s="7"/>
      <c r="AM2749" s="7"/>
      <c r="AN2749" s="7"/>
      <c r="AO2749" s="7"/>
      <c r="AP2749" s="7"/>
      <c r="AQ2749" s="7"/>
      <c r="AR2749" s="7"/>
      <c r="AS2749" s="7"/>
      <c r="AT2749" s="7"/>
      <c r="AU2749" s="7"/>
      <c r="AV2749" s="7"/>
      <c r="AW2749" s="7"/>
      <c r="AX2749" s="7"/>
      <c r="AY2749" s="7"/>
      <c r="AZ2749" s="7"/>
      <c r="BA2749" s="7"/>
      <c r="BB2749" s="7"/>
      <c r="BC2749" s="7"/>
      <c r="BD2749" s="7"/>
      <c r="BE2749" s="7"/>
      <c r="BF2749" s="7"/>
      <c r="BG2749" s="7"/>
      <c r="BH2749" s="7"/>
      <c r="BI2749" s="7"/>
      <c r="BJ2749" s="7"/>
      <c r="BK2749" s="7"/>
      <c r="BL2749" s="7"/>
      <c r="BM2749" s="7"/>
      <c r="BN2749" s="7"/>
      <c r="BO2749" s="7"/>
      <c r="BP2749" s="7"/>
      <c r="BQ2749" s="7"/>
      <c r="BR2749" s="7"/>
      <c r="BS2749" s="7"/>
      <c r="BT2749" s="7"/>
      <c r="BU2749" s="7"/>
      <c r="BV2749" s="7"/>
      <c r="BW2749" s="7"/>
      <c r="BX2749" s="7"/>
      <c r="BY2749" s="7"/>
      <c r="BZ2749" s="7"/>
      <c r="CA2749" s="7"/>
      <c r="CB2749" s="7"/>
      <c r="CC2749" s="7"/>
      <c r="CD2749" s="7"/>
      <c r="CE2749" s="7"/>
      <c r="CF2749" s="7"/>
      <c r="CG2749" s="7"/>
      <c r="CH2749" s="7"/>
      <c r="CI2749" s="7"/>
      <c r="CJ2749" s="7"/>
      <c r="CK2749" s="7"/>
      <c r="CL2749" s="7"/>
      <c r="CM2749" s="7"/>
      <c r="CN2749" s="7"/>
      <c r="CO2749" s="7"/>
      <c r="CP2749" s="7"/>
      <c r="CQ2749" s="7"/>
      <c r="CR2749" s="7"/>
      <c r="CS2749" s="7"/>
      <c r="CT2749" s="7"/>
      <c r="CU2749" s="7"/>
      <c r="CV2749" s="7"/>
      <c r="CW2749" s="7"/>
      <c r="CX2749" s="7"/>
      <c r="CY2749" s="7"/>
      <c r="CZ2749" s="7"/>
      <c r="DA2749" s="7"/>
      <c r="DB2749" s="7"/>
      <c r="DC2749" s="7"/>
      <c r="DD2749" s="7"/>
      <c r="DE2749" s="7"/>
      <c r="DF2749" s="7"/>
      <c r="DG2749" s="7"/>
      <c r="DH2749" s="7"/>
      <c r="DI2749" s="7"/>
      <c r="DJ2749" s="7"/>
      <c r="DK2749" s="7"/>
      <c r="DL2749" s="7"/>
      <c r="DM2749" s="7"/>
      <c r="DN2749" s="7"/>
      <c r="DO2749" s="7"/>
      <c r="DP2749" s="7"/>
      <c r="DQ2749" s="7"/>
      <c r="DR2749" s="7"/>
      <c r="DS2749" s="7"/>
      <c r="DT2749" s="7"/>
      <c r="DU2749" s="7"/>
      <c r="DV2749" s="7"/>
      <c r="DW2749" s="7"/>
      <c r="DX2749" s="7"/>
      <c r="DY2749" s="7"/>
      <c r="DZ2749" s="7"/>
      <c r="EA2749" s="7"/>
      <c r="EB2749" s="7"/>
      <c r="EC2749" s="7"/>
      <c r="ED2749" s="7"/>
      <c r="EE2749" s="7"/>
      <c r="EF2749" s="7"/>
      <c r="EG2749" s="7"/>
      <c r="EH2749" s="7"/>
      <c r="EI2749" s="7"/>
      <c r="EJ2749" s="7"/>
      <c r="EK2749" s="7"/>
      <c r="EL2749" s="7"/>
      <c r="EM2749" s="7"/>
      <c r="EN2749" s="7"/>
      <c r="EO2749" s="7"/>
      <c r="EP2749" s="7"/>
      <c r="EQ2749" s="7"/>
      <c r="ER2749" s="7"/>
      <c r="ES2749" s="7"/>
      <c r="ET2749" s="7"/>
      <c r="EU2749" s="7"/>
      <c r="EV2749" s="7"/>
      <c r="EW2749" s="7"/>
      <c r="EX2749" s="7"/>
      <c r="EY2749" s="7"/>
      <c r="EZ2749" s="7"/>
      <c r="FA2749" s="7"/>
      <c r="FB2749" s="7"/>
      <c r="FC2749" s="7"/>
      <c r="FD2749" s="7"/>
      <c r="FE2749" s="7"/>
      <c r="FF2749" s="7"/>
      <c r="FG2749" s="7"/>
      <c r="FH2749" s="7"/>
      <c r="FI2749" s="7"/>
      <c r="FJ2749" s="7"/>
      <c r="FK2749" s="7"/>
      <c r="FL2749" s="7"/>
      <c r="FM2749" s="7"/>
      <c r="FN2749" s="7"/>
      <c r="FO2749" s="7"/>
      <c r="FP2749" s="7"/>
      <c r="FQ2749" s="7"/>
      <c r="FR2749" s="7"/>
      <c r="FS2749" s="7"/>
      <c r="FT2749" s="7"/>
      <c r="FU2749" s="7"/>
      <c r="FV2749" s="7"/>
      <c r="FW2749" s="7"/>
      <c r="FX2749" s="7"/>
      <c r="FY2749" s="7"/>
      <c r="FZ2749" s="7"/>
      <c r="GA2749" s="7"/>
      <c r="GB2749" s="7"/>
      <c r="GC2749" s="7"/>
      <c r="GD2749" s="7"/>
      <c r="GE2749" s="7"/>
      <c r="GF2749" s="7"/>
      <c r="GG2749" s="7"/>
      <c r="GH2749" s="7"/>
      <c r="GI2749" s="7"/>
      <c r="GJ2749" s="7"/>
      <c r="GK2749" s="7"/>
      <c r="GL2749" s="7"/>
      <c r="GM2749" s="7"/>
      <c r="GN2749" s="7"/>
      <c r="GO2749" s="7"/>
      <c r="GP2749" s="7"/>
      <c r="GQ2749" s="7"/>
      <c r="GR2749" s="7"/>
      <c r="GS2749" s="7"/>
      <c r="GT2749" s="7"/>
      <c r="GU2749" s="7"/>
      <c r="GV2749" s="7"/>
      <c r="GW2749" s="7"/>
      <c r="GX2749" s="7"/>
      <c r="GY2749" s="7"/>
      <c r="GZ2749" s="7"/>
      <c r="HA2749" s="7"/>
      <c r="HB2749" s="7"/>
      <c r="HC2749" s="7"/>
      <c r="HD2749" s="7"/>
      <c r="HE2749" s="7"/>
      <c r="HF2749" s="7"/>
      <c r="HG2749" s="7"/>
      <c r="HH2749" s="7"/>
      <c r="HI2749" s="7"/>
      <c r="HJ2749" s="7"/>
      <c r="HK2749" s="7"/>
      <c r="HL2749" s="7"/>
      <c r="HM2749" s="7"/>
      <c r="HN2749" s="7"/>
      <c r="HO2749" s="7"/>
      <c r="HP2749" s="7"/>
      <c r="HQ2749" s="7"/>
    </row>
    <row r="2750" spans="1:225" s="1" customFormat="1" x14ac:dyDescent="0.35">
      <c r="A2750" s="251">
        <v>275</v>
      </c>
      <c r="B2750" s="251"/>
      <c r="C2750" s="309"/>
      <c r="D2750" s="253"/>
      <c r="E2750" s="253"/>
      <c r="F2750" s="255"/>
      <c r="G2750" s="251"/>
      <c r="H2750" s="159" t="s">
        <v>74</v>
      </c>
      <c r="I2750" s="158">
        <f>K2750*D2749</f>
        <v>7577469.9000000004</v>
      </c>
      <c r="J2750" s="158">
        <f>I2750/D2749</f>
        <v>3003</v>
      </c>
      <c r="K2750" s="158">
        <v>3003</v>
      </c>
      <c r="L2750" s="7"/>
      <c r="M2750" s="7"/>
      <c r="N2750" s="7"/>
      <c r="O2750" s="7"/>
      <c r="P2750" s="7"/>
      <c r="Q2750" s="7"/>
      <c r="R2750" s="7"/>
      <c r="S2750" s="7"/>
      <c r="T2750" s="7"/>
      <c r="U2750" s="7"/>
      <c r="V2750" s="7"/>
      <c r="W2750" s="7"/>
      <c r="X2750" s="7"/>
      <c r="Y2750" s="7"/>
      <c r="Z2750" s="7"/>
      <c r="AA2750" s="7"/>
      <c r="AB2750" s="7"/>
      <c r="AC2750" s="7"/>
      <c r="AD2750" s="7"/>
      <c r="AE2750" s="7"/>
      <c r="AF2750" s="7"/>
      <c r="AG2750" s="7"/>
      <c r="AH2750" s="7"/>
      <c r="AI2750" s="7"/>
      <c r="AJ2750" s="7"/>
      <c r="AK2750" s="7"/>
      <c r="AL2750" s="7"/>
      <c r="AM2750" s="7"/>
      <c r="AN2750" s="7"/>
      <c r="AO2750" s="7"/>
      <c r="AP2750" s="7"/>
      <c r="AQ2750" s="7"/>
      <c r="AR2750" s="7"/>
      <c r="AS2750" s="7"/>
      <c r="AT2750" s="7"/>
      <c r="AU2750" s="7"/>
      <c r="AV2750" s="7"/>
      <c r="AW2750" s="7"/>
      <c r="AX2750" s="7"/>
      <c r="AY2750" s="7"/>
      <c r="AZ2750" s="7"/>
      <c r="BA2750" s="7"/>
      <c r="BB2750" s="7"/>
      <c r="BC2750" s="7"/>
      <c r="BD2750" s="7"/>
      <c r="BE2750" s="7"/>
      <c r="BF2750" s="7"/>
      <c r="BG2750" s="7"/>
      <c r="BH2750" s="7"/>
      <c r="BI2750" s="7"/>
      <c r="BJ2750" s="7"/>
      <c r="BK2750" s="7"/>
      <c r="BL2750" s="7"/>
      <c r="BM2750" s="7"/>
      <c r="BN2750" s="7"/>
      <c r="BO2750" s="7"/>
      <c r="BP2750" s="7"/>
      <c r="BQ2750" s="7"/>
      <c r="BR2750" s="7"/>
      <c r="BS2750" s="7"/>
      <c r="BT2750" s="7"/>
      <c r="BU2750" s="7"/>
      <c r="BV2750" s="7"/>
      <c r="BW2750" s="7"/>
      <c r="BX2750" s="7"/>
      <c r="BY2750" s="7"/>
      <c r="BZ2750" s="7"/>
      <c r="CA2750" s="7"/>
      <c r="CB2750" s="7"/>
      <c r="CC2750" s="7"/>
      <c r="CD2750" s="7"/>
      <c r="CE2750" s="7"/>
      <c r="CF2750" s="7"/>
      <c r="CG2750" s="7"/>
      <c r="CH2750" s="7"/>
      <c r="CI2750" s="7"/>
      <c r="CJ2750" s="7"/>
      <c r="CK2750" s="7"/>
      <c r="CL2750" s="7"/>
      <c r="CM2750" s="7"/>
      <c r="CN2750" s="7"/>
      <c r="CO2750" s="7"/>
      <c r="CP2750" s="7"/>
      <c r="CQ2750" s="7"/>
      <c r="CR2750" s="7"/>
      <c r="CS2750" s="7"/>
      <c r="CT2750" s="7"/>
      <c r="CU2750" s="7"/>
      <c r="CV2750" s="7"/>
      <c r="CW2750" s="7"/>
      <c r="CX2750" s="7"/>
      <c r="CY2750" s="7"/>
      <c r="CZ2750" s="7"/>
      <c r="DA2750" s="7"/>
      <c r="DB2750" s="7"/>
      <c r="DC2750" s="7"/>
      <c r="DD2750" s="7"/>
      <c r="DE2750" s="7"/>
      <c r="DF2750" s="7"/>
      <c r="DG2750" s="7"/>
      <c r="DH2750" s="7"/>
      <c r="DI2750" s="7"/>
      <c r="DJ2750" s="7"/>
      <c r="DK2750" s="7"/>
      <c r="DL2750" s="7"/>
      <c r="DM2750" s="7"/>
      <c r="DN2750" s="7"/>
      <c r="DO2750" s="7"/>
      <c r="DP2750" s="7"/>
      <c r="DQ2750" s="7"/>
      <c r="DR2750" s="7"/>
      <c r="DS2750" s="7"/>
      <c r="DT2750" s="7"/>
      <c r="DU2750" s="7"/>
      <c r="DV2750" s="7"/>
      <c r="DW2750" s="7"/>
      <c r="DX2750" s="7"/>
      <c r="DY2750" s="7"/>
      <c r="DZ2750" s="7"/>
      <c r="EA2750" s="7"/>
      <c r="EB2750" s="7"/>
      <c r="EC2750" s="7"/>
      <c r="ED2750" s="7"/>
      <c r="EE2750" s="7"/>
      <c r="EF2750" s="7"/>
      <c r="EG2750" s="7"/>
      <c r="EH2750" s="7"/>
      <c r="EI2750" s="7"/>
      <c r="EJ2750" s="7"/>
      <c r="EK2750" s="7"/>
      <c r="EL2750" s="7"/>
      <c r="EM2750" s="7"/>
      <c r="EN2750" s="7"/>
      <c r="EO2750" s="7"/>
      <c r="EP2750" s="7"/>
      <c r="EQ2750" s="7"/>
      <c r="ER2750" s="7"/>
      <c r="ES2750" s="7"/>
      <c r="ET2750" s="7"/>
      <c r="EU2750" s="7"/>
      <c r="EV2750" s="7"/>
      <c r="EW2750" s="7"/>
      <c r="EX2750" s="7"/>
      <c r="EY2750" s="7"/>
      <c r="EZ2750" s="7"/>
      <c r="FA2750" s="7"/>
      <c r="FB2750" s="7"/>
      <c r="FC2750" s="7"/>
      <c r="FD2750" s="7"/>
      <c r="FE2750" s="7"/>
      <c r="FF2750" s="7"/>
      <c r="FG2750" s="7"/>
      <c r="FH2750" s="7"/>
      <c r="FI2750" s="7"/>
      <c r="FJ2750" s="7"/>
      <c r="FK2750" s="7"/>
      <c r="FL2750" s="7"/>
      <c r="FM2750" s="7"/>
      <c r="FN2750" s="7"/>
      <c r="FO2750" s="7"/>
      <c r="FP2750" s="7"/>
      <c r="FQ2750" s="7"/>
      <c r="FR2750" s="7"/>
      <c r="FS2750" s="7"/>
      <c r="FT2750" s="7"/>
      <c r="FU2750" s="7"/>
      <c r="FV2750" s="7"/>
      <c r="FW2750" s="7"/>
      <c r="FX2750" s="7"/>
      <c r="FY2750" s="7"/>
      <c r="FZ2750" s="7"/>
      <c r="GA2750" s="7"/>
      <c r="GB2750" s="7"/>
      <c r="GC2750" s="7"/>
      <c r="GD2750" s="7"/>
      <c r="GE2750" s="7"/>
      <c r="GF2750" s="7"/>
      <c r="GG2750" s="7"/>
      <c r="GH2750" s="7"/>
      <c r="GI2750" s="7"/>
      <c r="GJ2750" s="7"/>
      <c r="GK2750" s="7"/>
      <c r="GL2750" s="7"/>
      <c r="GM2750" s="7"/>
      <c r="GN2750" s="7"/>
      <c r="GO2750" s="7"/>
      <c r="GP2750" s="7"/>
      <c r="GQ2750" s="7"/>
      <c r="GR2750" s="7"/>
      <c r="GS2750" s="7"/>
      <c r="GT2750" s="7"/>
      <c r="GU2750" s="7"/>
      <c r="GV2750" s="7"/>
      <c r="GW2750" s="7"/>
      <c r="GX2750" s="7"/>
      <c r="GY2750" s="7"/>
      <c r="GZ2750" s="7"/>
      <c r="HA2750" s="7"/>
      <c r="HB2750" s="7"/>
      <c r="HC2750" s="7"/>
      <c r="HD2750" s="7"/>
      <c r="HE2750" s="7"/>
      <c r="HF2750" s="7"/>
      <c r="HG2750" s="7"/>
      <c r="HH2750" s="7"/>
      <c r="HI2750" s="7"/>
      <c r="HJ2750" s="7"/>
      <c r="HK2750" s="7"/>
      <c r="HL2750" s="7"/>
      <c r="HM2750" s="7"/>
      <c r="HN2750" s="7"/>
      <c r="HO2750" s="7"/>
      <c r="HP2750" s="7"/>
      <c r="HQ2750" s="7"/>
    </row>
    <row r="2751" spans="1:225" s="1" customFormat="1" x14ac:dyDescent="0.35">
      <c r="A2751" s="251">
        <v>276</v>
      </c>
      <c r="B2751" s="251"/>
      <c r="C2751" s="309"/>
      <c r="D2751" s="253"/>
      <c r="E2751" s="253"/>
      <c r="F2751" s="255"/>
      <c r="G2751" s="251"/>
      <c r="H2751" s="159" t="s">
        <v>76</v>
      </c>
      <c r="I2751" s="158">
        <f>K2751*D2749</f>
        <v>161491.20000000001</v>
      </c>
      <c r="J2751" s="158">
        <f>I2751/D2749</f>
        <v>64</v>
      </c>
      <c r="K2751" s="158">
        <v>64</v>
      </c>
      <c r="L2751" s="7"/>
      <c r="M2751" s="7"/>
      <c r="N2751" s="7"/>
      <c r="O2751" s="7"/>
      <c r="P2751" s="7"/>
      <c r="Q2751" s="7"/>
      <c r="R2751" s="7"/>
      <c r="S2751" s="7"/>
      <c r="T2751" s="7"/>
      <c r="U2751" s="7"/>
      <c r="V2751" s="7"/>
      <c r="W2751" s="7"/>
      <c r="X2751" s="7"/>
      <c r="Y2751" s="7"/>
      <c r="Z2751" s="7"/>
      <c r="AA2751" s="7"/>
      <c r="AB2751" s="7"/>
      <c r="AC2751" s="7"/>
      <c r="AD2751" s="7"/>
      <c r="AE2751" s="7"/>
      <c r="AF2751" s="7"/>
      <c r="AG2751" s="7"/>
      <c r="AH2751" s="7"/>
      <c r="AI2751" s="7"/>
      <c r="AJ2751" s="7"/>
      <c r="AK2751" s="7"/>
      <c r="AL2751" s="7"/>
      <c r="AM2751" s="7"/>
      <c r="AN2751" s="7"/>
      <c r="AO2751" s="7"/>
      <c r="AP2751" s="7"/>
      <c r="AQ2751" s="7"/>
      <c r="AR2751" s="7"/>
      <c r="AS2751" s="7"/>
      <c r="AT2751" s="7"/>
      <c r="AU2751" s="7"/>
      <c r="AV2751" s="7"/>
      <c r="AW2751" s="7"/>
      <c r="AX2751" s="7"/>
      <c r="AY2751" s="7"/>
      <c r="AZ2751" s="7"/>
      <c r="BA2751" s="7"/>
      <c r="BB2751" s="7"/>
      <c r="BC2751" s="7"/>
      <c r="BD2751" s="7"/>
      <c r="BE2751" s="7"/>
      <c r="BF2751" s="7"/>
      <c r="BG2751" s="7"/>
      <c r="BH2751" s="7"/>
      <c r="BI2751" s="7"/>
      <c r="BJ2751" s="7"/>
      <c r="BK2751" s="7"/>
      <c r="BL2751" s="7"/>
      <c r="BM2751" s="7"/>
      <c r="BN2751" s="7"/>
      <c r="BO2751" s="7"/>
      <c r="BP2751" s="7"/>
      <c r="BQ2751" s="7"/>
      <c r="BR2751" s="7"/>
      <c r="BS2751" s="7"/>
      <c r="BT2751" s="7"/>
      <c r="BU2751" s="7"/>
      <c r="BV2751" s="7"/>
      <c r="BW2751" s="7"/>
      <c r="BX2751" s="7"/>
      <c r="BY2751" s="7"/>
      <c r="BZ2751" s="7"/>
      <c r="CA2751" s="7"/>
      <c r="CB2751" s="7"/>
      <c r="CC2751" s="7"/>
      <c r="CD2751" s="7"/>
      <c r="CE2751" s="7"/>
      <c r="CF2751" s="7"/>
      <c r="CG2751" s="7"/>
      <c r="CH2751" s="7"/>
      <c r="CI2751" s="7"/>
      <c r="CJ2751" s="7"/>
      <c r="CK2751" s="7"/>
      <c r="CL2751" s="7"/>
      <c r="CM2751" s="7"/>
      <c r="CN2751" s="7"/>
      <c r="CO2751" s="7"/>
      <c r="CP2751" s="7"/>
      <c r="CQ2751" s="7"/>
      <c r="CR2751" s="7"/>
      <c r="CS2751" s="7"/>
      <c r="CT2751" s="7"/>
      <c r="CU2751" s="7"/>
      <c r="CV2751" s="7"/>
      <c r="CW2751" s="7"/>
      <c r="CX2751" s="7"/>
      <c r="CY2751" s="7"/>
      <c r="CZ2751" s="7"/>
      <c r="DA2751" s="7"/>
      <c r="DB2751" s="7"/>
      <c r="DC2751" s="7"/>
      <c r="DD2751" s="7"/>
      <c r="DE2751" s="7"/>
      <c r="DF2751" s="7"/>
      <c r="DG2751" s="7"/>
      <c r="DH2751" s="7"/>
      <c r="DI2751" s="7"/>
      <c r="DJ2751" s="7"/>
      <c r="DK2751" s="7"/>
      <c r="DL2751" s="7"/>
      <c r="DM2751" s="7"/>
      <c r="DN2751" s="7"/>
      <c r="DO2751" s="7"/>
      <c r="DP2751" s="7"/>
      <c r="DQ2751" s="7"/>
      <c r="DR2751" s="7"/>
      <c r="DS2751" s="7"/>
      <c r="DT2751" s="7"/>
      <c r="DU2751" s="7"/>
      <c r="DV2751" s="7"/>
      <c r="DW2751" s="7"/>
      <c r="DX2751" s="7"/>
      <c r="DY2751" s="7"/>
      <c r="DZ2751" s="7"/>
      <c r="EA2751" s="7"/>
      <c r="EB2751" s="7"/>
      <c r="EC2751" s="7"/>
      <c r="ED2751" s="7"/>
      <c r="EE2751" s="7"/>
      <c r="EF2751" s="7"/>
      <c r="EG2751" s="7"/>
      <c r="EH2751" s="7"/>
      <c r="EI2751" s="7"/>
      <c r="EJ2751" s="7"/>
      <c r="EK2751" s="7"/>
      <c r="EL2751" s="7"/>
      <c r="EM2751" s="7"/>
      <c r="EN2751" s="7"/>
      <c r="EO2751" s="7"/>
      <c r="EP2751" s="7"/>
      <c r="EQ2751" s="7"/>
      <c r="ER2751" s="7"/>
      <c r="ES2751" s="7"/>
      <c r="ET2751" s="7"/>
      <c r="EU2751" s="7"/>
      <c r="EV2751" s="7"/>
      <c r="EW2751" s="7"/>
      <c r="EX2751" s="7"/>
      <c r="EY2751" s="7"/>
      <c r="EZ2751" s="7"/>
      <c r="FA2751" s="7"/>
      <c r="FB2751" s="7"/>
      <c r="FC2751" s="7"/>
      <c r="FD2751" s="7"/>
      <c r="FE2751" s="7"/>
      <c r="FF2751" s="7"/>
      <c r="FG2751" s="7"/>
      <c r="FH2751" s="7"/>
      <c r="FI2751" s="7"/>
      <c r="FJ2751" s="7"/>
      <c r="FK2751" s="7"/>
      <c r="FL2751" s="7"/>
      <c r="FM2751" s="7"/>
      <c r="FN2751" s="7"/>
      <c r="FO2751" s="7"/>
      <c r="FP2751" s="7"/>
      <c r="FQ2751" s="7"/>
      <c r="FR2751" s="7"/>
      <c r="FS2751" s="7"/>
      <c r="FT2751" s="7"/>
      <c r="FU2751" s="7"/>
      <c r="FV2751" s="7"/>
      <c r="FW2751" s="7"/>
      <c r="FX2751" s="7"/>
      <c r="FY2751" s="7"/>
      <c r="FZ2751" s="7"/>
      <c r="GA2751" s="7"/>
      <c r="GB2751" s="7"/>
      <c r="GC2751" s="7"/>
      <c r="GD2751" s="7"/>
      <c r="GE2751" s="7"/>
      <c r="GF2751" s="7"/>
      <c r="GG2751" s="7"/>
      <c r="GH2751" s="7"/>
      <c r="GI2751" s="7"/>
      <c r="GJ2751" s="7"/>
      <c r="GK2751" s="7"/>
      <c r="GL2751" s="7"/>
      <c r="GM2751" s="7"/>
      <c r="GN2751" s="7"/>
      <c r="GO2751" s="7"/>
      <c r="GP2751" s="7"/>
      <c r="GQ2751" s="7"/>
      <c r="GR2751" s="7"/>
      <c r="GS2751" s="7"/>
      <c r="GT2751" s="7"/>
      <c r="GU2751" s="7"/>
      <c r="GV2751" s="7"/>
      <c r="GW2751" s="7"/>
      <c r="GX2751" s="7"/>
      <c r="GY2751" s="7"/>
      <c r="GZ2751" s="7"/>
      <c r="HA2751" s="7"/>
      <c r="HB2751" s="7"/>
      <c r="HC2751" s="7"/>
      <c r="HD2751" s="7"/>
      <c r="HE2751" s="7"/>
      <c r="HF2751" s="7"/>
      <c r="HG2751" s="7"/>
      <c r="HH2751" s="7"/>
      <c r="HI2751" s="7"/>
      <c r="HJ2751" s="7"/>
      <c r="HK2751" s="7"/>
      <c r="HL2751" s="7"/>
      <c r="HM2751" s="7"/>
      <c r="HN2751" s="7"/>
      <c r="HO2751" s="7"/>
      <c r="HP2751" s="7"/>
      <c r="HQ2751" s="7"/>
    </row>
    <row r="2752" spans="1:225" s="1" customFormat="1" ht="15.75" customHeight="1" x14ac:dyDescent="0.35">
      <c r="A2752" s="251">
        <f>A2749+1</f>
        <v>12</v>
      </c>
      <c r="B2752" s="251">
        <v>5172</v>
      </c>
      <c r="C2752" s="309" t="s">
        <v>660</v>
      </c>
      <c r="D2752" s="253">
        <v>3986</v>
      </c>
      <c r="E2752" s="253" t="s">
        <v>71</v>
      </c>
      <c r="F2752" s="255">
        <v>5</v>
      </c>
      <c r="G2752" s="251" t="s">
        <v>72</v>
      </c>
      <c r="H2752" s="159" t="s">
        <v>73</v>
      </c>
      <c r="I2752" s="158">
        <f>I2753</f>
        <v>665662</v>
      </c>
      <c r="J2752" s="158">
        <f>J2753</f>
        <v>167</v>
      </c>
      <c r="K2752" s="158">
        <f>K2753</f>
        <v>167</v>
      </c>
      <c r="L2752" s="7"/>
      <c r="M2752" s="7"/>
      <c r="N2752" s="7"/>
      <c r="O2752" s="7"/>
      <c r="P2752" s="7"/>
      <c r="Q2752" s="7"/>
      <c r="R2752" s="7"/>
      <c r="S2752" s="7"/>
      <c r="T2752" s="7"/>
      <c r="U2752" s="7"/>
      <c r="V2752" s="7"/>
      <c r="W2752" s="7"/>
      <c r="X2752" s="7"/>
      <c r="Y2752" s="7"/>
      <c r="Z2752" s="7"/>
      <c r="AA2752" s="7"/>
      <c r="AB2752" s="7"/>
      <c r="AC2752" s="7"/>
      <c r="AD2752" s="7"/>
      <c r="AE2752" s="7"/>
      <c r="AF2752" s="7"/>
      <c r="AG2752" s="7"/>
      <c r="AH2752" s="7"/>
      <c r="AI2752" s="7"/>
      <c r="AJ2752" s="7"/>
      <c r="AK2752" s="7"/>
      <c r="AL2752" s="7"/>
      <c r="AM2752" s="7"/>
      <c r="AN2752" s="7"/>
      <c r="AO2752" s="7"/>
      <c r="AP2752" s="7"/>
      <c r="AQ2752" s="7"/>
      <c r="AR2752" s="7"/>
      <c r="AS2752" s="7"/>
      <c r="AT2752" s="7"/>
      <c r="AU2752" s="7"/>
      <c r="AV2752" s="7"/>
      <c r="AW2752" s="7"/>
      <c r="AX2752" s="7"/>
      <c r="AY2752" s="7"/>
      <c r="AZ2752" s="7"/>
      <c r="BA2752" s="7"/>
      <c r="BB2752" s="7"/>
      <c r="BC2752" s="7"/>
      <c r="BD2752" s="7"/>
      <c r="BE2752" s="7"/>
      <c r="BF2752" s="7"/>
      <c r="BG2752" s="7"/>
      <c r="BH2752" s="7"/>
      <c r="BI2752" s="7"/>
      <c r="BJ2752" s="7"/>
      <c r="BK2752" s="7"/>
      <c r="BL2752" s="7"/>
      <c r="BM2752" s="7"/>
      <c r="BN2752" s="7"/>
      <c r="BO2752" s="7"/>
      <c r="BP2752" s="7"/>
      <c r="BQ2752" s="7"/>
      <c r="BR2752" s="7"/>
      <c r="BS2752" s="7"/>
      <c r="BT2752" s="7"/>
      <c r="BU2752" s="7"/>
      <c r="BV2752" s="7"/>
      <c r="BW2752" s="7"/>
      <c r="BX2752" s="7"/>
      <c r="BY2752" s="7"/>
      <c r="BZ2752" s="7"/>
      <c r="CA2752" s="7"/>
      <c r="CB2752" s="7"/>
      <c r="CC2752" s="7"/>
      <c r="CD2752" s="7"/>
      <c r="CE2752" s="7"/>
      <c r="CF2752" s="7"/>
      <c r="CG2752" s="7"/>
      <c r="CH2752" s="7"/>
      <c r="CI2752" s="7"/>
      <c r="CJ2752" s="7"/>
      <c r="CK2752" s="7"/>
      <c r="CL2752" s="7"/>
      <c r="CM2752" s="7"/>
      <c r="CN2752" s="7"/>
      <c r="CO2752" s="7"/>
      <c r="CP2752" s="7"/>
      <c r="CQ2752" s="7"/>
      <c r="CR2752" s="7"/>
      <c r="CS2752" s="7"/>
      <c r="CT2752" s="7"/>
      <c r="CU2752" s="7"/>
      <c r="CV2752" s="7"/>
      <c r="CW2752" s="7"/>
      <c r="CX2752" s="7"/>
      <c r="CY2752" s="7"/>
      <c r="CZ2752" s="7"/>
      <c r="DA2752" s="7"/>
      <c r="DB2752" s="7"/>
      <c r="DC2752" s="7"/>
      <c r="DD2752" s="7"/>
      <c r="DE2752" s="7"/>
      <c r="DF2752" s="7"/>
      <c r="DG2752" s="7"/>
      <c r="DH2752" s="7"/>
      <c r="DI2752" s="7"/>
      <c r="DJ2752" s="7"/>
      <c r="DK2752" s="7"/>
      <c r="DL2752" s="7"/>
      <c r="DM2752" s="7"/>
      <c r="DN2752" s="7"/>
      <c r="DO2752" s="7"/>
      <c r="DP2752" s="7"/>
      <c r="DQ2752" s="7"/>
      <c r="DR2752" s="7"/>
      <c r="DS2752" s="7"/>
      <c r="DT2752" s="7"/>
      <c r="DU2752" s="7"/>
      <c r="DV2752" s="7"/>
      <c r="DW2752" s="7"/>
      <c r="DX2752" s="7"/>
      <c r="DY2752" s="7"/>
      <c r="DZ2752" s="7"/>
      <c r="EA2752" s="7"/>
      <c r="EB2752" s="7"/>
      <c r="EC2752" s="7"/>
      <c r="ED2752" s="7"/>
      <c r="EE2752" s="7"/>
      <c r="EF2752" s="7"/>
      <c r="EG2752" s="7"/>
      <c r="EH2752" s="7"/>
      <c r="EI2752" s="7"/>
      <c r="EJ2752" s="7"/>
      <c r="EK2752" s="7"/>
      <c r="EL2752" s="7"/>
      <c r="EM2752" s="7"/>
      <c r="EN2752" s="7"/>
      <c r="EO2752" s="7"/>
      <c r="EP2752" s="7"/>
      <c r="EQ2752" s="7"/>
      <c r="ER2752" s="7"/>
      <c r="ES2752" s="7"/>
      <c r="ET2752" s="7"/>
      <c r="EU2752" s="7"/>
      <c r="EV2752" s="7"/>
      <c r="EW2752" s="7"/>
      <c r="EX2752" s="7"/>
      <c r="EY2752" s="7"/>
      <c r="EZ2752" s="7"/>
      <c r="FA2752" s="7"/>
      <c r="FB2752" s="7"/>
      <c r="FC2752" s="7"/>
      <c r="FD2752" s="7"/>
      <c r="FE2752" s="7"/>
      <c r="FF2752" s="7"/>
      <c r="FG2752" s="7"/>
      <c r="FH2752" s="7"/>
      <c r="FI2752" s="7"/>
      <c r="FJ2752" s="7"/>
      <c r="FK2752" s="7"/>
      <c r="FL2752" s="7"/>
      <c r="FM2752" s="7"/>
      <c r="FN2752" s="7"/>
      <c r="FO2752" s="7"/>
      <c r="FP2752" s="7"/>
      <c r="FQ2752" s="7"/>
      <c r="FR2752" s="7"/>
      <c r="FS2752" s="7"/>
      <c r="FT2752" s="7"/>
      <c r="FU2752" s="7"/>
      <c r="FV2752" s="7"/>
      <c r="FW2752" s="7"/>
      <c r="FX2752" s="7"/>
      <c r="FY2752" s="7"/>
      <c r="FZ2752" s="7"/>
      <c r="GA2752" s="7"/>
      <c r="GB2752" s="7"/>
      <c r="GC2752" s="7"/>
      <c r="GD2752" s="7"/>
      <c r="GE2752" s="7"/>
      <c r="GF2752" s="7"/>
      <c r="GG2752" s="7"/>
      <c r="GH2752" s="7"/>
      <c r="GI2752" s="7"/>
      <c r="GJ2752" s="7"/>
      <c r="GK2752" s="7"/>
      <c r="GL2752" s="7"/>
      <c r="GM2752" s="7"/>
      <c r="GN2752" s="7"/>
      <c r="GO2752" s="7"/>
      <c r="GP2752" s="7"/>
      <c r="GQ2752" s="7"/>
      <c r="GR2752" s="7"/>
      <c r="GS2752" s="7"/>
      <c r="GT2752" s="7"/>
      <c r="GU2752" s="7"/>
      <c r="GV2752" s="7"/>
      <c r="GW2752" s="7"/>
      <c r="GX2752" s="7"/>
      <c r="GY2752" s="7"/>
      <c r="GZ2752" s="7"/>
      <c r="HA2752" s="7"/>
      <c r="HB2752" s="7"/>
      <c r="HC2752" s="7"/>
      <c r="HD2752" s="7"/>
      <c r="HE2752" s="7"/>
      <c r="HF2752" s="7"/>
      <c r="HG2752" s="7"/>
      <c r="HH2752" s="7"/>
      <c r="HI2752" s="7"/>
      <c r="HJ2752" s="7"/>
      <c r="HK2752" s="7"/>
      <c r="HL2752" s="7"/>
      <c r="HM2752" s="7"/>
      <c r="HN2752" s="7"/>
      <c r="HO2752" s="7"/>
      <c r="HP2752" s="7"/>
      <c r="HQ2752" s="7"/>
    </row>
    <row r="2753" spans="1:226" ht="46.5" x14ac:dyDescent="0.35">
      <c r="A2753" s="251"/>
      <c r="B2753" s="251"/>
      <c r="C2753" s="309"/>
      <c r="D2753" s="253"/>
      <c r="E2753" s="253"/>
      <c r="F2753" s="255"/>
      <c r="G2753" s="251"/>
      <c r="H2753" s="159" t="s">
        <v>705</v>
      </c>
      <c r="I2753" s="158">
        <f>K2753*D2752</f>
        <v>665662</v>
      </c>
      <c r="J2753" s="158">
        <f>I2753/D2752</f>
        <v>167</v>
      </c>
      <c r="K2753" s="85">
        <f>154+13</f>
        <v>167</v>
      </c>
      <c r="L2753" s="7"/>
      <c r="M2753" s="7"/>
      <c r="N2753" s="7"/>
      <c r="O2753" s="7"/>
      <c r="P2753" s="7"/>
      <c r="Q2753" s="7"/>
      <c r="R2753" s="7"/>
      <c r="S2753" s="7"/>
      <c r="T2753" s="7"/>
      <c r="U2753" s="7"/>
      <c r="V2753" s="7"/>
      <c r="W2753" s="7"/>
      <c r="HR2753" s="9"/>
    </row>
    <row r="2754" spans="1:226" x14ac:dyDescent="0.35">
      <c r="A2754" s="153" t="s">
        <v>47</v>
      </c>
      <c r="B2754" s="147"/>
      <c r="C2754" s="153"/>
      <c r="D2754" s="142">
        <f>D2755+D2758+D2761+D2766+D2769+D2772+D2777+D2782+D2785+D2788+D2791+D2794+D2797+D2804+D2807+D2812+D2817+D2824+D2827+D2830+D2833+D2838+D2841+D2844+D2847+D2850+D2853+D2860+D2863+D2866+D2871+D2874+D2877+D2880+D2883+D2886+D2889+D2892+D2895+D2898+D2901+D2904+D2907+D2910+D2913+D2916+D2919+D2922+D2925+D2928+D2931+D2938+D2941+D2944+D2949+D2952+D2955+D2958+D2961+D2964+D2967+D2970+D2973+D2976+D2979+D2982+D2985+D2988+D2991+D2994+D2997+D3000</f>
        <v>177654.65</v>
      </c>
      <c r="E2754" s="31"/>
      <c r="F2754" s="31"/>
      <c r="G2754" s="123"/>
      <c r="H2754" s="159"/>
      <c r="I2754" s="158">
        <f>I2755+I2758+I2761+I2766+I2769+I2772+I2777+I2782+I2785+I2788+I2791+I2794+I2797+I2804+I2807+I2812+I2817+I2824+I2827+I2830+I2833+I2838+I2841+I2844+I2847+I2850+I2853+I2860+I2863+I2866+I2871+I2874+I2877+I2880+I2883+I2886+I2889+I2892+I2895+I2898+I2901+I2904+I2907+I2910+I2913+I2916+I2919+I2922+I2925+I2928+I2931+I2938+I2941+I2944+I2949+I2952+I2955+I2958+I2961+I2964+I2967+I2970+I2973+I2976+I2979+I2982+I2985+I2988+I2991+I2994+I2997+I3000</f>
        <v>487397052.97000003</v>
      </c>
      <c r="J2754" s="158"/>
      <c r="K2754" s="158"/>
      <c r="L2754" s="7"/>
      <c r="M2754" s="7"/>
      <c r="N2754" s="7"/>
      <c r="O2754" s="7"/>
      <c r="P2754" s="7"/>
      <c r="Q2754" s="7"/>
      <c r="R2754" s="7"/>
      <c r="S2754" s="7"/>
      <c r="T2754" s="7"/>
      <c r="U2754" s="7"/>
      <c r="V2754" s="7"/>
      <c r="W2754" s="7"/>
    </row>
    <row r="2755" spans="1:226" ht="15" customHeight="1" x14ac:dyDescent="0.35">
      <c r="A2755" s="256">
        <v>1</v>
      </c>
      <c r="B2755" s="256">
        <v>122</v>
      </c>
      <c r="C2755" s="295" t="s">
        <v>91</v>
      </c>
      <c r="D2755" s="262">
        <v>821.3</v>
      </c>
      <c r="E2755" s="268" t="s">
        <v>80</v>
      </c>
      <c r="F2755" s="268">
        <v>3</v>
      </c>
      <c r="G2755" s="256" t="s">
        <v>85</v>
      </c>
      <c r="H2755" s="159" t="s">
        <v>73</v>
      </c>
      <c r="I2755" s="158">
        <f>I2756+I2757</f>
        <v>4102393.5</v>
      </c>
      <c r="J2755" s="158">
        <f>J2756+J2757</f>
        <v>4995</v>
      </c>
      <c r="K2755" s="158">
        <f>K2756+K2757</f>
        <v>4995</v>
      </c>
      <c r="L2755" s="7"/>
      <c r="M2755" s="7"/>
      <c r="N2755" s="7"/>
      <c r="O2755" s="7"/>
      <c r="P2755" s="7"/>
      <c r="Q2755" s="7"/>
      <c r="R2755" s="7"/>
      <c r="S2755" s="7"/>
      <c r="T2755" s="7"/>
      <c r="U2755" s="7"/>
      <c r="V2755" s="7"/>
      <c r="W2755" s="7"/>
    </row>
    <row r="2756" spans="1:226" ht="15" customHeight="1" x14ac:dyDescent="0.35">
      <c r="A2756" s="257"/>
      <c r="B2756" s="257"/>
      <c r="C2756" s="296"/>
      <c r="D2756" s="263"/>
      <c r="E2756" s="269"/>
      <c r="F2756" s="269"/>
      <c r="G2756" s="257"/>
      <c r="H2756" s="159" t="s">
        <v>74</v>
      </c>
      <c r="I2756" s="158">
        <f>D2755*K2756</f>
        <v>4016157</v>
      </c>
      <c r="J2756" s="158">
        <f>I2756/D2755</f>
        <v>4890</v>
      </c>
      <c r="K2756" s="158">
        <v>4890</v>
      </c>
      <c r="L2756" s="7"/>
      <c r="M2756" s="7"/>
      <c r="N2756" s="7"/>
      <c r="O2756" s="7"/>
      <c r="P2756" s="7"/>
      <c r="Q2756" s="7"/>
      <c r="R2756" s="7"/>
      <c r="S2756" s="7"/>
      <c r="T2756" s="7"/>
      <c r="U2756" s="7"/>
      <c r="V2756" s="7"/>
      <c r="W2756" s="7"/>
    </row>
    <row r="2757" spans="1:226" ht="15" customHeight="1" x14ac:dyDescent="0.35">
      <c r="A2757" s="257"/>
      <c r="B2757" s="257"/>
      <c r="C2757" s="296"/>
      <c r="D2757" s="263"/>
      <c r="E2757" s="269"/>
      <c r="F2757" s="269"/>
      <c r="G2757" s="258"/>
      <c r="H2757" s="159" t="s">
        <v>76</v>
      </c>
      <c r="I2757" s="158">
        <f>D2755*K2757</f>
        <v>86236.5</v>
      </c>
      <c r="J2757" s="158">
        <f>I2757/D2755</f>
        <v>105</v>
      </c>
      <c r="K2757" s="158">
        <v>105</v>
      </c>
      <c r="L2757" s="7"/>
      <c r="M2757" s="7"/>
      <c r="N2757" s="7"/>
      <c r="O2757" s="7"/>
      <c r="P2757" s="7"/>
      <c r="Q2757" s="7"/>
      <c r="R2757" s="7"/>
      <c r="S2757" s="7"/>
      <c r="T2757" s="7"/>
      <c r="U2757" s="7"/>
      <c r="V2757" s="7"/>
      <c r="W2757" s="7"/>
    </row>
    <row r="2758" spans="1:226" ht="15" customHeight="1" x14ac:dyDescent="0.35">
      <c r="A2758" s="251">
        <f>A2755+1</f>
        <v>2</v>
      </c>
      <c r="B2758" s="251">
        <v>347</v>
      </c>
      <c r="C2758" s="301" t="s">
        <v>92</v>
      </c>
      <c r="D2758" s="253">
        <v>3127.4</v>
      </c>
      <c r="E2758" s="254" t="s">
        <v>75</v>
      </c>
      <c r="F2758" s="254">
        <v>5</v>
      </c>
      <c r="G2758" s="251" t="s">
        <v>72</v>
      </c>
      <c r="H2758" s="159" t="s">
        <v>73</v>
      </c>
      <c r="I2758" s="158">
        <f>I2759+I2760</f>
        <v>8853669.4000000004</v>
      </c>
      <c r="J2758" s="158">
        <f>J2759+J2760</f>
        <v>2831</v>
      </c>
      <c r="K2758" s="158">
        <f>K2759+K2760</f>
        <v>2831</v>
      </c>
      <c r="L2758" s="7"/>
      <c r="M2758" s="7"/>
      <c r="N2758" s="7"/>
      <c r="O2758" s="7"/>
      <c r="P2758" s="7"/>
      <c r="Q2758" s="7"/>
      <c r="R2758" s="7"/>
      <c r="S2758" s="7"/>
      <c r="T2758" s="7"/>
      <c r="U2758" s="7"/>
      <c r="V2758" s="7"/>
      <c r="W2758" s="7"/>
    </row>
    <row r="2759" spans="1:226" ht="15" customHeight="1" x14ac:dyDescent="0.35">
      <c r="A2759" s="251">
        <v>75</v>
      </c>
      <c r="B2759" s="251"/>
      <c r="C2759" s="301"/>
      <c r="D2759" s="253"/>
      <c r="E2759" s="254"/>
      <c r="F2759" s="254"/>
      <c r="G2759" s="251"/>
      <c r="H2759" s="159" t="s">
        <v>74</v>
      </c>
      <c r="I2759" s="158">
        <f>D2758*K2759</f>
        <v>8669152.8000000007</v>
      </c>
      <c r="J2759" s="158">
        <f>I2759/D2758</f>
        <v>2772</v>
      </c>
      <c r="K2759" s="158">
        <v>2772</v>
      </c>
      <c r="L2759" s="7"/>
      <c r="M2759" s="7"/>
      <c r="N2759" s="7"/>
      <c r="O2759" s="7"/>
      <c r="P2759" s="7"/>
      <c r="Q2759" s="7"/>
      <c r="R2759" s="7"/>
      <c r="S2759" s="7"/>
      <c r="T2759" s="7"/>
      <c r="U2759" s="7"/>
      <c r="V2759" s="7"/>
      <c r="W2759" s="7"/>
    </row>
    <row r="2760" spans="1:226" ht="15" customHeight="1" x14ac:dyDescent="0.35">
      <c r="A2760" s="251">
        <v>76</v>
      </c>
      <c r="B2760" s="251"/>
      <c r="C2760" s="301"/>
      <c r="D2760" s="253"/>
      <c r="E2760" s="254"/>
      <c r="F2760" s="254"/>
      <c r="G2760" s="251"/>
      <c r="H2760" s="159" t="s">
        <v>76</v>
      </c>
      <c r="I2760" s="158">
        <f>D2758*K2760</f>
        <v>184516.6</v>
      </c>
      <c r="J2760" s="158">
        <f>I2760/D2758</f>
        <v>59</v>
      </c>
      <c r="K2760" s="158">
        <v>59</v>
      </c>
      <c r="L2760" s="7"/>
      <c r="M2760" s="7"/>
      <c r="N2760" s="7"/>
      <c r="O2760" s="7"/>
      <c r="P2760" s="7"/>
      <c r="Q2760" s="7"/>
      <c r="R2760" s="7"/>
      <c r="S2760" s="7"/>
      <c r="T2760" s="7"/>
      <c r="U2760" s="7"/>
      <c r="V2760" s="7"/>
      <c r="W2760" s="7"/>
    </row>
    <row r="2761" spans="1:226" ht="15" customHeight="1" x14ac:dyDescent="0.35">
      <c r="A2761" s="256">
        <f>A2758+1</f>
        <v>3</v>
      </c>
      <c r="B2761" s="256">
        <v>367</v>
      </c>
      <c r="C2761" s="295" t="s">
        <v>93</v>
      </c>
      <c r="D2761" s="262">
        <v>3136</v>
      </c>
      <c r="E2761" s="268" t="s">
        <v>75</v>
      </c>
      <c r="F2761" s="268">
        <v>5</v>
      </c>
      <c r="G2761" s="144"/>
      <c r="H2761" s="159" t="s">
        <v>73</v>
      </c>
      <c r="I2761" s="158">
        <f>I2762+I2763+I2764+I2765</f>
        <v>12148864</v>
      </c>
      <c r="J2761" s="158">
        <f>J2762+J2763+J2764+J2765</f>
        <v>3874</v>
      </c>
      <c r="K2761" s="158">
        <f>K2762+K2763+K2764+K2765</f>
        <v>3874</v>
      </c>
      <c r="L2761" s="7"/>
      <c r="M2761" s="7"/>
      <c r="N2761" s="7"/>
      <c r="O2761" s="7"/>
      <c r="P2761" s="7"/>
      <c r="Q2761" s="7"/>
      <c r="R2761" s="7"/>
      <c r="S2761" s="7"/>
      <c r="T2761" s="7"/>
      <c r="U2761" s="7"/>
      <c r="V2761" s="7"/>
      <c r="W2761" s="7"/>
    </row>
    <row r="2762" spans="1:226" ht="15" customHeight="1" x14ac:dyDescent="0.35">
      <c r="A2762" s="257"/>
      <c r="B2762" s="257"/>
      <c r="C2762" s="296"/>
      <c r="D2762" s="263"/>
      <c r="E2762" s="269"/>
      <c r="F2762" s="269"/>
      <c r="G2762" s="256" t="s">
        <v>85</v>
      </c>
      <c r="H2762" s="159" t="s">
        <v>74</v>
      </c>
      <c r="I2762" s="158">
        <f>D2761*K2762</f>
        <v>3201856</v>
      </c>
      <c r="J2762" s="158">
        <f>I2762/D2761</f>
        <v>1021</v>
      </c>
      <c r="K2762" s="158">
        <v>1021</v>
      </c>
      <c r="L2762" s="7"/>
      <c r="M2762" s="7"/>
      <c r="N2762" s="7"/>
      <c r="O2762" s="7"/>
      <c r="P2762" s="7"/>
      <c r="Q2762" s="7"/>
      <c r="R2762" s="7"/>
      <c r="S2762" s="7"/>
      <c r="T2762" s="7"/>
      <c r="U2762" s="7"/>
      <c r="V2762" s="7"/>
      <c r="W2762" s="7"/>
    </row>
    <row r="2763" spans="1:226" ht="15" customHeight="1" x14ac:dyDescent="0.35">
      <c r="A2763" s="257"/>
      <c r="B2763" s="257"/>
      <c r="C2763" s="296"/>
      <c r="D2763" s="263"/>
      <c r="E2763" s="269"/>
      <c r="F2763" s="269"/>
      <c r="G2763" s="258"/>
      <c r="H2763" s="159" t="s">
        <v>76</v>
      </c>
      <c r="I2763" s="158">
        <f>D2761*K2763</f>
        <v>68992</v>
      </c>
      <c r="J2763" s="158">
        <f>I2763/D2761</f>
        <v>22</v>
      </c>
      <c r="K2763" s="158">
        <v>22</v>
      </c>
      <c r="L2763" s="7"/>
      <c r="M2763" s="7"/>
      <c r="N2763" s="7"/>
      <c r="O2763" s="7"/>
      <c r="P2763" s="7"/>
      <c r="Q2763" s="7"/>
      <c r="R2763" s="7"/>
      <c r="S2763" s="7"/>
      <c r="T2763" s="7"/>
      <c r="U2763" s="7"/>
      <c r="V2763" s="7"/>
      <c r="W2763" s="7"/>
    </row>
    <row r="2764" spans="1:226" x14ac:dyDescent="0.35">
      <c r="A2764" s="257"/>
      <c r="B2764" s="257"/>
      <c r="C2764" s="296"/>
      <c r="D2764" s="263"/>
      <c r="E2764" s="269"/>
      <c r="F2764" s="269"/>
      <c r="G2764" s="256" t="s">
        <v>72</v>
      </c>
      <c r="H2764" s="159" t="s">
        <v>74</v>
      </c>
      <c r="I2764" s="158">
        <f>D2761*K2764</f>
        <v>8692992</v>
      </c>
      <c r="J2764" s="158">
        <f>I2764/D2761</f>
        <v>2772</v>
      </c>
      <c r="K2764" s="158">
        <v>2772</v>
      </c>
      <c r="L2764" s="7"/>
      <c r="M2764" s="7"/>
      <c r="N2764" s="7"/>
      <c r="O2764" s="7"/>
      <c r="P2764" s="7"/>
      <c r="Q2764" s="7"/>
      <c r="R2764" s="7"/>
      <c r="S2764" s="7"/>
      <c r="T2764" s="7"/>
      <c r="U2764" s="7"/>
      <c r="V2764" s="7"/>
      <c r="W2764" s="7"/>
    </row>
    <row r="2765" spans="1:226" x14ac:dyDescent="0.35">
      <c r="A2765" s="258"/>
      <c r="B2765" s="258"/>
      <c r="C2765" s="297"/>
      <c r="D2765" s="264"/>
      <c r="E2765" s="273"/>
      <c r="F2765" s="273"/>
      <c r="G2765" s="258"/>
      <c r="H2765" s="159" t="s">
        <v>76</v>
      </c>
      <c r="I2765" s="158">
        <f>D2761*K2765</f>
        <v>185024</v>
      </c>
      <c r="J2765" s="158">
        <f>I2765/D2761</f>
        <v>59</v>
      </c>
      <c r="K2765" s="158">
        <v>59</v>
      </c>
      <c r="L2765" s="7"/>
      <c r="M2765" s="7"/>
      <c r="N2765" s="7"/>
      <c r="O2765" s="7"/>
      <c r="P2765" s="7"/>
      <c r="Q2765" s="7"/>
      <c r="R2765" s="7"/>
      <c r="S2765" s="7"/>
      <c r="T2765" s="7"/>
      <c r="U2765" s="7"/>
      <c r="V2765" s="7"/>
      <c r="W2765" s="7"/>
    </row>
    <row r="2766" spans="1:226" ht="15.75" customHeight="1" x14ac:dyDescent="0.35">
      <c r="A2766" s="251">
        <f>A2761+1</f>
        <v>4</v>
      </c>
      <c r="B2766" s="251">
        <v>518</v>
      </c>
      <c r="C2766" s="301" t="s">
        <v>94</v>
      </c>
      <c r="D2766" s="253">
        <v>2925.19</v>
      </c>
      <c r="E2766" s="254" t="s">
        <v>75</v>
      </c>
      <c r="F2766" s="254">
        <v>5</v>
      </c>
      <c r="G2766" s="251" t="s">
        <v>72</v>
      </c>
      <c r="H2766" s="159" t="s">
        <v>73</v>
      </c>
      <c r="I2766" s="158">
        <f>I2767+I2768</f>
        <v>8281212.8899999997</v>
      </c>
      <c r="J2766" s="158">
        <f>J2767+J2768</f>
        <v>2831</v>
      </c>
      <c r="K2766" s="158">
        <f>K2767+K2768</f>
        <v>2831</v>
      </c>
      <c r="L2766" s="7"/>
      <c r="M2766" s="7"/>
      <c r="N2766" s="7"/>
      <c r="O2766" s="7"/>
      <c r="P2766" s="7"/>
      <c r="Q2766" s="7"/>
      <c r="R2766" s="7"/>
      <c r="S2766" s="7"/>
      <c r="T2766" s="7"/>
      <c r="U2766" s="7"/>
      <c r="V2766" s="7"/>
      <c r="W2766" s="7"/>
    </row>
    <row r="2767" spans="1:226" x14ac:dyDescent="0.35">
      <c r="A2767" s="251">
        <v>75</v>
      </c>
      <c r="B2767" s="251"/>
      <c r="C2767" s="301"/>
      <c r="D2767" s="253"/>
      <c r="E2767" s="254"/>
      <c r="F2767" s="254"/>
      <c r="G2767" s="251"/>
      <c r="H2767" s="159" t="s">
        <v>74</v>
      </c>
      <c r="I2767" s="158">
        <f>D2766*K2767</f>
        <v>8108626.6799999997</v>
      </c>
      <c r="J2767" s="158">
        <f>I2767/D2766</f>
        <v>2772</v>
      </c>
      <c r="K2767" s="158">
        <v>2772</v>
      </c>
      <c r="L2767" s="7"/>
      <c r="M2767" s="7"/>
      <c r="N2767" s="7"/>
      <c r="O2767" s="7"/>
      <c r="P2767" s="7"/>
      <c r="Q2767" s="7"/>
      <c r="R2767" s="7"/>
      <c r="S2767" s="7"/>
      <c r="T2767" s="7"/>
      <c r="U2767" s="7"/>
      <c r="V2767" s="7"/>
      <c r="W2767" s="7"/>
    </row>
    <row r="2768" spans="1:226" x14ac:dyDescent="0.35">
      <c r="A2768" s="251">
        <v>76</v>
      </c>
      <c r="B2768" s="251"/>
      <c r="C2768" s="301"/>
      <c r="D2768" s="253"/>
      <c r="E2768" s="254"/>
      <c r="F2768" s="254"/>
      <c r="G2768" s="251"/>
      <c r="H2768" s="159" t="s">
        <v>76</v>
      </c>
      <c r="I2768" s="158">
        <f>D2766*K2768</f>
        <v>172586.21</v>
      </c>
      <c r="J2768" s="158">
        <f>I2768/D2766</f>
        <v>59</v>
      </c>
      <c r="K2768" s="158">
        <v>59</v>
      </c>
      <c r="L2768" s="7"/>
      <c r="M2768" s="7"/>
      <c r="N2768" s="7"/>
      <c r="O2768" s="7"/>
      <c r="P2768" s="7"/>
      <c r="Q2768" s="7"/>
      <c r="R2768" s="7"/>
      <c r="S2768" s="7"/>
      <c r="T2768" s="7"/>
      <c r="U2768" s="7"/>
      <c r="V2768" s="7"/>
      <c r="W2768" s="7"/>
    </row>
    <row r="2769" spans="1:23" ht="15.75" customHeight="1" x14ac:dyDescent="0.35">
      <c r="A2769" s="256">
        <f>A2766+1</f>
        <v>5</v>
      </c>
      <c r="B2769" s="256">
        <v>401</v>
      </c>
      <c r="C2769" s="295" t="s">
        <v>81</v>
      </c>
      <c r="D2769" s="262">
        <v>1277.0999999999999</v>
      </c>
      <c r="E2769" s="268" t="s">
        <v>75</v>
      </c>
      <c r="F2769" s="268">
        <v>4</v>
      </c>
      <c r="G2769" s="144"/>
      <c r="H2769" s="159" t="s">
        <v>73</v>
      </c>
      <c r="I2769" s="158">
        <f>I2770+I2771</f>
        <v>1089366.3</v>
      </c>
      <c r="J2769" s="158">
        <f>J2770+J2771</f>
        <v>853</v>
      </c>
      <c r="K2769" s="158">
        <f>K2770+K2771</f>
        <v>853</v>
      </c>
      <c r="L2769" s="7"/>
      <c r="M2769" s="7"/>
      <c r="N2769" s="7"/>
      <c r="O2769" s="7"/>
      <c r="P2769" s="7"/>
      <c r="Q2769" s="7"/>
      <c r="R2769" s="7"/>
      <c r="S2769" s="7"/>
      <c r="T2769" s="7"/>
      <c r="U2769" s="7"/>
      <c r="V2769" s="7"/>
      <c r="W2769" s="7"/>
    </row>
    <row r="2770" spans="1:23" x14ac:dyDescent="0.35">
      <c r="A2770" s="257"/>
      <c r="B2770" s="257"/>
      <c r="C2770" s="296"/>
      <c r="D2770" s="263"/>
      <c r="E2770" s="269"/>
      <c r="F2770" s="269"/>
      <c r="G2770" s="256" t="s">
        <v>82</v>
      </c>
      <c r="H2770" s="159" t="s">
        <v>74</v>
      </c>
      <c r="I2770" s="158">
        <f>D2769*K2770</f>
        <v>1066378.5</v>
      </c>
      <c r="J2770" s="158">
        <f>I2770/D2769</f>
        <v>835</v>
      </c>
      <c r="K2770" s="158">
        <v>835</v>
      </c>
      <c r="L2770" s="7"/>
      <c r="M2770" s="7"/>
      <c r="N2770" s="7"/>
      <c r="O2770" s="7"/>
      <c r="P2770" s="7"/>
      <c r="Q2770" s="7"/>
      <c r="R2770" s="7"/>
      <c r="S2770" s="7"/>
      <c r="T2770" s="7"/>
      <c r="U2770" s="7"/>
      <c r="V2770" s="7"/>
      <c r="W2770" s="7"/>
    </row>
    <row r="2771" spans="1:23" x14ac:dyDescent="0.35">
      <c r="A2771" s="257"/>
      <c r="B2771" s="257"/>
      <c r="C2771" s="296"/>
      <c r="D2771" s="263"/>
      <c r="E2771" s="269"/>
      <c r="F2771" s="269"/>
      <c r="G2771" s="258"/>
      <c r="H2771" s="159" t="s">
        <v>76</v>
      </c>
      <c r="I2771" s="158">
        <f>D2769*K2771</f>
        <v>22987.8</v>
      </c>
      <c r="J2771" s="158">
        <f>I2771/D2769</f>
        <v>18</v>
      </c>
      <c r="K2771" s="158">
        <v>18</v>
      </c>
      <c r="L2771" s="7"/>
      <c r="M2771" s="7"/>
      <c r="N2771" s="7"/>
      <c r="O2771" s="7"/>
      <c r="P2771" s="7"/>
      <c r="Q2771" s="7"/>
      <c r="R2771" s="7"/>
      <c r="S2771" s="7"/>
      <c r="T2771" s="7"/>
      <c r="U2771" s="7"/>
      <c r="V2771" s="7"/>
      <c r="W2771" s="7"/>
    </row>
    <row r="2772" spans="1:23" ht="15.75" customHeight="1" x14ac:dyDescent="0.35">
      <c r="A2772" s="256">
        <f>A2769+1</f>
        <v>6</v>
      </c>
      <c r="B2772" s="256">
        <v>203</v>
      </c>
      <c r="C2772" s="295" t="s">
        <v>95</v>
      </c>
      <c r="D2772" s="262">
        <v>408.23</v>
      </c>
      <c r="E2772" s="268" t="s">
        <v>75</v>
      </c>
      <c r="F2772" s="268">
        <v>2</v>
      </c>
      <c r="G2772" s="144"/>
      <c r="H2772" s="159" t="s">
        <v>73</v>
      </c>
      <c r="I2772" s="158">
        <f>I2773+I2774+I2775+I2776</f>
        <v>3310337.07</v>
      </c>
      <c r="J2772" s="158">
        <f>J2773+J2774+J2775+J2776</f>
        <v>8109</v>
      </c>
      <c r="K2772" s="158">
        <f>K2773+K2774+K2775+K2776</f>
        <v>8109</v>
      </c>
      <c r="L2772" s="7"/>
      <c r="M2772" s="7"/>
      <c r="N2772" s="7"/>
      <c r="O2772" s="7"/>
      <c r="P2772" s="7"/>
      <c r="Q2772" s="7"/>
      <c r="R2772" s="7"/>
      <c r="S2772" s="7"/>
      <c r="T2772" s="7"/>
      <c r="U2772" s="7"/>
      <c r="V2772" s="7"/>
      <c r="W2772" s="7"/>
    </row>
    <row r="2773" spans="1:23" x14ac:dyDescent="0.35">
      <c r="A2773" s="257"/>
      <c r="B2773" s="257"/>
      <c r="C2773" s="296"/>
      <c r="D2773" s="263"/>
      <c r="E2773" s="269"/>
      <c r="F2773" s="269"/>
      <c r="G2773" s="256" t="s">
        <v>85</v>
      </c>
      <c r="H2773" s="159" t="s">
        <v>74</v>
      </c>
      <c r="I2773" s="158">
        <f>D2772*K2773</f>
        <v>416802.83</v>
      </c>
      <c r="J2773" s="158">
        <f>I2773/D2772</f>
        <v>1021</v>
      </c>
      <c r="K2773" s="158">
        <v>1021</v>
      </c>
      <c r="L2773" s="7"/>
      <c r="M2773" s="7"/>
      <c r="N2773" s="7"/>
      <c r="O2773" s="7"/>
      <c r="P2773" s="7"/>
      <c r="Q2773" s="7"/>
      <c r="R2773" s="7"/>
      <c r="S2773" s="7"/>
      <c r="T2773" s="7"/>
      <c r="U2773" s="7"/>
      <c r="V2773" s="7"/>
      <c r="W2773" s="7"/>
    </row>
    <row r="2774" spans="1:23" x14ac:dyDescent="0.35">
      <c r="A2774" s="257"/>
      <c r="B2774" s="257"/>
      <c r="C2774" s="296"/>
      <c r="D2774" s="263"/>
      <c r="E2774" s="269"/>
      <c r="F2774" s="269"/>
      <c r="G2774" s="258"/>
      <c r="H2774" s="159" t="s">
        <v>76</v>
      </c>
      <c r="I2774" s="158">
        <f>D2772*K2774</f>
        <v>8981.06</v>
      </c>
      <c r="J2774" s="158">
        <f>I2774/D2772</f>
        <v>22</v>
      </c>
      <c r="K2774" s="158">
        <v>22</v>
      </c>
      <c r="L2774" s="7"/>
      <c r="M2774" s="7"/>
      <c r="N2774" s="7"/>
      <c r="O2774" s="7"/>
      <c r="P2774" s="7"/>
      <c r="Q2774" s="7"/>
      <c r="R2774" s="7"/>
      <c r="S2774" s="7"/>
      <c r="T2774" s="7"/>
      <c r="U2774" s="7"/>
      <c r="V2774" s="7"/>
      <c r="W2774" s="7"/>
    </row>
    <row r="2775" spans="1:23" x14ac:dyDescent="0.35">
      <c r="A2775" s="257"/>
      <c r="B2775" s="257"/>
      <c r="C2775" s="296"/>
      <c r="D2775" s="263"/>
      <c r="E2775" s="269"/>
      <c r="F2775" s="269"/>
      <c r="G2775" s="256" t="s">
        <v>72</v>
      </c>
      <c r="H2775" s="159" t="s">
        <v>74</v>
      </c>
      <c r="I2775" s="158">
        <f>D2772*K2775</f>
        <v>2824135.14</v>
      </c>
      <c r="J2775" s="158">
        <f>I2775/D2772</f>
        <v>6918</v>
      </c>
      <c r="K2775" s="158">
        <v>6918</v>
      </c>
      <c r="L2775" s="7"/>
      <c r="M2775" s="7"/>
      <c r="N2775" s="7"/>
      <c r="O2775" s="7"/>
      <c r="P2775" s="7"/>
      <c r="Q2775" s="7"/>
      <c r="R2775" s="7"/>
      <c r="S2775" s="7"/>
      <c r="T2775" s="7"/>
      <c r="U2775" s="7"/>
      <c r="V2775" s="7"/>
      <c r="W2775" s="7"/>
    </row>
    <row r="2776" spans="1:23" x14ac:dyDescent="0.35">
      <c r="A2776" s="258"/>
      <c r="B2776" s="258"/>
      <c r="C2776" s="297"/>
      <c r="D2776" s="264"/>
      <c r="E2776" s="273"/>
      <c r="F2776" s="273"/>
      <c r="G2776" s="258"/>
      <c r="H2776" s="159" t="s">
        <v>76</v>
      </c>
      <c r="I2776" s="158">
        <f>D2772*K2776</f>
        <v>60418.04</v>
      </c>
      <c r="J2776" s="158">
        <f>I2776/D2772</f>
        <v>148</v>
      </c>
      <c r="K2776" s="158">
        <v>148</v>
      </c>
      <c r="L2776" s="7"/>
      <c r="M2776" s="7"/>
      <c r="N2776" s="7"/>
      <c r="O2776" s="7"/>
      <c r="P2776" s="7"/>
      <c r="Q2776" s="7"/>
      <c r="R2776" s="7"/>
      <c r="S2776" s="7"/>
      <c r="T2776" s="7"/>
      <c r="U2776" s="7"/>
      <c r="V2776" s="7"/>
      <c r="W2776" s="7"/>
    </row>
    <row r="2777" spans="1:23" ht="15.75" customHeight="1" x14ac:dyDescent="0.35">
      <c r="A2777" s="256">
        <f>A2772+1</f>
        <v>7</v>
      </c>
      <c r="B2777" s="256">
        <v>204</v>
      </c>
      <c r="C2777" s="295" t="s">
        <v>96</v>
      </c>
      <c r="D2777" s="262">
        <v>405.9</v>
      </c>
      <c r="E2777" s="268" t="s">
        <v>75</v>
      </c>
      <c r="F2777" s="268">
        <v>2</v>
      </c>
      <c r="G2777" s="149"/>
      <c r="H2777" s="159" t="s">
        <v>73</v>
      </c>
      <c r="I2777" s="158">
        <f>I2778+I2779+I2780+I2781</f>
        <v>3291443.1</v>
      </c>
      <c r="J2777" s="158">
        <f>J2778+J2779+J2780+J2781</f>
        <v>8109</v>
      </c>
      <c r="K2777" s="158">
        <f>K2778+K2779+K2780+K2781</f>
        <v>8109</v>
      </c>
      <c r="L2777" s="7"/>
      <c r="M2777" s="7"/>
      <c r="N2777" s="7"/>
      <c r="O2777" s="7"/>
      <c r="P2777" s="7"/>
      <c r="Q2777" s="7"/>
      <c r="R2777" s="7"/>
      <c r="S2777" s="7"/>
      <c r="T2777" s="7"/>
      <c r="U2777" s="7"/>
      <c r="V2777" s="7"/>
      <c r="W2777" s="7"/>
    </row>
    <row r="2778" spans="1:23" x14ac:dyDescent="0.35">
      <c r="A2778" s="257"/>
      <c r="B2778" s="257"/>
      <c r="C2778" s="296"/>
      <c r="D2778" s="263"/>
      <c r="E2778" s="269"/>
      <c r="F2778" s="269"/>
      <c r="G2778" s="256" t="s">
        <v>72</v>
      </c>
      <c r="H2778" s="159" t="s">
        <v>74</v>
      </c>
      <c r="I2778" s="158">
        <f>D2777*K2778</f>
        <v>2808016.2</v>
      </c>
      <c r="J2778" s="158">
        <f>I2778/D2777</f>
        <v>6918</v>
      </c>
      <c r="K2778" s="158">
        <v>6918</v>
      </c>
      <c r="L2778" s="7"/>
      <c r="M2778" s="7"/>
      <c r="N2778" s="7"/>
      <c r="O2778" s="7"/>
      <c r="P2778" s="7"/>
      <c r="Q2778" s="7"/>
      <c r="R2778" s="7"/>
      <c r="S2778" s="7"/>
      <c r="T2778" s="7"/>
      <c r="U2778" s="7"/>
      <c r="V2778" s="7"/>
      <c r="W2778" s="7"/>
    </row>
    <row r="2779" spans="1:23" x14ac:dyDescent="0.35">
      <c r="A2779" s="257"/>
      <c r="B2779" s="257"/>
      <c r="C2779" s="296"/>
      <c r="D2779" s="263"/>
      <c r="E2779" s="269"/>
      <c r="F2779" s="269"/>
      <c r="G2779" s="258"/>
      <c r="H2779" s="159" t="s">
        <v>76</v>
      </c>
      <c r="I2779" s="158">
        <f>D2777*K2779</f>
        <v>60073.2</v>
      </c>
      <c r="J2779" s="158">
        <f>I2779/D2777</f>
        <v>148</v>
      </c>
      <c r="K2779" s="158">
        <v>148</v>
      </c>
      <c r="L2779" s="7"/>
      <c r="M2779" s="7"/>
      <c r="N2779" s="7"/>
      <c r="O2779" s="7"/>
      <c r="P2779" s="7"/>
      <c r="Q2779" s="7"/>
      <c r="R2779" s="7"/>
      <c r="S2779" s="7"/>
      <c r="T2779" s="7"/>
      <c r="U2779" s="7"/>
      <c r="V2779" s="7"/>
      <c r="W2779" s="7"/>
    </row>
    <row r="2780" spans="1:23" x14ac:dyDescent="0.35">
      <c r="A2780" s="257"/>
      <c r="B2780" s="257"/>
      <c r="C2780" s="296"/>
      <c r="D2780" s="263"/>
      <c r="E2780" s="269"/>
      <c r="F2780" s="269"/>
      <c r="G2780" s="256" t="s">
        <v>85</v>
      </c>
      <c r="H2780" s="159" t="s">
        <v>74</v>
      </c>
      <c r="I2780" s="158">
        <f>D2777*K2780</f>
        <v>414423.9</v>
      </c>
      <c r="J2780" s="158">
        <f>I2780/D2777</f>
        <v>1021</v>
      </c>
      <c r="K2780" s="158">
        <v>1021</v>
      </c>
      <c r="L2780" s="7"/>
      <c r="M2780" s="7"/>
      <c r="N2780" s="7"/>
      <c r="O2780" s="7"/>
      <c r="P2780" s="7"/>
      <c r="Q2780" s="7"/>
      <c r="R2780" s="7"/>
      <c r="S2780" s="7"/>
      <c r="T2780" s="7"/>
      <c r="U2780" s="7"/>
      <c r="V2780" s="7"/>
      <c r="W2780" s="7"/>
    </row>
    <row r="2781" spans="1:23" x14ac:dyDescent="0.35">
      <c r="A2781" s="257"/>
      <c r="B2781" s="257"/>
      <c r="C2781" s="296"/>
      <c r="D2781" s="263"/>
      <c r="E2781" s="269"/>
      <c r="F2781" s="269"/>
      <c r="G2781" s="258"/>
      <c r="H2781" s="159" t="s">
        <v>76</v>
      </c>
      <c r="I2781" s="158">
        <f>D2777*K2781</f>
        <v>8929.7999999999993</v>
      </c>
      <c r="J2781" s="158">
        <f>I2781/D2777</f>
        <v>22</v>
      </c>
      <c r="K2781" s="158">
        <v>22</v>
      </c>
      <c r="L2781" s="7"/>
      <c r="M2781" s="7"/>
      <c r="N2781" s="7"/>
      <c r="O2781" s="7"/>
      <c r="P2781" s="7"/>
      <c r="Q2781" s="7"/>
      <c r="R2781" s="7"/>
      <c r="S2781" s="7"/>
      <c r="T2781" s="7"/>
      <c r="U2781" s="7"/>
      <c r="V2781" s="7"/>
      <c r="W2781" s="7"/>
    </row>
    <row r="2782" spans="1:23" ht="15.75" customHeight="1" x14ac:dyDescent="0.35">
      <c r="A2782" s="251">
        <f>A2777+1</f>
        <v>8</v>
      </c>
      <c r="B2782" s="251">
        <v>521</v>
      </c>
      <c r="C2782" s="301" t="s">
        <v>97</v>
      </c>
      <c r="D2782" s="253">
        <v>2828.7</v>
      </c>
      <c r="E2782" s="254" t="s">
        <v>75</v>
      </c>
      <c r="F2782" s="254">
        <v>5</v>
      </c>
      <c r="G2782" s="251" t="s">
        <v>72</v>
      </c>
      <c r="H2782" s="159" t="s">
        <v>73</v>
      </c>
      <c r="I2782" s="158">
        <f>I2783+I2784</f>
        <v>8008049.7000000002</v>
      </c>
      <c r="J2782" s="158">
        <f>J2783+J2784</f>
        <v>2831</v>
      </c>
      <c r="K2782" s="158">
        <f>K2783+K2784</f>
        <v>2831</v>
      </c>
      <c r="L2782" s="7"/>
      <c r="M2782" s="7"/>
      <c r="N2782" s="7"/>
      <c r="O2782" s="7"/>
      <c r="P2782" s="7"/>
      <c r="Q2782" s="7"/>
      <c r="R2782" s="7"/>
      <c r="S2782" s="7"/>
      <c r="T2782" s="7"/>
      <c r="U2782" s="7"/>
      <c r="V2782" s="7"/>
      <c r="W2782" s="7"/>
    </row>
    <row r="2783" spans="1:23" x14ac:dyDescent="0.35">
      <c r="A2783" s="251">
        <v>75</v>
      </c>
      <c r="B2783" s="251"/>
      <c r="C2783" s="301"/>
      <c r="D2783" s="253"/>
      <c r="E2783" s="254"/>
      <c r="F2783" s="254"/>
      <c r="G2783" s="251"/>
      <c r="H2783" s="159" t="s">
        <v>74</v>
      </c>
      <c r="I2783" s="158">
        <f>D2782*K2783</f>
        <v>7841156.4000000004</v>
      </c>
      <c r="J2783" s="158">
        <f>I2783/D2782</f>
        <v>2772</v>
      </c>
      <c r="K2783" s="158">
        <v>2772</v>
      </c>
      <c r="L2783" s="7"/>
      <c r="M2783" s="7"/>
      <c r="N2783" s="7"/>
      <c r="O2783" s="7"/>
      <c r="P2783" s="7"/>
      <c r="Q2783" s="7"/>
      <c r="R2783" s="7"/>
      <c r="S2783" s="7"/>
      <c r="T2783" s="7"/>
      <c r="U2783" s="7"/>
      <c r="V2783" s="7"/>
      <c r="W2783" s="7"/>
    </row>
    <row r="2784" spans="1:23" x14ac:dyDescent="0.35">
      <c r="A2784" s="251">
        <v>76</v>
      </c>
      <c r="B2784" s="251"/>
      <c r="C2784" s="301"/>
      <c r="D2784" s="253"/>
      <c r="E2784" s="254"/>
      <c r="F2784" s="254"/>
      <c r="G2784" s="251"/>
      <c r="H2784" s="159" t="s">
        <v>76</v>
      </c>
      <c r="I2784" s="158">
        <f>D2782*K2784</f>
        <v>166893.29999999999</v>
      </c>
      <c r="J2784" s="158">
        <f>I2784/D2782</f>
        <v>59</v>
      </c>
      <c r="K2784" s="158">
        <v>59</v>
      </c>
      <c r="L2784" s="7"/>
      <c r="M2784" s="7"/>
      <c r="N2784" s="7"/>
      <c r="O2784" s="7"/>
      <c r="P2784" s="7"/>
      <c r="Q2784" s="7"/>
      <c r="R2784" s="7"/>
      <c r="S2784" s="7"/>
      <c r="T2784" s="7"/>
      <c r="U2784" s="7"/>
      <c r="V2784" s="7"/>
      <c r="W2784" s="7"/>
    </row>
    <row r="2785" spans="1:23" ht="15.75" customHeight="1" x14ac:dyDescent="0.35">
      <c r="A2785" s="251">
        <f>A2782+1</f>
        <v>9</v>
      </c>
      <c r="B2785" s="251">
        <v>479</v>
      </c>
      <c r="C2785" s="301" t="s">
        <v>98</v>
      </c>
      <c r="D2785" s="253">
        <v>1986.2</v>
      </c>
      <c r="E2785" s="254" t="s">
        <v>75</v>
      </c>
      <c r="F2785" s="254">
        <v>5</v>
      </c>
      <c r="G2785" s="251" t="s">
        <v>72</v>
      </c>
      <c r="H2785" s="159" t="s">
        <v>73</v>
      </c>
      <c r="I2785" s="158">
        <f>I2786+I2787</f>
        <v>5622932.2000000002</v>
      </c>
      <c r="J2785" s="158">
        <f>J2786+J2787</f>
        <v>2831</v>
      </c>
      <c r="K2785" s="158">
        <f>K2786+K2787</f>
        <v>2831</v>
      </c>
      <c r="L2785" s="7"/>
      <c r="M2785" s="7"/>
      <c r="N2785" s="7"/>
      <c r="O2785" s="7"/>
      <c r="P2785" s="7"/>
      <c r="Q2785" s="7"/>
      <c r="R2785" s="7"/>
      <c r="S2785" s="7"/>
      <c r="T2785" s="7"/>
      <c r="U2785" s="7"/>
      <c r="V2785" s="7"/>
      <c r="W2785" s="7"/>
    </row>
    <row r="2786" spans="1:23" x14ac:dyDescent="0.35">
      <c r="A2786" s="251">
        <v>75</v>
      </c>
      <c r="B2786" s="251"/>
      <c r="C2786" s="301"/>
      <c r="D2786" s="253"/>
      <c r="E2786" s="254"/>
      <c r="F2786" s="254"/>
      <c r="G2786" s="251"/>
      <c r="H2786" s="159" t="s">
        <v>74</v>
      </c>
      <c r="I2786" s="158">
        <f>D2785*K2786</f>
        <v>5505746.4000000004</v>
      </c>
      <c r="J2786" s="158">
        <f>I2786/D2785</f>
        <v>2772</v>
      </c>
      <c r="K2786" s="158">
        <v>2772</v>
      </c>
      <c r="L2786" s="7"/>
      <c r="M2786" s="7"/>
      <c r="N2786" s="7"/>
      <c r="O2786" s="7"/>
      <c r="P2786" s="7"/>
      <c r="Q2786" s="7"/>
      <c r="R2786" s="7"/>
      <c r="S2786" s="7"/>
      <c r="T2786" s="7"/>
      <c r="U2786" s="7"/>
      <c r="V2786" s="7"/>
      <c r="W2786" s="7"/>
    </row>
    <row r="2787" spans="1:23" x14ac:dyDescent="0.35">
      <c r="A2787" s="251">
        <v>76</v>
      </c>
      <c r="B2787" s="251"/>
      <c r="C2787" s="301"/>
      <c r="D2787" s="253"/>
      <c r="E2787" s="254"/>
      <c r="F2787" s="254"/>
      <c r="G2787" s="251"/>
      <c r="H2787" s="159" t="s">
        <v>76</v>
      </c>
      <c r="I2787" s="158">
        <f>D2785*K2787</f>
        <v>117185.8</v>
      </c>
      <c r="J2787" s="158">
        <f>I2787/D2785</f>
        <v>59</v>
      </c>
      <c r="K2787" s="158">
        <v>59</v>
      </c>
      <c r="L2787" s="7"/>
      <c r="M2787" s="7"/>
      <c r="N2787" s="7"/>
      <c r="O2787" s="7"/>
      <c r="P2787" s="7"/>
      <c r="Q2787" s="7"/>
      <c r="R2787" s="7"/>
      <c r="S2787" s="7"/>
      <c r="T2787" s="7"/>
      <c r="U2787" s="7"/>
      <c r="V2787" s="7"/>
      <c r="W2787" s="7"/>
    </row>
    <row r="2788" spans="1:23" ht="15.75" customHeight="1" x14ac:dyDescent="0.35">
      <c r="A2788" s="256">
        <f>A2785+1</f>
        <v>10</v>
      </c>
      <c r="B2788" s="256">
        <v>512</v>
      </c>
      <c r="C2788" s="259" t="s">
        <v>292</v>
      </c>
      <c r="D2788" s="262">
        <v>1615.9</v>
      </c>
      <c r="E2788" s="268" t="s">
        <v>75</v>
      </c>
      <c r="F2788" s="268">
        <v>5</v>
      </c>
      <c r="G2788" s="256" t="s">
        <v>84</v>
      </c>
      <c r="H2788" s="159" t="s">
        <v>73</v>
      </c>
      <c r="I2788" s="158">
        <f>I2789+I2790</f>
        <v>316231.63</v>
      </c>
      <c r="J2788" s="158">
        <f>J2789+J2790</f>
        <v>195.7</v>
      </c>
      <c r="K2788" s="158">
        <f>K2789+K2790</f>
        <v>277</v>
      </c>
      <c r="L2788" s="7"/>
      <c r="M2788" s="7"/>
      <c r="N2788" s="7"/>
      <c r="O2788" s="7"/>
      <c r="P2788" s="7"/>
      <c r="Q2788" s="7"/>
      <c r="R2788" s="7"/>
      <c r="S2788" s="7"/>
      <c r="T2788" s="7"/>
      <c r="U2788" s="7"/>
      <c r="V2788" s="7"/>
      <c r="W2788" s="7"/>
    </row>
    <row r="2789" spans="1:23" x14ac:dyDescent="0.35">
      <c r="A2789" s="257"/>
      <c r="B2789" s="257"/>
      <c r="C2789" s="260"/>
      <c r="D2789" s="263"/>
      <c r="E2789" s="269"/>
      <c r="F2789" s="269"/>
      <c r="G2789" s="257"/>
      <c r="H2789" s="159" t="s">
        <v>74</v>
      </c>
      <c r="I2789" s="158">
        <f>K2789*D2788*0.7</f>
        <v>306536.23</v>
      </c>
      <c r="J2789" s="158">
        <f>I2789/D2788</f>
        <v>189.7</v>
      </c>
      <c r="K2789" s="158">
        <v>271</v>
      </c>
      <c r="L2789" s="7"/>
      <c r="M2789" s="7"/>
      <c r="N2789" s="7"/>
      <c r="O2789" s="7"/>
      <c r="P2789" s="7"/>
      <c r="Q2789" s="7"/>
      <c r="R2789" s="7"/>
      <c r="S2789" s="7"/>
      <c r="T2789" s="7"/>
      <c r="U2789" s="7"/>
      <c r="V2789" s="7"/>
      <c r="W2789" s="7"/>
    </row>
    <row r="2790" spans="1:23" x14ac:dyDescent="0.35">
      <c r="A2790" s="258"/>
      <c r="B2790" s="258"/>
      <c r="C2790" s="261"/>
      <c r="D2790" s="264"/>
      <c r="E2790" s="273"/>
      <c r="F2790" s="273"/>
      <c r="G2790" s="258"/>
      <c r="H2790" s="159" t="s">
        <v>76</v>
      </c>
      <c r="I2790" s="158">
        <f>K2790*D2788</f>
        <v>9695.4</v>
      </c>
      <c r="J2790" s="158">
        <f>I2790/D2788</f>
        <v>6</v>
      </c>
      <c r="K2790" s="158">
        <v>6</v>
      </c>
      <c r="L2790" s="7"/>
      <c r="M2790" s="7"/>
      <c r="N2790" s="7"/>
      <c r="O2790" s="7"/>
      <c r="P2790" s="7"/>
      <c r="Q2790" s="7"/>
      <c r="R2790" s="7"/>
      <c r="S2790" s="7"/>
      <c r="T2790" s="7"/>
      <c r="U2790" s="7"/>
      <c r="V2790" s="7"/>
      <c r="W2790" s="7"/>
    </row>
    <row r="2791" spans="1:23" ht="15.75" customHeight="1" x14ac:dyDescent="0.35">
      <c r="A2791" s="251">
        <f>A2788+1</f>
        <v>11</v>
      </c>
      <c r="B2791" s="251">
        <v>565</v>
      </c>
      <c r="C2791" s="301" t="s">
        <v>99</v>
      </c>
      <c r="D2791" s="253">
        <v>2692.2</v>
      </c>
      <c r="E2791" s="254" t="s">
        <v>75</v>
      </c>
      <c r="F2791" s="254">
        <v>5</v>
      </c>
      <c r="G2791" s="251" t="s">
        <v>72</v>
      </c>
      <c r="H2791" s="159" t="s">
        <v>73</v>
      </c>
      <c r="I2791" s="158">
        <f>I2792+I2793</f>
        <v>7621618.2000000002</v>
      </c>
      <c r="J2791" s="158">
        <f>J2792+J2793</f>
        <v>2831</v>
      </c>
      <c r="K2791" s="158">
        <f>K2792+K2793</f>
        <v>2831</v>
      </c>
      <c r="L2791" s="7"/>
      <c r="M2791" s="7"/>
      <c r="N2791" s="7"/>
      <c r="O2791" s="7"/>
      <c r="P2791" s="7"/>
      <c r="Q2791" s="7"/>
      <c r="R2791" s="7"/>
      <c r="S2791" s="7"/>
      <c r="T2791" s="7"/>
      <c r="U2791" s="7"/>
      <c r="V2791" s="7"/>
      <c r="W2791" s="7"/>
    </row>
    <row r="2792" spans="1:23" x14ac:dyDescent="0.35">
      <c r="A2792" s="251">
        <v>75</v>
      </c>
      <c r="B2792" s="251"/>
      <c r="C2792" s="301"/>
      <c r="D2792" s="253"/>
      <c r="E2792" s="254"/>
      <c r="F2792" s="254"/>
      <c r="G2792" s="251"/>
      <c r="H2792" s="159" t="s">
        <v>74</v>
      </c>
      <c r="I2792" s="158">
        <f>D2791*K2792</f>
        <v>7462778.4000000004</v>
      </c>
      <c r="J2792" s="158">
        <f>I2792/D2791</f>
        <v>2772</v>
      </c>
      <c r="K2792" s="158">
        <v>2772</v>
      </c>
      <c r="L2792" s="7"/>
      <c r="M2792" s="7"/>
      <c r="N2792" s="7"/>
      <c r="O2792" s="7"/>
      <c r="P2792" s="7"/>
      <c r="Q2792" s="7"/>
      <c r="R2792" s="7"/>
      <c r="S2792" s="7"/>
      <c r="T2792" s="7"/>
      <c r="U2792" s="7"/>
      <c r="V2792" s="7"/>
      <c r="W2792" s="7"/>
    </row>
    <row r="2793" spans="1:23" x14ac:dyDescent="0.35">
      <c r="A2793" s="251">
        <v>76</v>
      </c>
      <c r="B2793" s="251"/>
      <c r="C2793" s="301"/>
      <c r="D2793" s="253"/>
      <c r="E2793" s="254"/>
      <c r="F2793" s="254"/>
      <c r="G2793" s="251"/>
      <c r="H2793" s="159" t="s">
        <v>76</v>
      </c>
      <c r="I2793" s="158">
        <f>D2791*K2793</f>
        <v>158839.79999999999</v>
      </c>
      <c r="J2793" s="158">
        <f>I2793/D2791</f>
        <v>59</v>
      </c>
      <c r="K2793" s="158">
        <v>59</v>
      </c>
      <c r="L2793" s="7"/>
      <c r="M2793" s="7"/>
      <c r="N2793" s="7"/>
      <c r="O2793" s="7"/>
      <c r="P2793" s="7"/>
      <c r="Q2793" s="7"/>
      <c r="R2793" s="7"/>
      <c r="S2793" s="7"/>
      <c r="T2793" s="7"/>
      <c r="U2793" s="7"/>
      <c r="V2793" s="7"/>
      <c r="W2793" s="7"/>
    </row>
    <row r="2794" spans="1:23" ht="15.75" customHeight="1" x14ac:dyDescent="0.35">
      <c r="A2794" s="251">
        <f>A2791+1</f>
        <v>12</v>
      </c>
      <c r="B2794" s="251">
        <v>519</v>
      </c>
      <c r="C2794" s="301" t="s">
        <v>100</v>
      </c>
      <c r="D2794" s="253">
        <v>2547.1999999999998</v>
      </c>
      <c r="E2794" s="254" t="s">
        <v>75</v>
      </c>
      <c r="F2794" s="254">
        <v>5</v>
      </c>
      <c r="G2794" s="251" t="s">
        <v>72</v>
      </c>
      <c r="H2794" s="159" t="s">
        <v>73</v>
      </c>
      <c r="I2794" s="158">
        <f>I2795+I2796</f>
        <v>7211123.2000000002</v>
      </c>
      <c r="J2794" s="158">
        <f>J2795+J2796</f>
        <v>2831</v>
      </c>
      <c r="K2794" s="158">
        <f>K2795+K2796</f>
        <v>2831</v>
      </c>
      <c r="L2794" s="7"/>
      <c r="M2794" s="7"/>
      <c r="N2794" s="7"/>
      <c r="O2794" s="7"/>
      <c r="P2794" s="7"/>
      <c r="Q2794" s="7"/>
      <c r="R2794" s="7"/>
      <c r="S2794" s="7"/>
      <c r="T2794" s="7"/>
      <c r="U2794" s="7"/>
      <c r="V2794" s="7"/>
      <c r="W2794" s="7"/>
    </row>
    <row r="2795" spans="1:23" x14ac:dyDescent="0.35">
      <c r="A2795" s="251">
        <v>75</v>
      </c>
      <c r="B2795" s="251"/>
      <c r="C2795" s="301"/>
      <c r="D2795" s="253"/>
      <c r="E2795" s="254"/>
      <c r="F2795" s="254"/>
      <c r="G2795" s="251"/>
      <c r="H2795" s="159" t="s">
        <v>74</v>
      </c>
      <c r="I2795" s="158">
        <f>D2794*K2795</f>
        <v>7060838.4000000004</v>
      </c>
      <c r="J2795" s="158">
        <f>I2795/D2794</f>
        <v>2772</v>
      </c>
      <c r="K2795" s="158">
        <v>2772</v>
      </c>
      <c r="L2795" s="7"/>
      <c r="M2795" s="7"/>
      <c r="N2795" s="7"/>
      <c r="O2795" s="7"/>
      <c r="P2795" s="7"/>
      <c r="Q2795" s="7"/>
      <c r="R2795" s="7"/>
      <c r="S2795" s="7"/>
      <c r="T2795" s="7"/>
      <c r="U2795" s="7"/>
      <c r="V2795" s="7"/>
      <c r="W2795" s="7"/>
    </row>
    <row r="2796" spans="1:23" x14ac:dyDescent="0.35">
      <c r="A2796" s="251">
        <v>76</v>
      </c>
      <c r="B2796" s="251"/>
      <c r="C2796" s="301"/>
      <c r="D2796" s="253"/>
      <c r="E2796" s="254"/>
      <c r="F2796" s="254"/>
      <c r="G2796" s="251"/>
      <c r="H2796" s="159" t="s">
        <v>76</v>
      </c>
      <c r="I2796" s="158">
        <f>D2794*K2796</f>
        <v>150284.79999999999</v>
      </c>
      <c r="J2796" s="158">
        <f>I2796/D2794</f>
        <v>59</v>
      </c>
      <c r="K2796" s="158">
        <v>59</v>
      </c>
      <c r="L2796" s="7"/>
      <c r="M2796" s="7"/>
      <c r="N2796" s="7"/>
      <c r="O2796" s="7"/>
      <c r="P2796" s="7"/>
      <c r="Q2796" s="7"/>
      <c r="R2796" s="7"/>
      <c r="S2796" s="7"/>
      <c r="T2796" s="7"/>
      <c r="U2796" s="7"/>
      <c r="V2796" s="7"/>
      <c r="W2796" s="7"/>
    </row>
    <row r="2797" spans="1:23" ht="15.75" customHeight="1" x14ac:dyDescent="0.35">
      <c r="A2797" s="256">
        <f>A2794+1</f>
        <v>13</v>
      </c>
      <c r="B2797" s="256">
        <v>283</v>
      </c>
      <c r="C2797" s="295" t="s">
        <v>101</v>
      </c>
      <c r="D2797" s="262">
        <v>2005.9</v>
      </c>
      <c r="E2797" s="268" t="s">
        <v>75</v>
      </c>
      <c r="F2797" s="268">
        <v>3</v>
      </c>
      <c r="G2797" s="144"/>
      <c r="H2797" s="159" t="s">
        <v>73</v>
      </c>
      <c r="I2797" s="158">
        <f>I2798+I2799+I2800+I2801+I2802+I2803</f>
        <v>17090268</v>
      </c>
      <c r="J2797" s="158">
        <f>J2798+J2799+J2800+J2801+J2802+J2803</f>
        <v>8520</v>
      </c>
      <c r="K2797" s="158">
        <f>K2798+K2799+K2800+K2801+K2802+K2803</f>
        <v>8520</v>
      </c>
      <c r="L2797" s="7"/>
      <c r="M2797" s="7"/>
      <c r="N2797" s="7"/>
      <c r="O2797" s="7"/>
      <c r="P2797" s="7"/>
      <c r="Q2797" s="7"/>
      <c r="R2797" s="7"/>
      <c r="S2797" s="7"/>
      <c r="T2797" s="7"/>
      <c r="U2797" s="7"/>
      <c r="V2797" s="7"/>
      <c r="W2797" s="7"/>
    </row>
    <row r="2798" spans="1:23" x14ac:dyDescent="0.35">
      <c r="A2798" s="257"/>
      <c r="B2798" s="257"/>
      <c r="C2798" s="296"/>
      <c r="D2798" s="263"/>
      <c r="E2798" s="269"/>
      <c r="F2798" s="269"/>
      <c r="G2798" s="256" t="s">
        <v>85</v>
      </c>
      <c r="H2798" s="159" t="s">
        <v>74</v>
      </c>
      <c r="I2798" s="158">
        <f>D2797*K2798</f>
        <v>2048023.9</v>
      </c>
      <c r="J2798" s="158">
        <f>I2798/D2797</f>
        <v>1021</v>
      </c>
      <c r="K2798" s="158">
        <v>1021</v>
      </c>
      <c r="L2798" s="7"/>
      <c r="M2798" s="7"/>
      <c r="N2798" s="7"/>
      <c r="O2798" s="7"/>
      <c r="P2798" s="7"/>
      <c r="Q2798" s="7"/>
      <c r="R2798" s="7"/>
      <c r="S2798" s="7"/>
      <c r="T2798" s="7"/>
      <c r="U2798" s="7"/>
      <c r="V2798" s="7"/>
      <c r="W2798" s="7"/>
    </row>
    <row r="2799" spans="1:23" x14ac:dyDescent="0.35">
      <c r="A2799" s="257"/>
      <c r="B2799" s="257"/>
      <c r="C2799" s="296"/>
      <c r="D2799" s="263"/>
      <c r="E2799" s="269"/>
      <c r="F2799" s="269"/>
      <c r="G2799" s="258"/>
      <c r="H2799" s="159" t="s">
        <v>76</v>
      </c>
      <c r="I2799" s="158">
        <f>D2797*K2799</f>
        <v>44129.8</v>
      </c>
      <c r="J2799" s="158">
        <f>I2799/D2797</f>
        <v>22</v>
      </c>
      <c r="K2799" s="158">
        <v>22</v>
      </c>
      <c r="L2799" s="7"/>
      <c r="M2799" s="7"/>
      <c r="N2799" s="7"/>
      <c r="O2799" s="7"/>
      <c r="P2799" s="7"/>
      <c r="Q2799" s="7"/>
      <c r="R2799" s="7"/>
      <c r="S2799" s="7"/>
      <c r="T2799" s="7"/>
      <c r="U2799" s="7"/>
      <c r="V2799" s="7"/>
      <c r="W2799" s="7"/>
    </row>
    <row r="2800" spans="1:23" x14ac:dyDescent="0.35">
      <c r="A2800" s="257"/>
      <c r="B2800" s="257"/>
      <c r="C2800" s="296"/>
      <c r="D2800" s="263"/>
      <c r="E2800" s="269"/>
      <c r="F2800" s="269"/>
      <c r="G2800" s="256" t="s">
        <v>72</v>
      </c>
      <c r="H2800" s="159" t="s">
        <v>74</v>
      </c>
      <c r="I2800" s="158">
        <f>D2797*K2800</f>
        <v>9285311.0999999996</v>
      </c>
      <c r="J2800" s="158">
        <f>I2800/D2797</f>
        <v>4629</v>
      </c>
      <c r="K2800" s="158">
        <v>4629</v>
      </c>
      <c r="L2800" s="7"/>
      <c r="M2800" s="7"/>
      <c r="N2800" s="7"/>
      <c r="O2800" s="7"/>
      <c r="P2800" s="7"/>
      <c r="Q2800" s="7"/>
      <c r="R2800" s="7"/>
      <c r="S2800" s="7"/>
      <c r="T2800" s="7"/>
      <c r="U2800" s="7"/>
      <c r="V2800" s="7"/>
      <c r="W2800" s="7"/>
    </row>
    <row r="2801" spans="1:23" x14ac:dyDescent="0.35">
      <c r="A2801" s="257"/>
      <c r="B2801" s="257"/>
      <c r="C2801" s="296"/>
      <c r="D2801" s="263"/>
      <c r="E2801" s="269"/>
      <c r="F2801" s="269"/>
      <c r="G2801" s="258"/>
      <c r="H2801" s="159" t="s">
        <v>76</v>
      </c>
      <c r="I2801" s="158">
        <f>D2797*K2801</f>
        <v>198584.1</v>
      </c>
      <c r="J2801" s="158">
        <f>I2801/D2797</f>
        <v>99</v>
      </c>
      <c r="K2801" s="158">
        <v>99</v>
      </c>
      <c r="L2801" s="7"/>
      <c r="M2801" s="7"/>
      <c r="N2801" s="7"/>
      <c r="O2801" s="7"/>
      <c r="P2801" s="7"/>
      <c r="Q2801" s="7"/>
      <c r="R2801" s="7"/>
      <c r="S2801" s="7"/>
      <c r="T2801" s="7"/>
      <c r="U2801" s="7"/>
      <c r="V2801" s="7"/>
      <c r="W2801" s="7"/>
    </row>
    <row r="2802" spans="1:23" x14ac:dyDescent="0.35">
      <c r="A2802" s="257"/>
      <c r="B2802" s="257"/>
      <c r="C2802" s="296"/>
      <c r="D2802" s="263"/>
      <c r="E2802" s="269"/>
      <c r="F2802" s="269"/>
      <c r="G2802" s="256" t="s">
        <v>77</v>
      </c>
      <c r="H2802" s="159" t="s">
        <v>74</v>
      </c>
      <c r="I2802" s="158">
        <f>D2797*K2802</f>
        <v>5397876.9000000004</v>
      </c>
      <c r="J2802" s="158">
        <f>I2802/D2797</f>
        <v>2691</v>
      </c>
      <c r="K2802" s="158">
        <v>2691</v>
      </c>
      <c r="L2802" s="7"/>
      <c r="M2802" s="7"/>
      <c r="N2802" s="7"/>
      <c r="O2802" s="7"/>
      <c r="P2802" s="7"/>
      <c r="Q2802" s="7"/>
      <c r="R2802" s="7"/>
      <c r="S2802" s="7"/>
      <c r="T2802" s="7"/>
      <c r="U2802" s="7"/>
      <c r="V2802" s="7"/>
      <c r="W2802" s="7"/>
    </row>
    <row r="2803" spans="1:23" x14ac:dyDescent="0.35">
      <c r="A2803" s="258"/>
      <c r="B2803" s="258"/>
      <c r="C2803" s="297"/>
      <c r="D2803" s="264"/>
      <c r="E2803" s="273"/>
      <c r="F2803" s="273"/>
      <c r="G2803" s="258"/>
      <c r="H2803" s="159" t="s">
        <v>76</v>
      </c>
      <c r="I2803" s="158">
        <f>D2797*K2803</f>
        <v>116342.2</v>
      </c>
      <c r="J2803" s="158">
        <f>I2803/D2797</f>
        <v>58</v>
      </c>
      <c r="K2803" s="158">
        <v>58</v>
      </c>
      <c r="L2803" s="7"/>
      <c r="M2803" s="7"/>
      <c r="N2803" s="7"/>
      <c r="O2803" s="7"/>
      <c r="P2803" s="7"/>
      <c r="Q2803" s="7"/>
      <c r="R2803" s="7"/>
      <c r="S2803" s="7"/>
      <c r="T2803" s="7"/>
      <c r="U2803" s="7"/>
      <c r="V2803" s="7"/>
      <c r="W2803" s="7"/>
    </row>
    <row r="2804" spans="1:23" ht="15.75" customHeight="1" x14ac:dyDescent="0.35">
      <c r="A2804" s="256">
        <f>A2797+1</f>
        <v>14</v>
      </c>
      <c r="B2804" s="256">
        <v>599</v>
      </c>
      <c r="C2804" s="259" t="s">
        <v>316</v>
      </c>
      <c r="D2804" s="262">
        <v>3148.6</v>
      </c>
      <c r="E2804" s="268" t="s">
        <v>75</v>
      </c>
      <c r="F2804" s="268">
        <v>5</v>
      </c>
      <c r="G2804" s="149"/>
      <c r="H2804" s="159" t="s">
        <v>73</v>
      </c>
      <c r="I2804" s="158">
        <f>I2805+I2806</f>
        <v>374053.68</v>
      </c>
      <c r="J2804" s="158">
        <f>J2805+J2806</f>
        <v>118.8</v>
      </c>
      <c r="K2804" s="158">
        <f>K2805+K2806</f>
        <v>168</v>
      </c>
      <c r="L2804" s="7"/>
      <c r="M2804" s="7"/>
      <c r="N2804" s="7"/>
      <c r="O2804" s="7"/>
      <c r="P2804" s="7"/>
      <c r="Q2804" s="7"/>
      <c r="R2804" s="7"/>
      <c r="S2804" s="7"/>
      <c r="T2804" s="7"/>
      <c r="U2804" s="7"/>
      <c r="V2804" s="7"/>
      <c r="W2804" s="7"/>
    </row>
    <row r="2805" spans="1:23" x14ac:dyDescent="0.35">
      <c r="A2805" s="257"/>
      <c r="B2805" s="257"/>
      <c r="C2805" s="260"/>
      <c r="D2805" s="263"/>
      <c r="E2805" s="269"/>
      <c r="F2805" s="269"/>
      <c r="G2805" s="256" t="s">
        <v>84</v>
      </c>
      <c r="H2805" s="159" t="s">
        <v>74</v>
      </c>
      <c r="I2805" s="158">
        <f>K2805*D2804*0.7</f>
        <v>361459.28</v>
      </c>
      <c r="J2805" s="158">
        <f>I2805/D2804</f>
        <v>114.8</v>
      </c>
      <c r="K2805" s="158">
        <v>164</v>
      </c>
      <c r="L2805" s="7"/>
      <c r="M2805" s="7"/>
      <c r="N2805" s="7"/>
      <c r="O2805" s="7"/>
      <c r="P2805" s="7"/>
      <c r="Q2805" s="7"/>
      <c r="R2805" s="7"/>
      <c r="S2805" s="7"/>
      <c r="T2805" s="7"/>
      <c r="U2805" s="7"/>
      <c r="V2805" s="7"/>
      <c r="W2805" s="7"/>
    </row>
    <row r="2806" spans="1:23" x14ac:dyDescent="0.35">
      <c r="A2806" s="258"/>
      <c r="B2806" s="258"/>
      <c r="C2806" s="261"/>
      <c r="D2806" s="264"/>
      <c r="E2806" s="273"/>
      <c r="F2806" s="273"/>
      <c r="G2806" s="258"/>
      <c r="H2806" s="159" t="s">
        <v>76</v>
      </c>
      <c r="I2806" s="158">
        <f>K2806*D2804</f>
        <v>12594.4</v>
      </c>
      <c r="J2806" s="158">
        <f>I2806/D2804</f>
        <v>4</v>
      </c>
      <c r="K2806" s="158">
        <v>4</v>
      </c>
      <c r="L2806" s="7"/>
      <c r="M2806" s="7"/>
      <c r="N2806" s="7"/>
      <c r="O2806" s="7"/>
      <c r="P2806" s="7"/>
      <c r="Q2806" s="7"/>
      <c r="R2806" s="7"/>
      <c r="S2806" s="7"/>
      <c r="T2806" s="7"/>
      <c r="U2806" s="7"/>
      <c r="V2806" s="7"/>
      <c r="W2806" s="7"/>
    </row>
    <row r="2807" spans="1:23" ht="15.75" customHeight="1" x14ac:dyDescent="0.35">
      <c r="A2807" s="256">
        <f>A2804+1</f>
        <v>15</v>
      </c>
      <c r="B2807" s="256">
        <v>514</v>
      </c>
      <c r="C2807" s="295" t="s">
        <v>102</v>
      </c>
      <c r="D2807" s="262">
        <v>3096.4</v>
      </c>
      <c r="E2807" s="268" t="s">
        <v>75</v>
      </c>
      <c r="F2807" s="268">
        <v>5</v>
      </c>
      <c r="G2807" s="144"/>
      <c r="H2807" s="159" t="s">
        <v>73</v>
      </c>
      <c r="I2807" s="158">
        <f>I2808+I2809+I2810+I2811</f>
        <v>9286103.5999999996</v>
      </c>
      <c r="J2807" s="158">
        <f>J2808+J2809+J2810+J2811</f>
        <v>2999</v>
      </c>
      <c r="K2807" s="158">
        <f>K2808+K2809+K2810+K2811</f>
        <v>2999</v>
      </c>
      <c r="L2807" s="7"/>
      <c r="M2807" s="7"/>
      <c r="N2807" s="7"/>
      <c r="O2807" s="7"/>
      <c r="P2807" s="7"/>
      <c r="Q2807" s="7"/>
      <c r="R2807" s="7"/>
      <c r="S2807" s="7"/>
      <c r="T2807" s="7"/>
      <c r="U2807" s="7"/>
      <c r="V2807" s="7"/>
      <c r="W2807" s="7"/>
    </row>
    <row r="2808" spans="1:23" x14ac:dyDescent="0.35">
      <c r="A2808" s="257"/>
      <c r="B2808" s="257"/>
      <c r="C2808" s="296"/>
      <c r="D2808" s="263"/>
      <c r="E2808" s="269"/>
      <c r="F2808" s="269"/>
      <c r="G2808" s="256" t="s">
        <v>84</v>
      </c>
      <c r="H2808" s="159" t="s">
        <v>74</v>
      </c>
      <c r="I2808" s="158">
        <f>D2807*K2808</f>
        <v>507809.6</v>
      </c>
      <c r="J2808" s="158">
        <f>I2808/D2807</f>
        <v>164</v>
      </c>
      <c r="K2808" s="158">
        <v>164</v>
      </c>
      <c r="L2808" s="7"/>
      <c r="M2808" s="7"/>
      <c r="N2808" s="7"/>
      <c r="O2808" s="7"/>
      <c r="P2808" s="7"/>
      <c r="Q2808" s="7"/>
      <c r="R2808" s="7"/>
      <c r="S2808" s="7"/>
      <c r="T2808" s="7"/>
      <c r="U2808" s="7"/>
      <c r="V2808" s="7"/>
      <c r="W2808" s="7"/>
    </row>
    <row r="2809" spans="1:23" x14ac:dyDescent="0.35">
      <c r="A2809" s="257"/>
      <c r="B2809" s="257"/>
      <c r="C2809" s="296"/>
      <c r="D2809" s="263"/>
      <c r="E2809" s="269"/>
      <c r="F2809" s="269"/>
      <c r="G2809" s="258"/>
      <c r="H2809" s="159" t="s">
        <v>76</v>
      </c>
      <c r="I2809" s="158">
        <f>D2807*K2809</f>
        <v>12385.6</v>
      </c>
      <c r="J2809" s="158">
        <f>I2809/D2807</f>
        <v>4</v>
      </c>
      <c r="K2809" s="158">
        <v>4</v>
      </c>
      <c r="L2809" s="7"/>
      <c r="M2809" s="7"/>
      <c r="N2809" s="7"/>
      <c r="O2809" s="7"/>
      <c r="P2809" s="7"/>
      <c r="Q2809" s="7"/>
      <c r="R2809" s="7"/>
      <c r="S2809" s="7"/>
      <c r="T2809" s="7"/>
      <c r="U2809" s="7"/>
      <c r="V2809" s="7"/>
      <c r="W2809" s="7"/>
    </row>
    <row r="2810" spans="1:23" x14ac:dyDescent="0.35">
      <c r="A2810" s="257"/>
      <c r="B2810" s="257"/>
      <c r="C2810" s="296"/>
      <c r="D2810" s="263"/>
      <c r="E2810" s="269"/>
      <c r="F2810" s="269"/>
      <c r="G2810" s="256" t="s">
        <v>72</v>
      </c>
      <c r="H2810" s="159" t="s">
        <v>74</v>
      </c>
      <c r="I2810" s="158">
        <f>D2807*K2810</f>
        <v>8583220.8000000007</v>
      </c>
      <c r="J2810" s="158">
        <f>I2810/D2807</f>
        <v>2772</v>
      </c>
      <c r="K2810" s="158">
        <v>2772</v>
      </c>
      <c r="L2810" s="7"/>
      <c r="M2810" s="7"/>
      <c r="N2810" s="7"/>
      <c r="O2810" s="7"/>
      <c r="P2810" s="7"/>
      <c r="Q2810" s="7"/>
      <c r="R2810" s="7"/>
      <c r="S2810" s="7"/>
      <c r="T2810" s="7"/>
      <c r="U2810" s="7"/>
      <c r="V2810" s="7"/>
      <c r="W2810" s="7"/>
    </row>
    <row r="2811" spans="1:23" x14ac:dyDescent="0.35">
      <c r="A2811" s="258"/>
      <c r="B2811" s="258"/>
      <c r="C2811" s="297"/>
      <c r="D2811" s="264"/>
      <c r="E2811" s="273"/>
      <c r="F2811" s="273"/>
      <c r="G2811" s="258"/>
      <c r="H2811" s="159" t="s">
        <v>76</v>
      </c>
      <c r="I2811" s="158">
        <f>D2807*K2811</f>
        <v>182687.6</v>
      </c>
      <c r="J2811" s="158">
        <f>I2811/D2807</f>
        <v>59</v>
      </c>
      <c r="K2811" s="158">
        <v>59</v>
      </c>
      <c r="L2811" s="7"/>
      <c r="M2811" s="7"/>
      <c r="N2811" s="7"/>
      <c r="O2811" s="7"/>
      <c r="P2811" s="7"/>
      <c r="Q2811" s="7"/>
      <c r="R2811" s="7"/>
      <c r="S2811" s="7"/>
      <c r="T2811" s="7"/>
      <c r="U2811" s="7"/>
      <c r="V2811" s="7"/>
      <c r="W2811" s="7"/>
    </row>
    <row r="2812" spans="1:23" ht="15.75" customHeight="1" x14ac:dyDescent="0.35">
      <c r="A2812" s="256">
        <f>A2807+1</f>
        <v>16</v>
      </c>
      <c r="B2812" s="256">
        <v>159</v>
      </c>
      <c r="C2812" s="259" t="s">
        <v>103</v>
      </c>
      <c r="D2812" s="262">
        <v>1087.8</v>
      </c>
      <c r="E2812" s="262" t="s">
        <v>80</v>
      </c>
      <c r="F2812" s="265">
        <v>3</v>
      </c>
      <c r="G2812" s="123"/>
      <c r="H2812" s="159" t="s">
        <v>73</v>
      </c>
      <c r="I2812" s="158">
        <f>SUM(I2813:I2816)</f>
        <v>1740480</v>
      </c>
      <c r="J2812" s="158">
        <f>SUM(J2813:J2816)</f>
        <v>1600</v>
      </c>
      <c r="K2812" s="158">
        <f>SUM(K2813:K2816)</f>
        <v>1600</v>
      </c>
      <c r="L2812" s="7"/>
      <c r="M2812" s="7"/>
      <c r="N2812" s="7"/>
      <c r="O2812" s="7"/>
      <c r="P2812" s="7"/>
      <c r="Q2812" s="7"/>
      <c r="R2812" s="7"/>
      <c r="S2812" s="7"/>
      <c r="T2812" s="7"/>
      <c r="U2812" s="7"/>
      <c r="V2812" s="7"/>
      <c r="W2812" s="7"/>
    </row>
    <row r="2813" spans="1:23" x14ac:dyDescent="0.35">
      <c r="A2813" s="257"/>
      <c r="B2813" s="257"/>
      <c r="C2813" s="260"/>
      <c r="D2813" s="263"/>
      <c r="E2813" s="263"/>
      <c r="F2813" s="266"/>
      <c r="G2813" s="256" t="s">
        <v>82</v>
      </c>
      <c r="H2813" s="159" t="s">
        <v>74</v>
      </c>
      <c r="I2813" s="158">
        <f>D2812*K2813</f>
        <v>1255321.2</v>
      </c>
      <c r="J2813" s="158">
        <f>I2813/D2812</f>
        <v>1154</v>
      </c>
      <c r="K2813" s="158">
        <v>1154</v>
      </c>
      <c r="L2813" s="7"/>
      <c r="M2813" s="7"/>
      <c r="N2813" s="7"/>
      <c r="O2813" s="7"/>
      <c r="P2813" s="7"/>
      <c r="Q2813" s="7"/>
      <c r="R2813" s="7"/>
      <c r="S2813" s="7"/>
      <c r="T2813" s="7"/>
      <c r="U2813" s="7"/>
      <c r="V2813" s="7"/>
      <c r="W2813" s="7"/>
    </row>
    <row r="2814" spans="1:23" x14ac:dyDescent="0.35">
      <c r="A2814" s="257"/>
      <c r="B2814" s="257"/>
      <c r="C2814" s="260"/>
      <c r="D2814" s="263"/>
      <c r="E2814" s="263"/>
      <c r="F2814" s="266"/>
      <c r="G2814" s="258"/>
      <c r="H2814" s="159" t="s">
        <v>76</v>
      </c>
      <c r="I2814" s="158">
        <f>D2812*K2814</f>
        <v>27195</v>
      </c>
      <c r="J2814" s="158">
        <f>I2814/D2812</f>
        <v>25</v>
      </c>
      <c r="K2814" s="158">
        <v>25</v>
      </c>
      <c r="L2814" s="7"/>
      <c r="M2814" s="7"/>
      <c r="N2814" s="7"/>
      <c r="O2814" s="7"/>
      <c r="P2814" s="7"/>
      <c r="Q2814" s="7"/>
      <c r="R2814" s="7"/>
      <c r="S2814" s="7"/>
      <c r="T2814" s="7"/>
      <c r="U2814" s="7"/>
      <c r="V2814" s="7"/>
      <c r="W2814" s="7"/>
    </row>
    <row r="2815" spans="1:23" x14ac:dyDescent="0.35">
      <c r="A2815" s="257"/>
      <c r="B2815" s="257"/>
      <c r="C2815" s="260"/>
      <c r="D2815" s="263"/>
      <c r="E2815" s="263"/>
      <c r="F2815" s="266"/>
      <c r="G2815" s="256" t="s">
        <v>83</v>
      </c>
      <c r="H2815" s="159" t="s">
        <v>74</v>
      </c>
      <c r="I2815" s="158">
        <f>D2812*K2815</f>
        <v>448173.6</v>
      </c>
      <c r="J2815" s="158">
        <f>I2815/D2812</f>
        <v>412</v>
      </c>
      <c r="K2815" s="158">
        <v>412</v>
      </c>
      <c r="L2815" s="7"/>
      <c r="M2815" s="7"/>
      <c r="N2815" s="7"/>
      <c r="O2815" s="7"/>
      <c r="P2815" s="7"/>
      <c r="Q2815" s="7"/>
      <c r="R2815" s="7"/>
      <c r="S2815" s="7"/>
      <c r="T2815" s="7"/>
      <c r="U2815" s="7"/>
      <c r="V2815" s="7"/>
      <c r="W2815" s="7"/>
    </row>
    <row r="2816" spans="1:23" ht="37.5" customHeight="1" x14ac:dyDescent="0.35">
      <c r="A2816" s="258"/>
      <c r="B2816" s="258"/>
      <c r="C2816" s="261"/>
      <c r="D2816" s="264"/>
      <c r="E2816" s="264"/>
      <c r="F2816" s="267"/>
      <c r="G2816" s="258"/>
      <c r="H2816" s="159" t="s">
        <v>76</v>
      </c>
      <c r="I2816" s="158">
        <f>D2812*K2816</f>
        <v>9790.2000000000007</v>
      </c>
      <c r="J2816" s="158">
        <f>I2816/D2812</f>
        <v>9</v>
      </c>
      <c r="K2816" s="158">
        <v>9</v>
      </c>
      <c r="L2816" s="7"/>
      <c r="M2816" s="7"/>
      <c r="N2816" s="7"/>
      <c r="O2816" s="7"/>
      <c r="P2816" s="7"/>
      <c r="Q2816" s="7"/>
      <c r="R2816" s="7"/>
      <c r="S2816" s="7"/>
      <c r="T2816" s="7"/>
      <c r="U2816" s="7"/>
      <c r="V2816" s="7"/>
      <c r="W2816" s="7"/>
    </row>
    <row r="2817" spans="1:23" ht="15.75" customHeight="1" x14ac:dyDescent="0.35">
      <c r="A2817" s="256">
        <f>A2812+1</f>
        <v>17</v>
      </c>
      <c r="B2817" s="256">
        <v>476</v>
      </c>
      <c r="C2817" s="295" t="s">
        <v>104</v>
      </c>
      <c r="D2817" s="262">
        <v>3176.66</v>
      </c>
      <c r="E2817" s="268" t="s">
        <v>75</v>
      </c>
      <c r="F2817" s="268">
        <v>5</v>
      </c>
      <c r="G2817" s="144"/>
      <c r="H2817" s="159" t="s">
        <v>73</v>
      </c>
      <c r="I2817" s="158">
        <f>I2818+I2819+I2820+I2821+I2822+I2823</f>
        <v>9704696.3000000007</v>
      </c>
      <c r="J2817" s="158">
        <f>J2818+J2819+J2820+J2821+J2822+J2823</f>
        <v>3055</v>
      </c>
      <c r="K2817" s="158">
        <f>K2818+K2819+K2820+K2821+K2822+K2823</f>
        <v>3055</v>
      </c>
      <c r="L2817" s="7"/>
      <c r="M2817" s="7"/>
      <c r="N2817" s="7"/>
      <c r="O2817" s="7"/>
      <c r="P2817" s="7"/>
      <c r="Q2817" s="7"/>
      <c r="R2817" s="7"/>
      <c r="S2817" s="7"/>
      <c r="T2817" s="7"/>
      <c r="U2817" s="7"/>
      <c r="V2817" s="7"/>
      <c r="W2817" s="7"/>
    </row>
    <row r="2818" spans="1:23" x14ac:dyDescent="0.35">
      <c r="A2818" s="257"/>
      <c r="B2818" s="257"/>
      <c r="C2818" s="296"/>
      <c r="D2818" s="263"/>
      <c r="E2818" s="269"/>
      <c r="F2818" s="269"/>
      <c r="G2818" s="256" t="s">
        <v>77</v>
      </c>
      <c r="H2818" s="159" t="s">
        <v>74</v>
      </c>
      <c r="I2818" s="158">
        <f>D2817*K2818</f>
        <v>6731342.54</v>
      </c>
      <c r="J2818" s="158">
        <f>I2818/D2817</f>
        <v>2119</v>
      </c>
      <c r="K2818" s="158">
        <v>2119</v>
      </c>
      <c r="L2818" s="7"/>
      <c r="M2818" s="7"/>
      <c r="N2818" s="7"/>
      <c r="O2818" s="7"/>
      <c r="P2818" s="7"/>
      <c r="Q2818" s="7"/>
      <c r="R2818" s="7"/>
      <c r="S2818" s="7"/>
      <c r="T2818" s="7"/>
      <c r="U2818" s="7"/>
      <c r="V2818" s="7"/>
      <c r="W2818" s="7"/>
    </row>
    <row r="2819" spans="1:23" x14ac:dyDescent="0.35">
      <c r="A2819" s="257"/>
      <c r="B2819" s="257"/>
      <c r="C2819" s="296"/>
      <c r="D2819" s="263"/>
      <c r="E2819" s="269"/>
      <c r="F2819" s="269"/>
      <c r="G2819" s="258"/>
      <c r="H2819" s="159" t="s">
        <v>76</v>
      </c>
      <c r="I2819" s="158">
        <f>D2817*K2819</f>
        <v>142949.70000000001</v>
      </c>
      <c r="J2819" s="158">
        <f>I2819/D2817</f>
        <v>45</v>
      </c>
      <c r="K2819" s="158">
        <v>45</v>
      </c>
      <c r="L2819" s="7"/>
      <c r="M2819" s="7"/>
      <c r="N2819" s="7"/>
      <c r="O2819" s="7"/>
      <c r="P2819" s="7"/>
      <c r="Q2819" s="7"/>
      <c r="R2819" s="7"/>
      <c r="S2819" s="7"/>
      <c r="T2819" s="7"/>
      <c r="U2819" s="7"/>
      <c r="V2819" s="7"/>
      <c r="W2819" s="7"/>
    </row>
    <row r="2820" spans="1:23" x14ac:dyDescent="0.35">
      <c r="A2820" s="257"/>
      <c r="B2820" s="257"/>
      <c r="C2820" s="296"/>
      <c r="D2820" s="263"/>
      <c r="E2820" s="269"/>
      <c r="F2820" s="269"/>
      <c r="G2820" s="256" t="s">
        <v>78</v>
      </c>
      <c r="H2820" s="159" t="s">
        <v>74</v>
      </c>
      <c r="I2820" s="158">
        <f>D2817*K2820</f>
        <v>1470793.58</v>
      </c>
      <c r="J2820" s="158">
        <f>I2820/D2817</f>
        <v>463</v>
      </c>
      <c r="K2820" s="158">
        <v>463</v>
      </c>
      <c r="L2820" s="7"/>
      <c r="M2820" s="7"/>
      <c r="N2820" s="7"/>
      <c r="O2820" s="7"/>
      <c r="P2820" s="7"/>
      <c r="Q2820" s="7"/>
      <c r="R2820" s="7"/>
      <c r="S2820" s="7"/>
      <c r="T2820" s="7"/>
      <c r="U2820" s="7"/>
      <c r="V2820" s="7"/>
      <c r="W2820" s="7"/>
    </row>
    <row r="2821" spans="1:23" x14ac:dyDescent="0.35">
      <c r="A2821" s="257"/>
      <c r="B2821" s="257"/>
      <c r="C2821" s="296"/>
      <c r="D2821" s="263"/>
      <c r="E2821" s="269"/>
      <c r="F2821" s="269"/>
      <c r="G2821" s="258"/>
      <c r="H2821" s="159" t="s">
        <v>76</v>
      </c>
      <c r="I2821" s="158">
        <f>D2817*K2821</f>
        <v>31766.6</v>
      </c>
      <c r="J2821" s="158">
        <f>I2821/D2817</f>
        <v>10</v>
      </c>
      <c r="K2821" s="158">
        <v>10</v>
      </c>
      <c r="L2821" s="7"/>
      <c r="M2821" s="7"/>
      <c r="N2821" s="7"/>
      <c r="O2821" s="7"/>
      <c r="P2821" s="7"/>
      <c r="Q2821" s="7"/>
      <c r="R2821" s="7"/>
      <c r="S2821" s="7"/>
      <c r="T2821" s="7"/>
      <c r="U2821" s="7"/>
      <c r="V2821" s="7"/>
      <c r="W2821" s="7"/>
    </row>
    <row r="2822" spans="1:23" x14ac:dyDescent="0.35">
      <c r="A2822" s="257"/>
      <c r="B2822" s="257"/>
      <c r="C2822" s="296"/>
      <c r="D2822" s="263"/>
      <c r="E2822" s="269"/>
      <c r="F2822" s="269"/>
      <c r="G2822" s="256" t="s">
        <v>79</v>
      </c>
      <c r="H2822" s="159" t="s">
        <v>74</v>
      </c>
      <c r="I2822" s="158">
        <f>D2817*K2822</f>
        <v>1299253.94</v>
      </c>
      <c r="J2822" s="158">
        <f>I2822/D2817</f>
        <v>409</v>
      </c>
      <c r="K2822" s="158">
        <v>409</v>
      </c>
      <c r="L2822" s="7"/>
      <c r="M2822" s="7"/>
      <c r="N2822" s="7"/>
      <c r="O2822" s="7"/>
      <c r="P2822" s="7"/>
      <c r="Q2822" s="7"/>
      <c r="R2822" s="7"/>
      <c r="S2822" s="7"/>
      <c r="T2822" s="7"/>
      <c r="U2822" s="7"/>
      <c r="V2822" s="7"/>
      <c r="W2822" s="7"/>
    </row>
    <row r="2823" spans="1:23" x14ac:dyDescent="0.35">
      <c r="A2823" s="258"/>
      <c r="B2823" s="258"/>
      <c r="C2823" s="297"/>
      <c r="D2823" s="264"/>
      <c r="E2823" s="273"/>
      <c r="F2823" s="273"/>
      <c r="G2823" s="258"/>
      <c r="H2823" s="159" t="s">
        <v>76</v>
      </c>
      <c r="I2823" s="158">
        <f>D2817*K2823</f>
        <v>28589.94</v>
      </c>
      <c r="J2823" s="158">
        <f>I2823/D2817</f>
        <v>9</v>
      </c>
      <c r="K2823" s="158">
        <v>9</v>
      </c>
      <c r="L2823" s="7"/>
      <c r="M2823" s="7"/>
      <c r="N2823" s="7"/>
      <c r="O2823" s="7"/>
      <c r="P2823" s="7"/>
      <c r="Q2823" s="7"/>
      <c r="R2823" s="7"/>
      <c r="S2823" s="7"/>
      <c r="T2823" s="7"/>
      <c r="U2823" s="7"/>
      <c r="V2823" s="7"/>
      <c r="W2823" s="7"/>
    </row>
    <row r="2824" spans="1:23" ht="15.75" customHeight="1" x14ac:dyDescent="0.35">
      <c r="A2824" s="256">
        <f>A2817+1</f>
        <v>18</v>
      </c>
      <c r="B2824" s="256">
        <v>119</v>
      </c>
      <c r="C2824" s="295" t="s">
        <v>105</v>
      </c>
      <c r="D2824" s="262">
        <v>811.7</v>
      </c>
      <c r="E2824" s="268" t="s">
        <v>80</v>
      </c>
      <c r="F2824" s="268">
        <v>3</v>
      </c>
      <c r="G2824" s="256" t="s">
        <v>72</v>
      </c>
      <c r="H2824" s="159" t="s">
        <v>73</v>
      </c>
      <c r="I2824" s="158">
        <f>I2825+I2826</f>
        <v>3837717.6</v>
      </c>
      <c r="J2824" s="158">
        <f>J2825+J2826</f>
        <v>4728</v>
      </c>
      <c r="K2824" s="158">
        <f>K2825+K2826</f>
        <v>4728</v>
      </c>
      <c r="L2824" s="7"/>
      <c r="M2824" s="7"/>
      <c r="N2824" s="7"/>
      <c r="O2824" s="7"/>
      <c r="P2824" s="7"/>
      <c r="Q2824" s="7"/>
      <c r="R2824" s="7"/>
      <c r="S2824" s="7"/>
      <c r="T2824" s="7"/>
      <c r="U2824" s="7"/>
      <c r="V2824" s="7"/>
      <c r="W2824" s="7"/>
    </row>
    <row r="2825" spans="1:23" x14ac:dyDescent="0.35">
      <c r="A2825" s="257"/>
      <c r="B2825" s="257"/>
      <c r="C2825" s="296"/>
      <c r="D2825" s="263"/>
      <c r="E2825" s="269"/>
      <c r="F2825" s="269"/>
      <c r="G2825" s="257"/>
      <c r="H2825" s="159" t="s">
        <v>74</v>
      </c>
      <c r="I2825" s="158">
        <f>D2824*K2825</f>
        <v>3757359.3</v>
      </c>
      <c r="J2825" s="158">
        <f>I2825/D2824</f>
        <v>4629</v>
      </c>
      <c r="K2825" s="158">
        <v>4629</v>
      </c>
      <c r="L2825" s="7"/>
      <c r="M2825" s="7"/>
      <c r="N2825" s="7"/>
      <c r="O2825" s="7"/>
      <c r="P2825" s="7"/>
      <c r="Q2825" s="7"/>
      <c r="R2825" s="7"/>
      <c r="S2825" s="7"/>
      <c r="T2825" s="7"/>
      <c r="U2825" s="7"/>
      <c r="V2825" s="7"/>
      <c r="W2825" s="7"/>
    </row>
    <row r="2826" spans="1:23" x14ac:dyDescent="0.35">
      <c r="A2826" s="257"/>
      <c r="B2826" s="257"/>
      <c r="C2826" s="296"/>
      <c r="D2826" s="263"/>
      <c r="E2826" s="269"/>
      <c r="F2826" s="269"/>
      <c r="G2826" s="258"/>
      <c r="H2826" s="159" t="s">
        <v>76</v>
      </c>
      <c r="I2826" s="158">
        <f>D2824*K2826</f>
        <v>80358.3</v>
      </c>
      <c r="J2826" s="158">
        <f>I2826/D2824</f>
        <v>99</v>
      </c>
      <c r="K2826" s="158">
        <v>99</v>
      </c>
      <c r="L2826" s="7"/>
      <c r="M2826" s="7"/>
      <c r="N2826" s="7"/>
      <c r="O2826" s="7"/>
      <c r="P2826" s="7"/>
      <c r="Q2826" s="7"/>
      <c r="R2826" s="7"/>
      <c r="S2826" s="7"/>
      <c r="T2826" s="7"/>
      <c r="U2826" s="7"/>
      <c r="V2826" s="7"/>
      <c r="W2826" s="7"/>
    </row>
    <row r="2827" spans="1:23" ht="15.75" customHeight="1" x14ac:dyDescent="0.35">
      <c r="A2827" s="251">
        <f>A2824+1</f>
        <v>19</v>
      </c>
      <c r="B2827" s="251">
        <v>179</v>
      </c>
      <c r="C2827" s="301" t="s">
        <v>106</v>
      </c>
      <c r="D2827" s="253">
        <v>840.9</v>
      </c>
      <c r="E2827" s="254" t="s">
        <v>80</v>
      </c>
      <c r="F2827" s="254">
        <v>3</v>
      </c>
      <c r="G2827" s="251" t="s">
        <v>72</v>
      </c>
      <c r="H2827" s="159" t="s">
        <v>73</v>
      </c>
      <c r="I2827" s="158">
        <f>I2828+I2829</f>
        <v>3975775.2</v>
      </c>
      <c r="J2827" s="158">
        <f>J2828+J2829</f>
        <v>4728</v>
      </c>
      <c r="K2827" s="158">
        <f>K2828+K2829</f>
        <v>4728</v>
      </c>
      <c r="L2827" s="7"/>
      <c r="M2827" s="7"/>
      <c r="N2827" s="7"/>
      <c r="O2827" s="7"/>
      <c r="P2827" s="7"/>
      <c r="Q2827" s="7"/>
      <c r="R2827" s="7"/>
      <c r="S2827" s="7"/>
      <c r="T2827" s="7"/>
      <c r="U2827" s="7"/>
      <c r="V2827" s="7"/>
      <c r="W2827" s="7"/>
    </row>
    <row r="2828" spans="1:23" x14ac:dyDescent="0.35">
      <c r="A2828" s="251">
        <v>75</v>
      </c>
      <c r="B2828" s="251"/>
      <c r="C2828" s="301"/>
      <c r="D2828" s="253"/>
      <c r="E2828" s="254"/>
      <c r="F2828" s="254"/>
      <c r="G2828" s="251"/>
      <c r="H2828" s="159" t="s">
        <v>74</v>
      </c>
      <c r="I2828" s="158">
        <f>D2827*K2828</f>
        <v>3892526.1</v>
      </c>
      <c r="J2828" s="158">
        <f>I2828/D2827</f>
        <v>4629</v>
      </c>
      <c r="K2828" s="158">
        <v>4629</v>
      </c>
      <c r="L2828" s="7"/>
      <c r="M2828" s="7"/>
      <c r="N2828" s="7"/>
      <c r="O2828" s="7"/>
      <c r="P2828" s="7"/>
      <c r="Q2828" s="7"/>
      <c r="R2828" s="7"/>
      <c r="S2828" s="7"/>
      <c r="T2828" s="7"/>
      <c r="U2828" s="7"/>
      <c r="V2828" s="7"/>
      <c r="W2828" s="7"/>
    </row>
    <row r="2829" spans="1:23" x14ac:dyDescent="0.35">
      <c r="A2829" s="251">
        <v>76</v>
      </c>
      <c r="B2829" s="251"/>
      <c r="C2829" s="301"/>
      <c r="D2829" s="253"/>
      <c r="E2829" s="254"/>
      <c r="F2829" s="254"/>
      <c r="G2829" s="251"/>
      <c r="H2829" s="159" t="s">
        <v>76</v>
      </c>
      <c r="I2829" s="158">
        <f>D2827*K2829</f>
        <v>83249.100000000006</v>
      </c>
      <c r="J2829" s="158">
        <f>I2829/D2827</f>
        <v>99</v>
      </c>
      <c r="K2829" s="158">
        <v>99</v>
      </c>
      <c r="L2829" s="7"/>
      <c r="M2829" s="7"/>
      <c r="N2829" s="7"/>
      <c r="O2829" s="7"/>
      <c r="P2829" s="7"/>
      <c r="Q2829" s="7"/>
      <c r="R2829" s="7"/>
      <c r="S2829" s="7"/>
      <c r="T2829" s="7"/>
      <c r="U2829" s="7"/>
      <c r="V2829" s="7"/>
      <c r="W2829" s="7"/>
    </row>
    <row r="2830" spans="1:23" ht="15.75" customHeight="1" x14ac:dyDescent="0.35">
      <c r="A2830" s="251">
        <f>A2827+1</f>
        <v>20</v>
      </c>
      <c r="B2830" s="251">
        <v>244</v>
      </c>
      <c r="C2830" s="301" t="s">
        <v>107</v>
      </c>
      <c r="D2830" s="253">
        <v>3721.87</v>
      </c>
      <c r="E2830" s="254" t="s">
        <v>80</v>
      </c>
      <c r="F2830" s="254">
        <v>5</v>
      </c>
      <c r="G2830" s="251" t="s">
        <v>72</v>
      </c>
      <c r="H2830" s="159" t="s">
        <v>73</v>
      </c>
      <c r="I2830" s="158">
        <f>I2831+I2832</f>
        <v>10536613.970000001</v>
      </c>
      <c r="J2830" s="158">
        <f>J2831+J2832</f>
        <v>2831</v>
      </c>
      <c r="K2830" s="158">
        <f>K2831+K2832</f>
        <v>2831</v>
      </c>
      <c r="L2830" s="7"/>
      <c r="M2830" s="7"/>
      <c r="N2830" s="7"/>
      <c r="O2830" s="7"/>
      <c r="P2830" s="7"/>
      <c r="Q2830" s="7"/>
      <c r="R2830" s="7"/>
      <c r="S2830" s="7"/>
      <c r="T2830" s="7"/>
      <c r="U2830" s="7"/>
      <c r="V2830" s="7"/>
      <c r="W2830" s="7"/>
    </row>
    <row r="2831" spans="1:23" x14ac:dyDescent="0.35">
      <c r="A2831" s="251">
        <v>75</v>
      </c>
      <c r="B2831" s="251"/>
      <c r="C2831" s="301"/>
      <c r="D2831" s="253"/>
      <c r="E2831" s="254"/>
      <c r="F2831" s="254"/>
      <c r="G2831" s="251"/>
      <c r="H2831" s="159" t="s">
        <v>74</v>
      </c>
      <c r="I2831" s="158">
        <f>D2830*K2831</f>
        <v>10317023.640000001</v>
      </c>
      <c r="J2831" s="158">
        <f>I2831/D2830</f>
        <v>2772</v>
      </c>
      <c r="K2831" s="158">
        <v>2772</v>
      </c>
      <c r="L2831" s="7"/>
      <c r="M2831" s="7"/>
      <c r="N2831" s="7"/>
      <c r="O2831" s="7"/>
      <c r="P2831" s="7"/>
      <c r="Q2831" s="7"/>
      <c r="R2831" s="7"/>
      <c r="S2831" s="7"/>
      <c r="T2831" s="7"/>
      <c r="U2831" s="7"/>
      <c r="V2831" s="7"/>
      <c r="W2831" s="7"/>
    </row>
    <row r="2832" spans="1:23" x14ac:dyDescent="0.35">
      <c r="A2832" s="251">
        <v>76</v>
      </c>
      <c r="B2832" s="251"/>
      <c r="C2832" s="301"/>
      <c r="D2832" s="253"/>
      <c r="E2832" s="254"/>
      <c r="F2832" s="254"/>
      <c r="G2832" s="251"/>
      <c r="H2832" s="159" t="s">
        <v>76</v>
      </c>
      <c r="I2832" s="158">
        <f>D2830*K2832</f>
        <v>219590.33</v>
      </c>
      <c r="J2832" s="158">
        <f>I2832/D2830</f>
        <v>59</v>
      </c>
      <c r="K2832" s="158">
        <v>59</v>
      </c>
      <c r="L2832" s="7"/>
      <c r="M2832" s="7"/>
      <c r="N2832" s="7"/>
      <c r="O2832" s="7"/>
      <c r="P2832" s="7"/>
      <c r="Q2832" s="7"/>
      <c r="R2832" s="7"/>
      <c r="S2832" s="7"/>
      <c r="T2832" s="7"/>
      <c r="U2832" s="7"/>
      <c r="V2832" s="7"/>
      <c r="W2832" s="7"/>
    </row>
    <row r="2833" spans="1:23" ht="15.75" customHeight="1" x14ac:dyDescent="0.35">
      <c r="A2833" s="256">
        <f>A2830+1</f>
        <v>21</v>
      </c>
      <c r="B2833" s="256">
        <v>1349</v>
      </c>
      <c r="C2833" s="295" t="s">
        <v>108</v>
      </c>
      <c r="D2833" s="262">
        <v>639.14</v>
      </c>
      <c r="E2833" s="268" t="s">
        <v>75</v>
      </c>
      <c r="F2833" s="268">
        <v>2</v>
      </c>
      <c r="G2833" s="251" t="s">
        <v>72</v>
      </c>
      <c r="H2833" s="159" t="s">
        <v>73</v>
      </c>
      <c r="I2833" s="158">
        <f>I2834+I2835+I2836+I2837</f>
        <v>6346021.0599999996</v>
      </c>
      <c r="J2833" s="158">
        <f>J2834+J2835+J2836+J2837</f>
        <v>9929</v>
      </c>
      <c r="K2833" s="158">
        <f>K2834+K2835+K2836+K2837</f>
        <v>9929</v>
      </c>
      <c r="L2833" s="7"/>
      <c r="M2833" s="7"/>
      <c r="N2833" s="7"/>
      <c r="O2833" s="7"/>
      <c r="P2833" s="7"/>
      <c r="Q2833" s="7"/>
      <c r="R2833" s="7"/>
      <c r="S2833" s="7"/>
      <c r="T2833" s="7"/>
      <c r="U2833" s="7"/>
      <c r="V2833" s="7"/>
      <c r="W2833" s="7"/>
    </row>
    <row r="2834" spans="1:23" x14ac:dyDescent="0.35">
      <c r="A2834" s="257"/>
      <c r="B2834" s="257"/>
      <c r="C2834" s="296"/>
      <c r="D2834" s="263"/>
      <c r="E2834" s="269"/>
      <c r="F2834" s="269"/>
      <c r="G2834" s="251"/>
      <c r="H2834" s="159" t="s">
        <v>74</v>
      </c>
      <c r="I2834" s="158">
        <f>D2833*K2834</f>
        <v>4421570.5199999996</v>
      </c>
      <c r="J2834" s="158">
        <f>I2834/D2833</f>
        <v>6918</v>
      </c>
      <c r="K2834" s="158">
        <v>6918</v>
      </c>
      <c r="L2834" s="7"/>
      <c r="M2834" s="7"/>
      <c r="N2834" s="7"/>
      <c r="O2834" s="7"/>
      <c r="P2834" s="7"/>
      <c r="Q2834" s="7"/>
      <c r="R2834" s="7"/>
      <c r="S2834" s="7"/>
      <c r="T2834" s="7"/>
      <c r="U2834" s="7"/>
      <c r="V2834" s="7"/>
      <c r="W2834" s="7"/>
    </row>
    <row r="2835" spans="1:23" x14ac:dyDescent="0.35">
      <c r="A2835" s="257"/>
      <c r="B2835" s="257"/>
      <c r="C2835" s="296"/>
      <c r="D2835" s="263"/>
      <c r="E2835" s="269"/>
      <c r="F2835" s="269"/>
      <c r="G2835" s="251"/>
      <c r="H2835" s="159" t="s">
        <v>76</v>
      </c>
      <c r="I2835" s="158">
        <f>D2833*K2835</f>
        <v>94592.72</v>
      </c>
      <c r="J2835" s="158">
        <f>I2835/D2833</f>
        <v>148</v>
      </c>
      <c r="K2835" s="158">
        <v>148</v>
      </c>
      <c r="L2835" s="7"/>
      <c r="M2835" s="7"/>
      <c r="N2835" s="7"/>
      <c r="O2835" s="7"/>
      <c r="P2835" s="7"/>
      <c r="Q2835" s="7"/>
      <c r="R2835" s="7"/>
      <c r="S2835" s="7"/>
      <c r="T2835" s="7"/>
      <c r="U2835" s="7"/>
      <c r="V2835" s="7"/>
      <c r="W2835" s="7"/>
    </row>
    <row r="2836" spans="1:23" ht="15.75" customHeight="1" x14ac:dyDescent="0.35">
      <c r="A2836" s="257"/>
      <c r="B2836" s="257"/>
      <c r="C2836" s="296"/>
      <c r="D2836" s="263"/>
      <c r="E2836" s="269"/>
      <c r="F2836" s="269"/>
      <c r="G2836" s="256" t="s">
        <v>109</v>
      </c>
      <c r="H2836" s="159" t="s">
        <v>74</v>
      </c>
      <c r="I2836" s="158">
        <f>D2833*K2836</f>
        <v>1791509.42</v>
      </c>
      <c r="J2836" s="158">
        <f>I2836/D2833</f>
        <v>2803</v>
      </c>
      <c r="K2836" s="158">
        <v>2803</v>
      </c>
      <c r="L2836" s="7"/>
      <c r="M2836" s="7"/>
      <c r="N2836" s="7"/>
      <c r="O2836" s="7"/>
      <c r="P2836" s="7"/>
      <c r="Q2836" s="7"/>
      <c r="R2836" s="7"/>
      <c r="S2836" s="7"/>
      <c r="T2836" s="7"/>
      <c r="U2836" s="7"/>
      <c r="V2836" s="7"/>
      <c r="W2836" s="7"/>
    </row>
    <row r="2837" spans="1:23" ht="106.5" customHeight="1" x14ac:dyDescent="0.35">
      <c r="A2837" s="258"/>
      <c r="B2837" s="258"/>
      <c r="C2837" s="297"/>
      <c r="D2837" s="264"/>
      <c r="E2837" s="273"/>
      <c r="F2837" s="273"/>
      <c r="G2837" s="258"/>
      <c r="H2837" s="159" t="s">
        <v>76</v>
      </c>
      <c r="I2837" s="158">
        <f>D2833*K2837</f>
        <v>38348.400000000001</v>
      </c>
      <c r="J2837" s="158">
        <f>I2837/D2833</f>
        <v>60</v>
      </c>
      <c r="K2837" s="158">
        <v>60</v>
      </c>
      <c r="L2837" s="7"/>
      <c r="M2837" s="7"/>
      <c r="N2837" s="7"/>
      <c r="O2837" s="7"/>
      <c r="P2837" s="7"/>
      <c r="Q2837" s="7"/>
      <c r="R2837" s="7"/>
      <c r="S2837" s="7"/>
      <c r="T2837" s="7"/>
      <c r="U2837" s="7"/>
      <c r="V2837" s="7"/>
      <c r="W2837" s="7"/>
    </row>
    <row r="2838" spans="1:23" ht="15.75" customHeight="1" x14ac:dyDescent="0.35">
      <c r="A2838" s="251">
        <f>A2833+1</f>
        <v>22</v>
      </c>
      <c r="B2838" s="251">
        <v>1286</v>
      </c>
      <c r="C2838" s="301" t="s">
        <v>110</v>
      </c>
      <c r="D2838" s="253">
        <v>3177.26</v>
      </c>
      <c r="E2838" s="254" t="s">
        <v>75</v>
      </c>
      <c r="F2838" s="254">
        <v>5</v>
      </c>
      <c r="G2838" s="251" t="s">
        <v>72</v>
      </c>
      <c r="H2838" s="159" t="s">
        <v>73</v>
      </c>
      <c r="I2838" s="158">
        <f>I2839+I2840</f>
        <v>8994823.0600000005</v>
      </c>
      <c r="J2838" s="158">
        <f>J2839+J2840</f>
        <v>2831</v>
      </c>
      <c r="K2838" s="158">
        <f>K2839+K2840</f>
        <v>2831</v>
      </c>
      <c r="L2838" s="7"/>
      <c r="M2838" s="7"/>
      <c r="N2838" s="7"/>
      <c r="O2838" s="7"/>
      <c r="P2838" s="7"/>
      <c r="Q2838" s="7"/>
      <c r="R2838" s="7"/>
      <c r="S2838" s="7"/>
      <c r="T2838" s="7"/>
      <c r="U2838" s="7"/>
      <c r="V2838" s="7"/>
      <c r="W2838" s="7"/>
    </row>
    <row r="2839" spans="1:23" x14ac:dyDescent="0.35">
      <c r="A2839" s="251">
        <v>75</v>
      </c>
      <c r="B2839" s="251"/>
      <c r="C2839" s="301"/>
      <c r="D2839" s="253"/>
      <c r="E2839" s="254"/>
      <c r="F2839" s="254"/>
      <c r="G2839" s="251"/>
      <c r="H2839" s="159" t="s">
        <v>74</v>
      </c>
      <c r="I2839" s="158">
        <f>D2838*K2839</f>
        <v>8807364.7200000007</v>
      </c>
      <c r="J2839" s="158">
        <f>I2839/D2838</f>
        <v>2772</v>
      </c>
      <c r="K2839" s="158">
        <v>2772</v>
      </c>
      <c r="L2839" s="7"/>
      <c r="M2839" s="7"/>
      <c r="N2839" s="7"/>
      <c r="O2839" s="7"/>
      <c r="P2839" s="7"/>
      <c r="Q2839" s="7"/>
      <c r="R2839" s="7"/>
      <c r="S2839" s="7"/>
      <c r="T2839" s="7"/>
      <c r="U2839" s="7"/>
      <c r="V2839" s="7"/>
      <c r="W2839" s="7"/>
    </row>
    <row r="2840" spans="1:23" x14ac:dyDescent="0.35">
      <c r="A2840" s="251">
        <v>76</v>
      </c>
      <c r="B2840" s="251"/>
      <c r="C2840" s="301"/>
      <c r="D2840" s="253"/>
      <c r="E2840" s="254"/>
      <c r="F2840" s="254"/>
      <c r="G2840" s="251"/>
      <c r="H2840" s="159" t="s">
        <v>76</v>
      </c>
      <c r="I2840" s="158">
        <f>D2838*K2840</f>
        <v>187458.34</v>
      </c>
      <c r="J2840" s="158">
        <f>I2840/D2838</f>
        <v>59</v>
      </c>
      <c r="K2840" s="158">
        <v>59</v>
      </c>
      <c r="L2840" s="7"/>
      <c r="M2840" s="7"/>
      <c r="N2840" s="7"/>
      <c r="O2840" s="7"/>
      <c r="P2840" s="7"/>
      <c r="Q2840" s="7"/>
      <c r="R2840" s="7"/>
      <c r="S2840" s="7"/>
      <c r="T2840" s="7"/>
      <c r="U2840" s="7"/>
      <c r="V2840" s="7"/>
      <c r="W2840" s="7"/>
    </row>
    <row r="2841" spans="1:23" ht="15.75" customHeight="1" x14ac:dyDescent="0.35">
      <c r="A2841" s="251">
        <f>A2838+1</f>
        <v>23</v>
      </c>
      <c r="B2841" s="251">
        <v>1490</v>
      </c>
      <c r="C2841" s="301" t="s">
        <v>111</v>
      </c>
      <c r="D2841" s="253">
        <v>3162.22</v>
      </c>
      <c r="E2841" s="254" t="s">
        <v>75</v>
      </c>
      <c r="F2841" s="254">
        <v>5</v>
      </c>
      <c r="G2841" s="251" t="s">
        <v>72</v>
      </c>
      <c r="H2841" s="159" t="s">
        <v>73</v>
      </c>
      <c r="I2841" s="158">
        <f>I2842+I2843</f>
        <v>8952244.8200000003</v>
      </c>
      <c r="J2841" s="158">
        <f>J2842+J2843</f>
        <v>2831</v>
      </c>
      <c r="K2841" s="158">
        <f>K2842+K2843</f>
        <v>2831</v>
      </c>
      <c r="L2841" s="7"/>
      <c r="M2841" s="7"/>
      <c r="N2841" s="7"/>
      <c r="O2841" s="7"/>
      <c r="P2841" s="7"/>
      <c r="Q2841" s="7"/>
      <c r="R2841" s="7"/>
      <c r="S2841" s="7"/>
      <c r="T2841" s="7"/>
      <c r="U2841" s="7"/>
      <c r="V2841" s="7"/>
      <c r="W2841" s="7"/>
    </row>
    <row r="2842" spans="1:23" x14ac:dyDescent="0.35">
      <c r="A2842" s="251">
        <v>75</v>
      </c>
      <c r="B2842" s="251"/>
      <c r="C2842" s="301"/>
      <c r="D2842" s="253"/>
      <c r="E2842" s="254"/>
      <c r="F2842" s="254"/>
      <c r="G2842" s="251"/>
      <c r="H2842" s="159" t="s">
        <v>74</v>
      </c>
      <c r="I2842" s="158">
        <f>D2841*K2842</f>
        <v>8765673.8399999999</v>
      </c>
      <c r="J2842" s="158">
        <f>I2842/D2841</f>
        <v>2772</v>
      </c>
      <c r="K2842" s="158">
        <v>2772</v>
      </c>
      <c r="L2842" s="7"/>
      <c r="M2842" s="7"/>
      <c r="N2842" s="7"/>
      <c r="O2842" s="7"/>
      <c r="P2842" s="7"/>
      <c r="Q2842" s="7"/>
      <c r="R2842" s="7"/>
      <c r="S2842" s="7"/>
      <c r="T2842" s="7"/>
      <c r="U2842" s="7"/>
      <c r="V2842" s="7"/>
      <c r="W2842" s="7"/>
    </row>
    <row r="2843" spans="1:23" x14ac:dyDescent="0.35">
      <c r="A2843" s="251">
        <v>76</v>
      </c>
      <c r="B2843" s="251"/>
      <c r="C2843" s="301"/>
      <c r="D2843" s="253"/>
      <c r="E2843" s="254"/>
      <c r="F2843" s="254"/>
      <c r="G2843" s="251"/>
      <c r="H2843" s="159" t="s">
        <v>76</v>
      </c>
      <c r="I2843" s="158">
        <f>D2841*K2843</f>
        <v>186570.98</v>
      </c>
      <c r="J2843" s="158">
        <f>I2843/D2841</f>
        <v>59</v>
      </c>
      <c r="K2843" s="158">
        <v>59</v>
      </c>
      <c r="L2843" s="7"/>
      <c r="M2843" s="7"/>
      <c r="N2843" s="7"/>
      <c r="O2843" s="7"/>
      <c r="P2843" s="7"/>
      <c r="Q2843" s="7"/>
      <c r="R2843" s="7"/>
      <c r="S2843" s="7"/>
      <c r="T2843" s="7"/>
      <c r="U2843" s="7"/>
      <c r="V2843" s="7"/>
      <c r="W2843" s="7"/>
    </row>
    <row r="2844" spans="1:23" ht="15.75" customHeight="1" x14ac:dyDescent="0.35">
      <c r="A2844" s="251">
        <f>A2841+1</f>
        <v>24</v>
      </c>
      <c r="B2844" s="251">
        <v>1492</v>
      </c>
      <c r="C2844" s="301" t="s">
        <v>112</v>
      </c>
      <c r="D2844" s="253">
        <v>3144.5</v>
      </c>
      <c r="E2844" s="254" t="s">
        <v>75</v>
      </c>
      <c r="F2844" s="254">
        <v>5</v>
      </c>
      <c r="G2844" s="251" t="s">
        <v>72</v>
      </c>
      <c r="H2844" s="159" t="s">
        <v>73</v>
      </c>
      <c r="I2844" s="158">
        <f>I2845+I2846</f>
        <v>8902079.5</v>
      </c>
      <c r="J2844" s="158">
        <f>J2845+J2846</f>
        <v>2831</v>
      </c>
      <c r="K2844" s="158">
        <f>K2845+K2846</f>
        <v>2831</v>
      </c>
      <c r="L2844" s="7"/>
      <c r="M2844" s="7"/>
      <c r="N2844" s="7"/>
      <c r="O2844" s="7"/>
      <c r="P2844" s="7"/>
      <c r="Q2844" s="7"/>
      <c r="R2844" s="7"/>
      <c r="S2844" s="7"/>
      <c r="T2844" s="7"/>
      <c r="U2844" s="7"/>
      <c r="V2844" s="7"/>
      <c r="W2844" s="7"/>
    </row>
    <row r="2845" spans="1:23" x14ac:dyDescent="0.35">
      <c r="A2845" s="251">
        <v>75</v>
      </c>
      <c r="B2845" s="251"/>
      <c r="C2845" s="301"/>
      <c r="D2845" s="253"/>
      <c r="E2845" s="254"/>
      <c r="F2845" s="254"/>
      <c r="G2845" s="251"/>
      <c r="H2845" s="159" t="s">
        <v>74</v>
      </c>
      <c r="I2845" s="158">
        <f>D2844*K2845</f>
        <v>8716554</v>
      </c>
      <c r="J2845" s="158">
        <f>I2845/D2844</f>
        <v>2772</v>
      </c>
      <c r="K2845" s="158">
        <v>2772</v>
      </c>
      <c r="L2845" s="7"/>
      <c r="M2845" s="7"/>
      <c r="N2845" s="7"/>
      <c r="O2845" s="7"/>
      <c r="P2845" s="7"/>
      <c r="Q2845" s="7"/>
      <c r="R2845" s="7"/>
      <c r="S2845" s="7"/>
      <c r="T2845" s="7"/>
      <c r="U2845" s="7"/>
      <c r="V2845" s="7"/>
      <c r="W2845" s="7"/>
    </row>
    <row r="2846" spans="1:23" x14ac:dyDescent="0.35">
      <c r="A2846" s="251">
        <v>76</v>
      </c>
      <c r="B2846" s="251"/>
      <c r="C2846" s="301"/>
      <c r="D2846" s="253"/>
      <c r="E2846" s="254"/>
      <c r="F2846" s="254"/>
      <c r="G2846" s="251"/>
      <c r="H2846" s="159" t="s">
        <v>76</v>
      </c>
      <c r="I2846" s="158">
        <f>D2844*K2846</f>
        <v>185525.5</v>
      </c>
      <c r="J2846" s="158">
        <f>I2846/D2844</f>
        <v>59</v>
      </c>
      <c r="K2846" s="158">
        <v>59</v>
      </c>
      <c r="L2846" s="7"/>
      <c r="M2846" s="7"/>
      <c r="N2846" s="7"/>
      <c r="O2846" s="7"/>
      <c r="P2846" s="7"/>
      <c r="Q2846" s="7"/>
      <c r="R2846" s="7"/>
      <c r="S2846" s="7"/>
      <c r="T2846" s="7"/>
      <c r="U2846" s="7"/>
      <c r="V2846" s="7"/>
      <c r="W2846" s="7"/>
    </row>
    <row r="2847" spans="1:23" ht="15.75" customHeight="1" x14ac:dyDescent="0.35">
      <c r="A2847" s="251">
        <f>A2844+1</f>
        <v>25</v>
      </c>
      <c r="B2847" s="251">
        <v>1263</v>
      </c>
      <c r="C2847" s="301" t="s">
        <v>88</v>
      </c>
      <c r="D2847" s="253">
        <v>2040.56</v>
      </c>
      <c r="E2847" s="254" t="s">
        <v>75</v>
      </c>
      <c r="F2847" s="254">
        <v>3</v>
      </c>
      <c r="G2847" s="251" t="s">
        <v>87</v>
      </c>
      <c r="H2847" s="159" t="s">
        <v>73</v>
      </c>
      <c r="I2847" s="158">
        <f>I2848+I2849</f>
        <v>1216173.76</v>
      </c>
      <c r="J2847" s="158">
        <f>J2848+J2849</f>
        <v>596</v>
      </c>
      <c r="K2847" s="158">
        <f>K2848+K2849</f>
        <v>596</v>
      </c>
      <c r="L2847" s="7"/>
      <c r="M2847" s="7"/>
      <c r="N2847" s="7"/>
      <c r="O2847" s="7"/>
      <c r="P2847" s="7"/>
      <c r="Q2847" s="7"/>
      <c r="R2847" s="7"/>
      <c r="S2847" s="7"/>
      <c r="T2847" s="7"/>
      <c r="U2847" s="7"/>
      <c r="V2847" s="7"/>
      <c r="W2847" s="7"/>
    </row>
    <row r="2848" spans="1:23" x14ac:dyDescent="0.35">
      <c r="A2848" s="251">
        <v>75</v>
      </c>
      <c r="B2848" s="251"/>
      <c r="C2848" s="301"/>
      <c r="D2848" s="253"/>
      <c r="E2848" s="254"/>
      <c r="F2848" s="254"/>
      <c r="G2848" s="251"/>
      <c r="H2848" s="159" t="s">
        <v>74</v>
      </c>
      <c r="I2848" s="158">
        <f>D2847*K2848</f>
        <v>1191687.04</v>
      </c>
      <c r="J2848" s="158">
        <f>I2848/D2847</f>
        <v>584</v>
      </c>
      <c r="K2848" s="158">
        <v>584</v>
      </c>
      <c r="L2848" s="7"/>
      <c r="M2848" s="7"/>
      <c r="N2848" s="7"/>
      <c r="O2848" s="7"/>
      <c r="P2848" s="7"/>
      <c r="Q2848" s="7"/>
      <c r="R2848" s="7"/>
      <c r="S2848" s="7"/>
      <c r="T2848" s="7"/>
      <c r="U2848" s="7"/>
      <c r="V2848" s="7"/>
      <c r="W2848" s="7"/>
    </row>
    <row r="2849" spans="1:23" x14ac:dyDescent="0.35">
      <c r="A2849" s="251">
        <v>76</v>
      </c>
      <c r="B2849" s="251"/>
      <c r="C2849" s="301"/>
      <c r="D2849" s="253"/>
      <c r="E2849" s="254"/>
      <c r="F2849" s="254"/>
      <c r="G2849" s="251"/>
      <c r="H2849" s="159" t="s">
        <v>76</v>
      </c>
      <c r="I2849" s="158">
        <f>D2847*K2849</f>
        <v>24486.720000000001</v>
      </c>
      <c r="J2849" s="158">
        <f>I2849/D2847</f>
        <v>12</v>
      </c>
      <c r="K2849" s="158">
        <v>12</v>
      </c>
      <c r="L2849" s="7"/>
      <c r="M2849" s="7"/>
      <c r="N2849" s="7"/>
      <c r="O2849" s="7"/>
      <c r="P2849" s="7"/>
      <c r="Q2849" s="7"/>
      <c r="R2849" s="7"/>
      <c r="S2849" s="7"/>
      <c r="T2849" s="7"/>
      <c r="U2849" s="7"/>
      <c r="V2849" s="7"/>
      <c r="W2849" s="7"/>
    </row>
    <row r="2850" spans="1:23" ht="15.75" customHeight="1" x14ac:dyDescent="0.35">
      <c r="A2850" s="251">
        <f>A2847+1</f>
        <v>26</v>
      </c>
      <c r="B2850" s="251">
        <v>1264</v>
      </c>
      <c r="C2850" s="301" t="s">
        <v>113</v>
      </c>
      <c r="D2850" s="253">
        <v>2815.1</v>
      </c>
      <c r="E2850" s="254" t="s">
        <v>75</v>
      </c>
      <c r="F2850" s="254">
        <v>5</v>
      </c>
      <c r="G2850" s="251" t="s">
        <v>72</v>
      </c>
      <c r="H2850" s="159" t="s">
        <v>73</v>
      </c>
      <c r="I2850" s="158">
        <f>I2851+I2852</f>
        <v>7969548.0999999996</v>
      </c>
      <c r="J2850" s="158">
        <f>J2851+J2852</f>
        <v>2831</v>
      </c>
      <c r="K2850" s="158">
        <f>K2851+K2852</f>
        <v>2831</v>
      </c>
      <c r="L2850" s="7"/>
      <c r="M2850" s="7"/>
      <c r="N2850" s="7"/>
      <c r="O2850" s="7"/>
      <c r="P2850" s="7"/>
      <c r="Q2850" s="7"/>
      <c r="R2850" s="7"/>
      <c r="S2850" s="7"/>
      <c r="T2850" s="7"/>
      <c r="U2850" s="7"/>
      <c r="V2850" s="7"/>
      <c r="W2850" s="7"/>
    </row>
    <row r="2851" spans="1:23" x14ac:dyDescent="0.35">
      <c r="A2851" s="251">
        <v>75</v>
      </c>
      <c r="B2851" s="251"/>
      <c r="C2851" s="301"/>
      <c r="D2851" s="253"/>
      <c r="E2851" s="254"/>
      <c r="F2851" s="254"/>
      <c r="G2851" s="251"/>
      <c r="H2851" s="159" t="s">
        <v>74</v>
      </c>
      <c r="I2851" s="158">
        <f>D2850*K2851</f>
        <v>7803457.2000000002</v>
      </c>
      <c r="J2851" s="158">
        <f>I2851/D2850</f>
        <v>2772</v>
      </c>
      <c r="K2851" s="158">
        <v>2772</v>
      </c>
      <c r="L2851" s="7"/>
      <c r="M2851" s="7"/>
      <c r="N2851" s="7"/>
      <c r="O2851" s="7"/>
      <c r="P2851" s="7"/>
      <c r="Q2851" s="7"/>
      <c r="R2851" s="7"/>
      <c r="S2851" s="7"/>
      <c r="T2851" s="7"/>
      <c r="U2851" s="7"/>
      <c r="V2851" s="7"/>
      <c r="W2851" s="7"/>
    </row>
    <row r="2852" spans="1:23" x14ac:dyDescent="0.35">
      <c r="A2852" s="251">
        <v>76</v>
      </c>
      <c r="B2852" s="251"/>
      <c r="C2852" s="301"/>
      <c r="D2852" s="253"/>
      <c r="E2852" s="254"/>
      <c r="F2852" s="254"/>
      <c r="G2852" s="251"/>
      <c r="H2852" s="159" t="s">
        <v>76</v>
      </c>
      <c r="I2852" s="158">
        <f>D2850*K2852</f>
        <v>166090.9</v>
      </c>
      <c r="J2852" s="158">
        <f>I2852/D2850</f>
        <v>59</v>
      </c>
      <c r="K2852" s="158">
        <v>59</v>
      </c>
      <c r="L2852" s="7"/>
      <c r="M2852" s="7"/>
      <c r="N2852" s="7"/>
      <c r="O2852" s="7"/>
      <c r="P2852" s="7"/>
      <c r="Q2852" s="7"/>
      <c r="R2852" s="7"/>
      <c r="S2852" s="7"/>
      <c r="T2852" s="7"/>
      <c r="U2852" s="7"/>
      <c r="V2852" s="7"/>
      <c r="W2852" s="7"/>
    </row>
    <row r="2853" spans="1:23" ht="15.75" customHeight="1" x14ac:dyDescent="0.35">
      <c r="A2853" s="251">
        <f>A2850+1</f>
        <v>27</v>
      </c>
      <c r="B2853" s="251">
        <v>1267</v>
      </c>
      <c r="C2853" s="252" t="s">
        <v>347</v>
      </c>
      <c r="D2853" s="253">
        <v>3044.9</v>
      </c>
      <c r="E2853" s="254" t="s">
        <v>75</v>
      </c>
      <c r="F2853" s="254">
        <v>5</v>
      </c>
      <c r="G2853" s="123"/>
      <c r="H2853" s="159" t="s">
        <v>73</v>
      </c>
      <c r="I2853" s="158">
        <f>SUM(I2854:I2859)</f>
        <v>12301396</v>
      </c>
      <c r="J2853" s="158">
        <f>SUM(J2854:J2859)</f>
        <v>4040</v>
      </c>
      <c r="K2853" s="158">
        <f>SUM(K2854:K2859)</f>
        <v>4040</v>
      </c>
      <c r="L2853" s="7"/>
      <c r="M2853" s="7"/>
      <c r="N2853" s="7"/>
      <c r="O2853" s="7"/>
      <c r="P2853" s="7"/>
      <c r="Q2853" s="7"/>
      <c r="R2853" s="7"/>
      <c r="S2853" s="7"/>
      <c r="T2853" s="7"/>
      <c r="U2853" s="7"/>
      <c r="V2853" s="7"/>
      <c r="W2853" s="7"/>
    </row>
    <row r="2854" spans="1:23" x14ac:dyDescent="0.35">
      <c r="A2854" s="251"/>
      <c r="B2854" s="251"/>
      <c r="C2854" s="252"/>
      <c r="D2854" s="253"/>
      <c r="E2854" s="254"/>
      <c r="F2854" s="254"/>
      <c r="G2854" s="251" t="s">
        <v>82</v>
      </c>
      <c r="H2854" s="159" t="s">
        <v>74</v>
      </c>
      <c r="I2854" s="158">
        <f>K2854*D2853</f>
        <v>2542491.5</v>
      </c>
      <c r="J2854" s="158">
        <f>I2854/D2853</f>
        <v>835</v>
      </c>
      <c r="K2854" s="158">
        <v>835</v>
      </c>
      <c r="L2854" s="7"/>
      <c r="M2854" s="7"/>
      <c r="N2854" s="7"/>
      <c r="O2854" s="7"/>
      <c r="P2854" s="7"/>
      <c r="Q2854" s="7"/>
      <c r="R2854" s="7"/>
      <c r="S2854" s="7"/>
      <c r="T2854" s="7"/>
      <c r="U2854" s="7"/>
      <c r="V2854" s="7"/>
      <c r="W2854" s="7"/>
    </row>
    <row r="2855" spans="1:23" x14ac:dyDescent="0.35">
      <c r="A2855" s="251"/>
      <c r="B2855" s="251"/>
      <c r="C2855" s="252"/>
      <c r="D2855" s="253"/>
      <c r="E2855" s="254"/>
      <c r="F2855" s="254"/>
      <c r="G2855" s="251"/>
      <c r="H2855" s="159" t="s">
        <v>76</v>
      </c>
      <c r="I2855" s="158">
        <f>K2855*D2853</f>
        <v>54808.2</v>
      </c>
      <c r="J2855" s="158">
        <f>I2855/D2853</f>
        <v>18</v>
      </c>
      <c r="K2855" s="158">
        <v>18</v>
      </c>
      <c r="L2855" s="7"/>
      <c r="M2855" s="7"/>
      <c r="N2855" s="7"/>
      <c r="O2855" s="7"/>
      <c r="P2855" s="7"/>
      <c r="Q2855" s="7"/>
      <c r="R2855" s="7"/>
      <c r="S2855" s="7"/>
      <c r="T2855" s="7"/>
      <c r="U2855" s="7"/>
      <c r="V2855" s="7"/>
      <c r="W2855" s="7"/>
    </row>
    <row r="2856" spans="1:23" x14ac:dyDescent="0.35">
      <c r="A2856" s="251"/>
      <c r="B2856" s="251"/>
      <c r="C2856" s="252"/>
      <c r="D2856" s="253"/>
      <c r="E2856" s="254"/>
      <c r="F2856" s="254"/>
      <c r="G2856" s="251" t="s">
        <v>83</v>
      </c>
      <c r="H2856" s="159" t="s">
        <v>74</v>
      </c>
      <c r="I2856" s="158">
        <f>K2856*D2853</f>
        <v>1062670.1000000001</v>
      </c>
      <c r="J2856" s="158">
        <f>I2856/D2853</f>
        <v>349</v>
      </c>
      <c r="K2856" s="158">
        <v>349</v>
      </c>
      <c r="L2856" s="7"/>
      <c r="M2856" s="7"/>
      <c r="N2856" s="7"/>
      <c r="O2856" s="7"/>
      <c r="P2856" s="7"/>
      <c r="Q2856" s="7"/>
      <c r="R2856" s="7"/>
      <c r="S2856" s="7"/>
      <c r="T2856" s="7"/>
      <c r="U2856" s="7"/>
      <c r="V2856" s="7"/>
      <c r="W2856" s="7"/>
    </row>
    <row r="2857" spans="1:23" ht="33" customHeight="1" x14ac:dyDescent="0.35">
      <c r="A2857" s="251"/>
      <c r="B2857" s="251"/>
      <c r="C2857" s="252"/>
      <c r="D2857" s="253"/>
      <c r="E2857" s="254"/>
      <c r="F2857" s="254"/>
      <c r="G2857" s="251"/>
      <c r="H2857" s="159" t="s">
        <v>76</v>
      </c>
      <c r="I2857" s="158">
        <f>K2857*D2853</f>
        <v>21314.3</v>
      </c>
      <c r="J2857" s="158">
        <f>I2857/D2853</f>
        <v>7</v>
      </c>
      <c r="K2857" s="158">
        <v>7</v>
      </c>
      <c r="L2857" s="7"/>
      <c r="M2857" s="7"/>
      <c r="N2857" s="7"/>
      <c r="O2857" s="7"/>
      <c r="P2857" s="7"/>
      <c r="Q2857" s="7"/>
      <c r="R2857" s="7"/>
      <c r="S2857" s="7"/>
      <c r="T2857" s="7"/>
      <c r="U2857" s="7"/>
      <c r="V2857" s="7"/>
      <c r="W2857" s="7"/>
    </row>
    <row r="2858" spans="1:23" s="1" customFormat="1" x14ac:dyDescent="0.3">
      <c r="A2858" s="251"/>
      <c r="B2858" s="251"/>
      <c r="C2858" s="252"/>
      <c r="D2858" s="253"/>
      <c r="E2858" s="254"/>
      <c r="F2858" s="254"/>
      <c r="G2858" s="251" t="s">
        <v>72</v>
      </c>
      <c r="H2858" s="159" t="s">
        <v>74</v>
      </c>
      <c r="I2858" s="158">
        <f>D2853*K2858</f>
        <v>8440462.8000000007</v>
      </c>
      <c r="J2858" s="158">
        <f>I2858/D2853</f>
        <v>2772</v>
      </c>
      <c r="K2858" s="158">
        <v>2772</v>
      </c>
    </row>
    <row r="2859" spans="1:23" s="1" customFormat="1" x14ac:dyDescent="0.3">
      <c r="A2859" s="251"/>
      <c r="B2859" s="251"/>
      <c r="C2859" s="252"/>
      <c r="D2859" s="253"/>
      <c r="E2859" s="254"/>
      <c r="F2859" s="254"/>
      <c r="G2859" s="251"/>
      <c r="H2859" s="159" t="s">
        <v>76</v>
      </c>
      <c r="I2859" s="158">
        <f>D2853*K2859</f>
        <v>179649.1</v>
      </c>
      <c r="J2859" s="158">
        <f>I2859/D2853</f>
        <v>59</v>
      </c>
      <c r="K2859" s="158">
        <v>59</v>
      </c>
    </row>
    <row r="2860" spans="1:23" ht="15.75" customHeight="1" x14ac:dyDescent="0.35">
      <c r="A2860" s="256">
        <f>A2853+1</f>
        <v>28</v>
      </c>
      <c r="B2860" s="256">
        <v>1353</v>
      </c>
      <c r="C2860" s="259" t="s">
        <v>89</v>
      </c>
      <c r="D2860" s="262">
        <v>6993.5</v>
      </c>
      <c r="E2860" s="268" t="s">
        <v>75</v>
      </c>
      <c r="F2860" s="268">
        <v>5</v>
      </c>
      <c r="G2860" s="149"/>
      <c r="H2860" s="159" t="s">
        <v>73</v>
      </c>
      <c r="I2860" s="158">
        <f>I2861+I2862</f>
        <v>830827.8</v>
      </c>
      <c r="J2860" s="158">
        <f>J2861+J2862</f>
        <v>118.8</v>
      </c>
      <c r="K2860" s="158">
        <f>K2861+K2862</f>
        <v>168</v>
      </c>
      <c r="L2860" s="7"/>
      <c r="M2860" s="7"/>
      <c r="N2860" s="7"/>
      <c r="O2860" s="7"/>
      <c r="P2860" s="7"/>
      <c r="Q2860" s="7"/>
      <c r="R2860" s="7"/>
      <c r="S2860" s="7"/>
      <c r="T2860" s="7"/>
      <c r="U2860" s="7"/>
      <c r="V2860" s="7"/>
      <c r="W2860" s="7"/>
    </row>
    <row r="2861" spans="1:23" x14ac:dyDescent="0.35">
      <c r="A2861" s="257"/>
      <c r="B2861" s="257"/>
      <c r="C2861" s="260"/>
      <c r="D2861" s="263"/>
      <c r="E2861" s="269"/>
      <c r="F2861" s="269"/>
      <c r="G2861" s="256" t="s">
        <v>84</v>
      </c>
      <c r="H2861" s="159" t="s">
        <v>74</v>
      </c>
      <c r="I2861" s="158">
        <f>K2861*D2860*0.7</f>
        <v>802853.8</v>
      </c>
      <c r="J2861" s="158">
        <f>I2861/D2860</f>
        <v>114.8</v>
      </c>
      <c r="K2861" s="158">
        <v>164</v>
      </c>
      <c r="L2861" s="7"/>
      <c r="M2861" s="7"/>
      <c r="N2861" s="7"/>
      <c r="O2861" s="7"/>
      <c r="P2861" s="7"/>
      <c r="Q2861" s="7"/>
      <c r="R2861" s="7"/>
      <c r="S2861" s="7"/>
      <c r="T2861" s="7"/>
      <c r="U2861" s="7"/>
      <c r="V2861" s="7"/>
      <c r="W2861" s="7"/>
    </row>
    <row r="2862" spans="1:23" x14ac:dyDescent="0.35">
      <c r="A2862" s="258"/>
      <c r="B2862" s="258"/>
      <c r="C2862" s="261"/>
      <c r="D2862" s="264"/>
      <c r="E2862" s="273"/>
      <c r="F2862" s="273"/>
      <c r="G2862" s="258"/>
      <c r="H2862" s="159" t="s">
        <v>76</v>
      </c>
      <c r="I2862" s="158">
        <f>K2862*D2860</f>
        <v>27974</v>
      </c>
      <c r="J2862" s="158">
        <f>I2862/D2860</f>
        <v>4</v>
      </c>
      <c r="K2862" s="158">
        <v>4</v>
      </c>
      <c r="L2862" s="7"/>
      <c r="M2862" s="7"/>
      <c r="N2862" s="7"/>
      <c r="O2862" s="7"/>
      <c r="P2862" s="7"/>
      <c r="Q2862" s="7"/>
      <c r="R2862" s="7"/>
      <c r="S2862" s="7"/>
      <c r="T2862" s="7"/>
      <c r="U2862" s="7"/>
      <c r="V2862" s="7"/>
      <c r="W2862" s="7"/>
    </row>
    <row r="2863" spans="1:23" ht="15.75" customHeight="1" x14ac:dyDescent="0.35">
      <c r="A2863" s="251">
        <f>A2860+1</f>
        <v>29</v>
      </c>
      <c r="B2863" s="251">
        <v>1301</v>
      </c>
      <c r="C2863" s="301" t="s">
        <v>114</v>
      </c>
      <c r="D2863" s="253">
        <v>3842.9</v>
      </c>
      <c r="E2863" s="254" t="s">
        <v>75</v>
      </c>
      <c r="F2863" s="254">
        <v>9</v>
      </c>
      <c r="G2863" s="251" t="s">
        <v>72</v>
      </c>
      <c r="H2863" s="159" t="s">
        <v>73</v>
      </c>
      <c r="I2863" s="158">
        <f>I2864+I2865</f>
        <v>5856579.5999999996</v>
      </c>
      <c r="J2863" s="158">
        <f>J2864+J2865</f>
        <v>1524</v>
      </c>
      <c r="K2863" s="158">
        <f>K2864+K2865</f>
        <v>1524</v>
      </c>
      <c r="L2863" s="7"/>
      <c r="M2863" s="7"/>
      <c r="N2863" s="7"/>
      <c r="O2863" s="7"/>
      <c r="P2863" s="7"/>
      <c r="Q2863" s="7"/>
      <c r="R2863" s="7"/>
      <c r="S2863" s="7"/>
      <c r="T2863" s="7"/>
      <c r="U2863" s="7"/>
      <c r="V2863" s="7"/>
      <c r="W2863" s="7"/>
    </row>
    <row r="2864" spans="1:23" x14ac:dyDescent="0.35">
      <c r="A2864" s="251">
        <v>75</v>
      </c>
      <c r="B2864" s="251"/>
      <c r="C2864" s="301"/>
      <c r="D2864" s="253"/>
      <c r="E2864" s="254"/>
      <c r="F2864" s="254"/>
      <c r="G2864" s="251"/>
      <c r="H2864" s="159" t="s">
        <v>74</v>
      </c>
      <c r="I2864" s="158">
        <f>D2863*K2864</f>
        <v>5733606.7999999998</v>
      </c>
      <c r="J2864" s="158">
        <f>I2864/D2863</f>
        <v>1492</v>
      </c>
      <c r="K2864" s="158">
        <v>1492</v>
      </c>
      <c r="L2864" s="7"/>
      <c r="M2864" s="7"/>
      <c r="N2864" s="7"/>
      <c r="O2864" s="7"/>
      <c r="P2864" s="7"/>
      <c r="Q2864" s="7"/>
      <c r="R2864" s="7"/>
      <c r="S2864" s="7"/>
      <c r="T2864" s="7"/>
      <c r="U2864" s="7"/>
      <c r="V2864" s="7"/>
      <c r="W2864" s="7"/>
    </row>
    <row r="2865" spans="1:23" x14ac:dyDescent="0.35">
      <c r="A2865" s="251">
        <v>76</v>
      </c>
      <c r="B2865" s="251"/>
      <c r="C2865" s="301"/>
      <c r="D2865" s="253"/>
      <c r="E2865" s="254"/>
      <c r="F2865" s="254"/>
      <c r="G2865" s="251"/>
      <c r="H2865" s="159" t="s">
        <v>76</v>
      </c>
      <c r="I2865" s="158">
        <f>D2863*K2865</f>
        <v>122972.8</v>
      </c>
      <c r="J2865" s="158">
        <f>I2865/D2863</f>
        <v>32</v>
      </c>
      <c r="K2865" s="158">
        <v>32</v>
      </c>
      <c r="L2865" s="7"/>
      <c r="M2865" s="7"/>
      <c r="N2865" s="7"/>
      <c r="O2865" s="7"/>
      <c r="P2865" s="7"/>
      <c r="Q2865" s="7"/>
      <c r="R2865" s="7"/>
      <c r="S2865" s="7"/>
      <c r="T2865" s="7"/>
      <c r="U2865" s="7"/>
      <c r="V2865" s="7"/>
      <c r="W2865" s="7"/>
    </row>
    <row r="2866" spans="1:23" ht="15.75" customHeight="1" x14ac:dyDescent="0.35">
      <c r="A2866" s="256">
        <f>A2863+1</f>
        <v>30</v>
      </c>
      <c r="B2866" s="256">
        <v>1028</v>
      </c>
      <c r="C2866" s="295" t="s">
        <v>115</v>
      </c>
      <c r="D2866" s="262">
        <v>863.9</v>
      </c>
      <c r="E2866" s="268" t="s">
        <v>75</v>
      </c>
      <c r="F2866" s="268">
        <v>3</v>
      </c>
      <c r="G2866" s="144"/>
      <c r="H2866" s="159" t="s">
        <v>73</v>
      </c>
      <c r="I2866" s="158">
        <f>I2867+I2868+I2869+I2870</f>
        <v>804290.9</v>
      </c>
      <c r="J2866" s="158">
        <f>J2867+J2868+J2869+J2870</f>
        <v>931</v>
      </c>
      <c r="K2866" s="158">
        <f>K2867+K2868+K2869+K2870</f>
        <v>931</v>
      </c>
      <c r="L2866" s="7"/>
      <c r="M2866" s="7"/>
      <c r="N2866" s="7"/>
      <c r="O2866" s="7"/>
      <c r="P2866" s="7"/>
      <c r="Q2866" s="7"/>
      <c r="R2866" s="7"/>
      <c r="S2866" s="7"/>
      <c r="T2866" s="7"/>
      <c r="U2866" s="7"/>
      <c r="V2866" s="7"/>
      <c r="W2866" s="7"/>
    </row>
    <row r="2867" spans="1:23" x14ac:dyDescent="0.35">
      <c r="A2867" s="257"/>
      <c r="B2867" s="257"/>
      <c r="C2867" s="296"/>
      <c r="D2867" s="263"/>
      <c r="E2867" s="269"/>
      <c r="F2867" s="269"/>
      <c r="G2867" s="256" t="s">
        <v>78</v>
      </c>
      <c r="H2867" s="159" t="s">
        <v>74</v>
      </c>
      <c r="I2867" s="158">
        <f>D2866*K2867</f>
        <v>399985.7</v>
      </c>
      <c r="J2867" s="158">
        <f>I2867/D2866</f>
        <v>463</v>
      </c>
      <c r="K2867" s="158">
        <v>463</v>
      </c>
      <c r="L2867" s="7"/>
      <c r="M2867" s="7"/>
      <c r="N2867" s="7"/>
      <c r="O2867" s="7"/>
      <c r="P2867" s="7"/>
      <c r="Q2867" s="7"/>
      <c r="R2867" s="7"/>
      <c r="S2867" s="7"/>
      <c r="T2867" s="7"/>
      <c r="U2867" s="7"/>
      <c r="V2867" s="7"/>
      <c r="W2867" s="7"/>
    </row>
    <row r="2868" spans="1:23" x14ac:dyDescent="0.35">
      <c r="A2868" s="257"/>
      <c r="B2868" s="257"/>
      <c r="C2868" s="296"/>
      <c r="D2868" s="263"/>
      <c r="E2868" s="269"/>
      <c r="F2868" s="269"/>
      <c r="G2868" s="258"/>
      <c r="H2868" s="159" t="s">
        <v>76</v>
      </c>
      <c r="I2868" s="158">
        <f>D2866*K2868</f>
        <v>8639</v>
      </c>
      <c r="J2868" s="158">
        <f>I2868/D2866</f>
        <v>10</v>
      </c>
      <c r="K2868" s="158">
        <v>10</v>
      </c>
      <c r="L2868" s="7"/>
      <c r="M2868" s="7"/>
      <c r="N2868" s="7"/>
      <c r="O2868" s="7"/>
      <c r="P2868" s="7"/>
      <c r="Q2868" s="7"/>
      <c r="R2868" s="7"/>
      <c r="S2868" s="7"/>
      <c r="T2868" s="7"/>
      <c r="U2868" s="7"/>
      <c r="V2868" s="7"/>
      <c r="W2868" s="7"/>
    </row>
    <row r="2869" spans="1:23" x14ac:dyDescent="0.35">
      <c r="A2869" s="257"/>
      <c r="B2869" s="257"/>
      <c r="C2869" s="296"/>
      <c r="D2869" s="263"/>
      <c r="E2869" s="269"/>
      <c r="F2869" s="269"/>
      <c r="G2869" s="256" t="s">
        <v>90</v>
      </c>
      <c r="H2869" s="159" t="s">
        <v>74</v>
      </c>
      <c r="I2869" s="158">
        <f>D2866*K2869</f>
        <v>387027.20000000001</v>
      </c>
      <c r="J2869" s="158">
        <f>I2869/D2866</f>
        <v>448</v>
      </c>
      <c r="K2869" s="158">
        <v>448</v>
      </c>
      <c r="L2869" s="7"/>
      <c r="M2869" s="7"/>
      <c r="N2869" s="7"/>
      <c r="O2869" s="7"/>
      <c r="P2869" s="7"/>
      <c r="Q2869" s="7"/>
      <c r="R2869" s="7"/>
      <c r="S2869" s="7"/>
      <c r="T2869" s="7"/>
      <c r="U2869" s="7"/>
      <c r="V2869" s="7"/>
      <c r="W2869" s="7"/>
    </row>
    <row r="2870" spans="1:23" x14ac:dyDescent="0.35">
      <c r="A2870" s="258"/>
      <c r="B2870" s="258"/>
      <c r="C2870" s="297"/>
      <c r="D2870" s="264"/>
      <c r="E2870" s="273"/>
      <c r="F2870" s="273"/>
      <c r="G2870" s="258"/>
      <c r="H2870" s="159" t="s">
        <v>76</v>
      </c>
      <c r="I2870" s="158">
        <f>D2866*K2870</f>
        <v>8639</v>
      </c>
      <c r="J2870" s="158">
        <f>I2870/D2866</f>
        <v>10</v>
      </c>
      <c r="K2870" s="158">
        <v>10</v>
      </c>
      <c r="L2870" s="7"/>
      <c r="M2870" s="7"/>
      <c r="N2870" s="7"/>
      <c r="O2870" s="7"/>
      <c r="P2870" s="7"/>
      <c r="Q2870" s="7"/>
      <c r="R2870" s="7"/>
      <c r="S2870" s="7"/>
      <c r="T2870" s="7"/>
      <c r="U2870" s="7"/>
      <c r="V2870" s="7"/>
      <c r="W2870" s="7"/>
    </row>
    <row r="2871" spans="1:23" ht="15.75" customHeight="1" x14ac:dyDescent="0.35">
      <c r="A2871" s="251">
        <f>A2866+1</f>
        <v>31</v>
      </c>
      <c r="B2871" s="251">
        <v>1079</v>
      </c>
      <c r="C2871" s="301" t="s">
        <v>116</v>
      </c>
      <c r="D2871" s="253">
        <v>278.60000000000002</v>
      </c>
      <c r="E2871" s="254" t="s">
        <v>75</v>
      </c>
      <c r="F2871" s="254">
        <v>2</v>
      </c>
      <c r="G2871" s="251" t="s">
        <v>72</v>
      </c>
      <c r="H2871" s="159" t="s">
        <v>73</v>
      </c>
      <c r="I2871" s="158">
        <f>I2872+I2873</f>
        <v>1968587.6</v>
      </c>
      <c r="J2871" s="158">
        <f>J2872+J2873</f>
        <v>7066</v>
      </c>
      <c r="K2871" s="158">
        <f>K2872+K2873</f>
        <v>7066</v>
      </c>
      <c r="L2871" s="7"/>
      <c r="M2871" s="7"/>
      <c r="N2871" s="7"/>
      <c r="O2871" s="7"/>
      <c r="P2871" s="7"/>
      <c r="Q2871" s="7"/>
      <c r="R2871" s="7"/>
      <c r="S2871" s="7"/>
      <c r="T2871" s="7"/>
      <c r="U2871" s="7"/>
      <c r="V2871" s="7"/>
      <c r="W2871" s="7"/>
    </row>
    <row r="2872" spans="1:23" x14ac:dyDescent="0.35">
      <c r="A2872" s="251">
        <v>75</v>
      </c>
      <c r="B2872" s="251"/>
      <c r="C2872" s="301"/>
      <c r="D2872" s="253"/>
      <c r="E2872" s="254"/>
      <c r="F2872" s="254"/>
      <c r="G2872" s="251"/>
      <c r="H2872" s="159" t="s">
        <v>74</v>
      </c>
      <c r="I2872" s="158">
        <f>D2871*K2872</f>
        <v>1927354.8</v>
      </c>
      <c r="J2872" s="158">
        <f>I2872/D2871</f>
        <v>6918</v>
      </c>
      <c r="K2872" s="158">
        <v>6918</v>
      </c>
      <c r="L2872" s="7"/>
      <c r="M2872" s="7"/>
      <c r="N2872" s="7"/>
      <c r="O2872" s="7"/>
      <c r="P2872" s="7"/>
      <c r="Q2872" s="7"/>
      <c r="R2872" s="7"/>
      <c r="S2872" s="7"/>
      <c r="T2872" s="7"/>
      <c r="U2872" s="7"/>
      <c r="V2872" s="7"/>
      <c r="W2872" s="7"/>
    </row>
    <row r="2873" spans="1:23" x14ac:dyDescent="0.35">
      <c r="A2873" s="251">
        <v>76</v>
      </c>
      <c r="B2873" s="251"/>
      <c r="C2873" s="301"/>
      <c r="D2873" s="253"/>
      <c r="E2873" s="254"/>
      <c r="F2873" s="254"/>
      <c r="G2873" s="251"/>
      <c r="H2873" s="159" t="s">
        <v>76</v>
      </c>
      <c r="I2873" s="158">
        <f>D2871*K2873</f>
        <v>41232.800000000003</v>
      </c>
      <c r="J2873" s="158">
        <f>I2873/D2871</f>
        <v>148</v>
      </c>
      <c r="K2873" s="158">
        <v>148</v>
      </c>
      <c r="L2873" s="7"/>
      <c r="M2873" s="7"/>
      <c r="N2873" s="7"/>
      <c r="O2873" s="7"/>
      <c r="P2873" s="7"/>
      <c r="Q2873" s="7"/>
      <c r="R2873" s="7"/>
      <c r="S2873" s="7"/>
      <c r="T2873" s="7"/>
      <c r="U2873" s="7"/>
      <c r="V2873" s="7"/>
      <c r="W2873" s="7"/>
    </row>
    <row r="2874" spans="1:23" ht="15.75" customHeight="1" x14ac:dyDescent="0.35">
      <c r="A2874" s="256">
        <f>A2871+1</f>
        <v>32</v>
      </c>
      <c r="B2874" s="256">
        <v>4081</v>
      </c>
      <c r="C2874" s="259" t="s">
        <v>365</v>
      </c>
      <c r="D2874" s="262">
        <v>7296.4</v>
      </c>
      <c r="E2874" s="268" t="s">
        <v>75</v>
      </c>
      <c r="F2874" s="268">
        <v>10</v>
      </c>
      <c r="G2874" s="282" t="s">
        <v>84</v>
      </c>
      <c r="H2874" s="159" t="s">
        <v>73</v>
      </c>
      <c r="I2874" s="158">
        <f>I2875+I2876</f>
        <v>1225795.2</v>
      </c>
      <c r="J2874" s="158">
        <f>J2875+J2876</f>
        <v>168</v>
      </c>
      <c r="K2874" s="158">
        <f>K2875+K2876</f>
        <v>168</v>
      </c>
      <c r="L2874" s="7"/>
      <c r="M2874" s="7"/>
      <c r="N2874" s="7"/>
      <c r="O2874" s="7"/>
      <c r="P2874" s="7"/>
      <c r="Q2874" s="7"/>
      <c r="R2874" s="7"/>
      <c r="S2874" s="7"/>
      <c r="T2874" s="7"/>
      <c r="U2874" s="7"/>
      <c r="V2874" s="7"/>
      <c r="W2874" s="7"/>
    </row>
    <row r="2875" spans="1:23" x14ac:dyDescent="0.35">
      <c r="A2875" s="257"/>
      <c r="B2875" s="257"/>
      <c r="C2875" s="260"/>
      <c r="D2875" s="263"/>
      <c r="E2875" s="269"/>
      <c r="F2875" s="269"/>
      <c r="G2875" s="283"/>
      <c r="H2875" s="159" t="s">
        <v>74</v>
      </c>
      <c r="I2875" s="158">
        <f>K2875*D2874</f>
        <v>1196609.6000000001</v>
      </c>
      <c r="J2875" s="158">
        <v>164</v>
      </c>
      <c r="K2875" s="158">
        <v>164</v>
      </c>
      <c r="L2875" s="7"/>
      <c r="M2875" s="7"/>
      <c r="N2875" s="7"/>
      <c r="O2875" s="7"/>
      <c r="P2875" s="7"/>
      <c r="Q2875" s="7"/>
      <c r="R2875" s="7"/>
      <c r="S2875" s="7"/>
      <c r="T2875" s="7"/>
      <c r="U2875" s="7"/>
      <c r="V2875" s="7"/>
      <c r="W2875" s="7"/>
    </row>
    <row r="2876" spans="1:23" x14ac:dyDescent="0.35">
      <c r="A2876" s="257"/>
      <c r="B2876" s="257"/>
      <c r="C2876" s="260"/>
      <c r="D2876" s="263"/>
      <c r="E2876" s="269"/>
      <c r="F2876" s="269"/>
      <c r="G2876" s="284"/>
      <c r="H2876" s="159" t="s">
        <v>76</v>
      </c>
      <c r="I2876" s="158">
        <f>K2876*D2874</f>
        <v>29185.599999999999</v>
      </c>
      <c r="J2876" s="158">
        <v>4</v>
      </c>
      <c r="K2876" s="158">
        <v>4</v>
      </c>
      <c r="L2876" s="7"/>
      <c r="M2876" s="7"/>
      <c r="N2876" s="7"/>
      <c r="O2876" s="7"/>
      <c r="P2876" s="7"/>
      <c r="Q2876" s="7"/>
      <c r="R2876" s="7"/>
      <c r="S2876" s="7"/>
      <c r="T2876" s="7"/>
      <c r="U2876" s="7"/>
      <c r="V2876" s="7"/>
      <c r="W2876" s="7"/>
    </row>
    <row r="2877" spans="1:23" ht="15.75" customHeight="1" x14ac:dyDescent="0.35">
      <c r="A2877" s="251">
        <f>A2874+1</f>
        <v>33</v>
      </c>
      <c r="B2877" s="256">
        <v>3306</v>
      </c>
      <c r="C2877" s="259" t="s">
        <v>117</v>
      </c>
      <c r="D2877" s="262">
        <v>2855.9</v>
      </c>
      <c r="E2877" s="268" t="s">
        <v>71</v>
      </c>
      <c r="F2877" s="268">
        <v>5</v>
      </c>
      <c r="G2877" s="256" t="s">
        <v>72</v>
      </c>
      <c r="H2877" s="159" t="s">
        <v>73</v>
      </c>
      <c r="I2877" s="158">
        <f>I2878+I2879</f>
        <v>8085052.9000000004</v>
      </c>
      <c r="J2877" s="158">
        <f>J2878+J2879</f>
        <v>2831</v>
      </c>
      <c r="K2877" s="158">
        <f>K2878+K2879</f>
        <v>2831</v>
      </c>
      <c r="L2877" s="7"/>
      <c r="M2877" s="7"/>
      <c r="N2877" s="7"/>
      <c r="O2877" s="7"/>
      <c r="P2877" s="7"/>
      <c r="Q2877" s="7"/>
      <c r="R2877" s="7"/>
      <c r="S2877" s="7"/>
      <c r="T2877" s="7"/>
      <c r="U2877" s="7"/>
      <c r="V2877" s="7"/>
      <c r="W2877" s="7"/>
    </row>
    <row r="2878" spans="1:23" x14ac:dyDescent="0.35">
      <c r="A2878" s="257"/>
      <c r="B2878" s="257"/>
      <c r="C2878" s="260"/>
      <c r="D2878" s="263"/>
      <c r="E2878" s="269"/>
      <c r="F2878" s="269"/>
      <c r="G2878" s="257"/>
      <c r="H2878" s="159" t="s">
        <v>74</v>
      </c>
      <c r="I2878" s="158">
        <f>D2877*K2878</f>
        <v>7916554.7999999998</v>
      </c>
      <c r="J2878" s="158">
        <f>I2878/D2877</f>
        <v>2772</v>
      </c>
      <c r="K2878" s="158">
        <v>2772</v>
      </c>
      <c r="L2878" s="7"/>
      <c r="M2878" s="7"/>
      <c r="N2878" s="7"/>
      <c r="O2878" s="7"/>
      <c r="P2878" s="7"/>
      <c r="Q2878" s="7"/>
      <c r="R2878" s="7"/>
      <c r="S2878" s="7"/>
      <c r="T2878" s="7"/>
      <c r="U2878" s="7"/>
      <c r="V2878" s="7"/>
      <c r="W2878" s="7"/>
    </row>
    <row r="2879" spans="1:23" x14ac:dyDescent="0.35">
      <c r="A2879" s="258"/>
      <c r="B2879" s="258"/>
      <c r="C2879" s="261"/>
      <c r="D2879" s="264"/>
      <c r="E2879" s="273"/>
      <c r="F2879" s="273"/>
      <c r="G2879" s="258"/>
      <c r="H2879" s="159" t="s">
        <v>76</v>
      </c>
      <c r="I2879" s="158">
        <f>D2877*K2879</f>
        <v>168498.1</v>
      </c>
      <c r="J2879" s="158">
        <f>I2879/D2877</f>
        <v>59</v>
      </c>
      <c r="K2879" s="158">
        <v>59</v>
      </c>
      <c r="L2879" s="7"/>
      <c r="M2879" s="7"/>
      <c r="N2879" s="7"/>
      <c r="O2879" s="7"/>
      <c r="P2879" s="7"/>
      <c r="Q2879" s="7"/>
      <c r="R2879" s="7"/>
      <c r="S2879" s="7"/>
      <c r="T2879" s="7"/>
      <c r="U2879" s="7"/>
      <c r="V2879" s="7"/>
      <c r="W2879" s="7"/>
    </row>
    <row r="2880" spans="1:23" ht="15.75" customHeight="1" x14ac:dyDescent="0.35">
      <c r="A2880" s="251">
        <f>A2877+1</f>
        <v>34</v>
      </c>
      <c r="B2880" s="256">
        <v>3307</v>
      </c>
      <c r="C2880" s="259" t="s">
        <v>118</v>
      </c>
      <c r="D2880" s="262">
        <v>2885.4</v>
      </c>
      <c r="E2880" s="268" t="s">
        <v>71</v>
      </c>
      <c r="F2880" s="268">
        <v>5</v>
      </c>
      <c r="G2880" s="256" t="s">
        <v>72</v>
      </c>
      <c r="H2880" s="159" t="s">
        <v>73</v>
      </c>
      <c r="I2880" s="158">
        <f>I2881+I2882</f>
        <v>8168567.4000000004</v>
      </c>
      <c r="J2880" s="158">
        <f>J2881+J2882</f>
        <v>2831</v>
      </c>
      <c r="K2880" s="158">
        <f>K2881+K2882</f>
        <v>2831</v>
      </c>
      <c r="L2880" s="7"/>
      <c r="M2880" s="7"/>
      <c r="N2880" s="7"/>
      <c r="O2880" s="7"/>
      <c r="P2880" s="7"/>
      <c r="Q2880" s="7"/>
      <c r="R2880" s="7"/>
      <c r="S2880" s="7"/>
      <c r="T2880" s="7"/>
      <c r="U2880" s="7"/>
      <c r="V2880" s="7"/>
      <c r="W2880" s="7"/>
    </row>
    <row r="2881" spans="1:23" x14ac:dyDescent="0.35">
      <c r="A2881" s="257"/>
      <c r="B2881" s="257"/>
      <c r="C2881" s="260"/>
      <c r="D2881" s="263"/>
      <c r="E2881" s="269"/>
      <c r="F2881" s="269"/>
      <c r="G2881" s="257"/>
      <c r="H2881" s="159" t="s">
        <v>74</v>
      </c>
      <c r="I2881" s="158">
        <f>D2880*K2881</f>
        <v>7998328.7999999998</v>
      </c>
      <c r="J2881" s="158">
        <f>I2881/D2880</f>
        <v>2772</v>
      </c>
      <c r="K2881" s="158">
        <v>2772</v>
      </c>
      <c r="L2881" s="7"/>
      <c r="M2881" s="7"/>
      <c r="N2881" s="7"/>
      <c r="O2881" s="7"/>
      <c r="P2881" s="7"/>
      <c r="Q2881" s="7"/>
      <c r="R2881" s="7"/>
      <c r="S2881" s="7"/>
      <c r="T2881" s="7"/>
      <c r="U2881" s="7"/>
      <c r="V2881" s="7"/>
      <c r="W2881" s="7"/>
    </row>
    <row r="2882" spans="1:23" x14ac:dyDescent="0.35">
      <c r="A2882" s="258"/>
      <c r="B2882" s="258"/>
      <c r="C2882" s="261"/>
      <c r="D2882" s="264"/>
      <c r="E2882" s="273"/>
      <c r="F2882" s="273"/>
      <c r="G2882" s="258"/>
      <c r="H2882" s="159" t="s">
        <v>76</v>
      </c>
      <c r="I2882" s="158">
        <f>D2880*K2882</f>
        <v>170238.6</v>
      </c>
      <c r="J2882" s="158">
        <f>I2882/D2880</f>
        <v>59</v>
      </c>
      <c r="K2882" s="158">
        <v>59</v>
      </c>
      <c r="L2882" s="7"/>
      <c r="M2882" s="7"/>
      <c r="N2882" s="7"/>
      <c r="O2882" s="7"/>
      <c r="P2882" s="7"/>
      <c r="Q2882" s="7"/>
      <c r="R2882" s="7"/>
      <c r="S2882" s="7"/>
      <c r="T2882" s="7"/>
      <c r="U2882" s="7"/>
      <c r="V2882" s="7"/>
      <c r="W2882" s="7"/>
    </row>
    <row r="2883" spans="1:23" ht="15.75" customHeight="1" x14ac:dyDescent="0.35">
      <c r="A2883" s="251">
        <f>A2880+1</f>
        <v>35</v>
      </c>
      <c r="B2883" s="251">
        <v>4292</v>
      </c>
      <c r="C2883" s="301" t="s">
        <v>119</v>
      </c>
      <c r="D2883" s="253">
        <v>3198.2</v>
      </c>
      <c r="E2883" s="254" t="s">
        <v>75</v>
      </c>
      <c r="F2883" s="254">
        <v>5</v>
      </c>
      <c r="G2883" s="251" t="s">
        <v>72</v>
      </c>
      <c r="H2883" s="159" t="s">
        <v>73</v>
      </c>
      <c r="I2883" s="158">
        <f>I2884+I2885</f>
        <v>9054104.1999999993</v>
      </c>
      <c r="J2883" s="158">
        <f>J2884+J2885</f>
        <v>2831</v>
      </c>
      <c r="K2883" s="158">
        <f>K2884+K2885</f>
        <v>2831</v>
      </c>
      <c r="L2883" s="7"/>
      <c r="M2883" s="7"/>
      <c r="N2883" s="7"/>
      <c r="O2883" s="7"/>
      <c r="P2883" s="7"/>
      <c r="Q2883" s="7"/>
      <c r="R2883" s="7"/>
      <c r="S2883" s="7"/>
      <c r="T2883" s="7"/>
      <c r="U2883" s="7"/>
      <c r="V2883" s="7"/>
      <c r="W2883" s="7"/>
    </row>
    <row r="2884" spans="1:23" x14ac:dyDescent="0.35">
      <c r="A2884" s="251">
        <v>75</v>
      </c>
      <c r="B2884" s="251"/>
      <c r="C2884" s="301"/>
      <c r="D2884" s="253"/>
      <c r="E2884" s="254"/>
      <c r="F2884" s="254"/>
      <c r="G2884" s="251"/>
      <c r="H2884" s="159" t="s">
        <v>74</v>
      </c>
      <c r="I2884" s="158">
        <f>D2883*K2884</f>
        <v>8865410.4000000004</v>
      </c>
      <c r="J2884" s="158">
        <f>I2884/D2883</f>
        <v>2772</v>
      </c>
      <c r="K2884" s="158">
        <v>2772</v>
      </c>
      <c r="L2884" s="7"/>
      <c r="M2884" s="7"/>
      <c r="N2884" s="7"/>
      <c r="O2884" s="7"/>
      <c r="P2884" s="7"/>
      <c r="Q2884" s="7"/>
      <c r="R2884" s="7"/>
      <c r="S2884" s="7"/>
      <c r="T2884" s="7"/>
      <c r="U2884" s="7"/>
      <c r="V2884" s="7"/>
      <c r="W2884" s="7"/>
    </row>
    <row r="2885" spans="1:23" x14ac:dyDescent="0.35">
      <c r="A2885" s="251">
        <v>76</v>
      </c>
      <c r="B2885" s="251"/>
      <c r="C2885" s="301"/>
      <c r="D2885" s="253"/>
      <c r="E2885" s="254"/>
      <c r="F2885" s="254"/>
      <c r="G2885" s="251"/>
      <c r="H2885" s="159" t="s">
        <v>76</v>
      </c>
      <c r="I2885" s="158">
        <f>D2883*K2885</f>
        <v>188693.8</v>
      </c>
      <c r="J2885" s="158">
        <f>I2885/D2883</f>
        <v>59</v>
      </c>
      <c r="K2885" s="158">
        <v>59</v>
      </c>
      <c r="L2885" s="7"/>
      <c r="M2885" s="7"/>
      <c r="N2885" s="7"/>
      <c r="O2885" s="7"/>
      <c r="P2885" s="7"/>
      <c r="Q2885" s="7"/>
      <c r="R2885" s="7"/>
      <c r="S2885" s="7"/>
      <c r="T2885" s="7"/>
      <c r="U2885" s="7"/>
      <c r="V2885" s="7"/>
      <c r="W2885" s="7"/>
    </row>
    <row r="2886" spans="1:23" ht="15.75" customHeight="1" x14ac:dyDescent="0.35">
      <c r="A2886" s="251">
        <f>A2883+1</f>
        <v>36</v>
      </c>
      <c r="B2886" s="251">
        <v>4347</v>
      </c>
      <c r="C2886" s="301" t="s">
        <v>120</v>
      </c>
      <c r="D2886" s="253">
        <v>4495.8999999999996</v>
      </c>
      <c r="E2886" s="254" t="s">
        <v>75</v>
      </c>
      <c r="F2886" s="254">
        <v>5</v>
      </c>
      <c r="G2886" s="251" t="s">
        <v>72</v>
      </c>
      <c r="H2886" s="159" t="s">
        <v>73</v>
      </c>
      <c r="I2886" s="158">
        <f>I2887+I2888</f>
        <v>12727892.9</v>
      </c>
      <c r="J2886" s="158">
        <f>J2887+J2888</f>
        <v>2831</v>
      </c>
      <c r="K2886" s="158">
        <f>K2887+K2888</f>
        <v>2831</v>
      </c>
      <c r="L2886" s="7"/>
      <c r="M2886" s="7"/>
      <c r="N2886" s="7"/>
      <c r="O2886" s="7"/>
      <c r="P2886" s="7"/>
      <c r="Q2886" s="7"/>
      <c r="R2886" s="7"/>
      <c r="S2886" s="7"/>
      <c r="T2886" s="7"/>
      <c r="U2886" s="7"/>
      <c r="V2886" s="7"/>
      <c r="W2886" s="7"/>
    </row>
    <row r="2887" spans="1:23" x14ac:dyDescent="0.35">
      <c r="A2887" s="251">
        <v>75</v>
      </c>
      <c r="B2887" s="251"/>
      <c r="C2887" s="301"/>
      <c r="D2887" s="253"/>
      <c r="E2887" s="254"/>
      <c r="F2887" s="254"/>
      <c r="G2887" s="251"/>
      <c r="H2887" s="159" t="s">
        <v>74</v>
      </c>
      <c r="I2887" s="158">
        <f>D2886*K2887</f>
        <v>12462634.800000001</v>
      </c>
      <c r="J2887" s="158">
        <f>I2887/D2886</f>
        <v>2772</v>
      </c>
      <c r="K2887" s="158">
        <v>2772</v>
      </c>
      <c r="L2887" s="7"/>
      <c r="M2887" s="7"/>
      <c r="N2887" s="7"/>
      <c r="O2887" s="7"/>
      <c r="P2887" s="7"/>
      <c r="Q2887" s="7"/>
      <c r="R2887" s="7"/>
      <c r="S2887" s="7"/>
      <c r="T2887" s="7"/>
      <c r="U2887" s="7"/>
      <c r="V2887" s="7"/>
      <c r="W2887" s="7"/>
    </row>
    <row r="2888" spans="1:23" x14ac:dyDescent="0.35">
      <c r="A2888" s="251">
        <v>76</v>
      </c>
      <c r="B2888" s="251"/>
      <c r="C2888" s="301"/>
      <c r="D2888" s="253"/>
      <c r="E2888" s="254"/>
      <c r="F2888" s="254"/>
      <c r="G2888" s="251"/>
      <c r="H2888" s="159" t="s">
        <v>76</v>
      </c>
      <c r="I2888" s="158">
        <f>D2886*K2888</f>
        <v>265258.09999999998</v>
      </c>
      <c r="J2888" s="158">
        <f>I2888/D2886</f>
        <v>59</v>
      </c>
      <c r="K2888" s="158">
        <v>59</v>
      </c>
      <c r="L2888" s="7"/>
      <c r="M2888" s="7"/>
      <c r="N2888" s="7"/>
      <c r="O2888" s="7"/>
      <c r="P2888" s="7"/>
      <c r="Q2888" s="7"/>
      <c r="R2888" s="7"/>
      <c r="S2888" s="7"/>
      <c r="T2888" s="7"/>
      <c r="U2888" s="7"/>
      <c r="V2888" s="7"/>
      <c r="W2888" s="7"/>
    </row>
    <row r="2889" spans="1:23" ht="15.75" customHeight="1" x14ac:dyDescent="0.35">
      <c r="A2889" s="251">
        <f>A2886+1</f>
        <v>37</v>
      </c>
      <c r="B2889" s="251">
        <v>3200</v>
      </c>
      <c r="C2889" s="301" t="s">
        <v>121</v>
      </c>
      <c r="D2889" s="253">
        <v>1603.2</v>
      </c>
      <c r="E2889" s="254" t="s">
        <v>75</v>
      </c>
      <c r="F2889" s="254">
        <v>5</v>
      </c>
      <c r="G2889" s="251" t="s">
        <v>72</v>
      </c>
      <c r="H2889" s="159" t="s">
        <v>73</v>
      </c>
      <c r="I2889" s="158">
        <f>I2890+I2891</f>
        <v>4538659.2</v>
      </c>
      <c r="J2889" s="158">
        <f>J2890+J2891</f>
        <v>2831</v>
      </c>
      <c r="K2889" s="158">
        <f>K2890+K2891</f>
        <v>2831</v>
      </c>
      <c r="L2889" s="7"/>
      <c r="M2889" s="7"/>
      <c r="N2889" s="7"/>
      <c r="O2889" s="7"/>
      <c r="P2889" s="7"/>
      <c r="Q2889" s="7"/>
      <c r="R2889" s="7"/>
      <c r="S2889" s="7"/>
      <c r="T2889" s="7"/>
      <c r="U2889" s="7"/>
      <c r="V2889" s="7"/>
      <c r="W2889" s="7"/>
    </row>
    <row r="2890" spans="1:23" x14ac:dyDescent="0.35">
      <c r="A2890" s="251">
        <v>75</v>
      </c>
      <c r="B2890" s="251"/>
      <c r="C2890" s="301"/>
      <c r="D2890" s="253"/>
      <c r="E2890" s="254"/>
      <c r="F2890" s="254"/>
      <c r="G2890" s="251"/>
      <c r="H2890" s="159" t="s">
        <v>74</v>
      </c>
      <c r="I2890" s="158">
        <f>D2889*K2890</f>
        <v>4444070.4000000004</v>
      </c>
      <c r="J2890" s="158">
        <f>I2890/D2889</f>
        <v>2772</v>
      </c>
      <c r="K2890" s="158">
        <v>2772</v>
      </c>
      <c r="L2890" s="7"/>
      <c r="M2890" s="7"/>
      <c r="N2890" s="7"/>
      <c r="O2890" s="7"/>
      <c r="P2890" s="7"/>
      <c r="Q2890" s="7"/>
      <c r="R2890" s="7"/>
      <c r="S2890" s="7"/>
      <c r="T2890" s="7"/>
      <c r="U2890" s="7"/>
      <c r="V2890" s="7"/>
      <c r="W2890" s="7"/>
    </row>
    <row r="2891" spans="1:23" x14ac:dyDescent="0.35">
      <c r="A2891" s="251">
        <v>76</v>
      </c>
      <c r="B2891" s="251"/>
      <c r="C2891" s="301"/>
      <c r="D2891" s="253"/>
      <c r="E2891" s="254"/>
      <c r="F2891" s="254"/>
      <c r="G2891" s="251"/>
      <c r="H2891" s="159" t="s">
        <v>76</v>
      </c>
      <c r="I2891" s="158">
        <f>D2889*K2891</f>
        <v>94588.800000000003</v>
      </c>
      <c r="J2891" s="158">
        <f>I2891/D2889</f>
        <v>59</v>
      </c>
      <c r="K2891" s="158">
        <v>59</v>
      </c>
      <c r="L2891" s="7"/>
      <c r="M2891" s="7"/>
      <c r="N2891" s="7"/>
      <c r="O2891" s="7"/>
      <c r="P2891" s="7"/>
      <c r="Q2891" s="7"/>
      <c r="R2891" s="7"/>
      <c r="S2891" s="7"/>
      <c r="T2891" s="7"/>
      <c r="U2891" s="7"/>
      <c r="V2891" s="7"/>
      <c r="W2891" s="7"/>
    </row>
    <row r="2892" spans="1:23" ht="15.75" customHeight="1" x14ac:dyDescent="0.35">
      <c r="A2892" s="251">
        <f>A2889+1</f>
        <v>38</v>
      </c>
      <c r="B2892" s="251">
        <v>3091</v>
      </c>
      <c r="C2892" s="301" t="s">
        <v>122</v>
      </c>
      <c r="D2892" s="253">
        <v>2709.9</v>
      </c>
      <c r="E2892" s="254" t="s">
        <v>71</v>
      </c>
      <c r="F2892" s="254">
        <v>5</v>
      </c>
      <c r="G2892" s="251" t="s">
        <v>72</v>
      </c>
      <c r="H2892" s="159" t="s">
        <v>73</v>
      </c>
      <c r="I2892" s="158">
        <f>I2893+I2894</f>
        <v>7671726.9000000004</v>
      </c>
      <c r="J2892" s="158">
        <f>J2893+J2894</f>
        <v>2831</v>
      </c>
      <c r="K2892" s="158">
        <f>K2893+K2894</f>
        <v>2831</v>
      </c>
      <c r="L2892" s="7"/>
      <c r="M2892" s="7"/>
      <c r="N2892" s="7"/>
      <c r="O2892" s="7"/>
      <c r="P2892" s="7"/>
      <c r="Q2892" s="7"/>
      <c r="R2892" s="7"/>
      <c r="S2892" s="7"/>
      <c r="T2892" s="7"/>
      <c r="U2892" s="7"/>
      <c r="V2892" s="7"/>
      <c r="W2892" s="7"/>
    </row>
    <row r="2893" spans="1:23" x14ac:dyDescent="0.35">
      <c r="A2893" s="251">
        <v>75</v>
      </c>
      <c r="B2893" s="251"/>
      <c r="C2893" s="301"/>
      <c r="D2893" s="253"/>
      <c r="E2893" s="254"/>
      <c r="F2893" s="254"/>
      <c r="G2893" s="251"/>
      <c r="H2893" s="159" t="s">
        <v>74</v>
      </c>
      <c r="I2893" s="158">
        <f>D2892*K2893</f>
        <v>7511842.7999999998</v>
      </c>
      <c r="J2893" s="158">
        <f>I2893/D2892</f>
        <v>2772</v>
      </c>
      <c r="K2893" s="158">
        <v>2772</v>
      </c>
      <c r="L2893" s="7"/>
      <c r="M2893" s="7"/>
      <c r="N2893" s="7"/>
      <c r="O2893" s="7"/>
      <c r="P2893" s="7"/>
      <c r="Q2893" s="7"/>
      <c r="R2893" s="7"/>
      <c r="S2893" s="7"/>
      <c r="T2893" s="7"/>
      <c r="U2893" s="7"/>
      <c r="V2893" s="7"/>
      <c r="W2893" s="7"/>
    </row>
    <row r="2894" spans="1:23" x14ac:dyDescent="0.35">
      <c r="A2894" s="251">
        <v>76</v>
      </c>
      <c r="B2894" s="251"/>
      <c r="C2894" s="301"/>
      <c r="D2894" s="253"/>
      <c r="E2894" s="254"/>
      <c r="F2894" s="254"/>
      <c r="G2894" s="251"/>
      <c r="H2894" s="159" t="s">
        <v>76</v>
      </c>
      <c r="I2894" s="158">
        <f>D2892*K2894</f>
        <v>159884.1</v>
      </c>
      <c r="J2894" s="158">
        <f>I2894/D2892</f>
        <v>59</v>
      </c>
      <c r="K2894" s="158">
        <v>59</v>
      </c>
      <c r="L2894" s="7"/>
      <c r="M2894" s="7"/>
      <c r="N2894" s="7"/>
      <c r="O2894" s="7"/>
      <c r="P2894" s="7"/>
      <c r="Q2894" s="7"/>
      <c r="R2894" s="7"/>
      <c r="S2894" s="7"/>
      <c r="T2894" s="7"/>
      <c r="U2894" s="7"/>
      <c r="V2894" s="7"/>
      <c r="W2894" s="7"/>
    </row>
    <row r="2895" spans="1:23" ht="15.75" customHeight="1" x14ac:dyDescent="0.35">
      <c r="A2895" s="251">
        <f>A2892+1</f>
        <v>39</v>
      </c>
      <c r="B2895" s="256">
        <v>4050</v>
      </c>
      <c r="C2895" s="259" t="s">
        <v>123</v>
      </c>
      <c r="D2895" s="262">
        <v>3115</v>
      </c>
      <c r="E2895" s="268" t="s">
        <v>71</v>
      </c>
      <c r="F2895" s="268">
        <v>5</v>
      </c>
      <c r="G2895" s="256" t="s">
        <v>72</v>
      </c>
      <c r="H2895" s="159" t="s">
        <v>73</v>
      </c>
      <c r="I2895" s="158">
        <f>I2896+I2897</f>
        <v>8818565</v>
      </c>
      <c r="J2895" s="158">
        <f>J2896+J2897</f>
        <v>2831</v>
      </c>
      <c r="K2895" s="158">
        <f>K2896+K2897</f>
        <v>2831</v>
      </c>
      <c r="L2895" s="7"/>
      <c r="M2895" s="7"/>
      <c r="N2895" s="7"/>
      <c r="O2895" s="7"/>
      <c r="P2895" s="7"/>
      <c r="Q2895" s="7"/>
      <c r="R2895" s="7"/>
      <c r="S2895" s="7"/>
      <c r="T2895" s="7"/>
      <c r="U2895" s="7"/>
      <c r="V2895" s="7"/>
      <c r="W2895" s="7"/>
    </row>
    <row r="2896" spans="1:23" x14ac:dyDescent="0.35">
      <c r="A2896" s="257"/>
      <c r="B2896" s="257"/>
      <c r="C2896" s="260"/>
      <c r="D2896" s="263"/>
      <c r="E2896" s="269"/>
      <c r="F2896" s="269"/>
      <c r="G2896" s="257"/>
      <c r="H2896" s="159" t="s">
        <v>74</v>
      </c>
      <c r="I2896" s="158">
        <f>D2895*K2896</f>
        <v>8634780</v>
      </c>
      <c r="J2896" s="158">
        <f>I2896/D2895</f>
        <v>2772</v>
      </c>
      <c r="K2896" s="158">
        <v>2772</v>
      </c>
      <c r="L2896" s="7"/>
      <c r="M2896" s="7"/>
      <c r="N2896" s="7"/>
      <c r="O2896" s="7"/>
      <c r="P2896" s="7"/>
      <c r="Q2896" s="7"/>
      <c r="R2896" s="7"/>
      <c r="S2896" s="7"/>
      <c r="T2896" s="7"/>
      <c r="U2896" s="7"/>
      <c r="V2896" s="7"/>
      <c r="W2896" s="7"/>
    </row>
    <row r="2897" spans="1:23" x14ac:dyDescent="0.35">
      <c r="A2897" s="258"/>
      <c r="B2897" s="258"/>
      <c r="C2897" s="261"/>
      <c r="D2897" s="264"/>
      <c r="E2897" s="273"/>
      <c r="F2897" s="273"/>
      <c r="G2897" s="258"/>
      <c r="H2897" s="159" t="s">
        <v>76</v>
      </c>
      <c r="I2897" s="158">
        <f>D2895*K2897</f>
        <v>183785</v>
      </c>
      <c r="J2897" s="158">
        <f>I2897/D2895</f>
        <v>59</v>
      </c>
      <c r="K2897" s="158">
        <v>59</v>
      </c>
      <c r="L2897" s="7"/>
      <c r="M2897" s="7"/>
      <c r="N2897" s="7"/>
      <c r="O2897" s="7"/>
      <c r="P2897" s="7"/>
      <c r="Q2897" s="7"/>
      <c r="R2897" s="7"/>
      <c r="S2897" s="7"/>
      <c r="T2897" s="7"/>
      <c r="U2897" s="7"/>
      <c r="V2897" s="7"/>
      <c r="W2897" s="7"/>
    </row>
    <row r="2898" spans="1:23" ht="15.75" customHeight="1" x14ac:dyDescent="0.35">
      <c r="A2898" s="251">
        <f>A2895+1</f>
        <v>40</v>
      </c>
      <c r="B2898" s="256">
        <v>4051</v>
      </c>
      <c r="C2898" s="259" t="s">
        <v>124</v>
      </c>
      <c r="D2898" s="262">
        <v>3115</v>
      </c>
      <c r="E2898" s="268" t="s">
        <v>71</v>
      </c>
      <c r="F2898" s="268">
        <v>5</v>
      </c>
      <c r="G2898" s="256" t="s">
        <v>72</v>
      </c>
      <c r="H2898" s="159" t="s">
        <v>73</v>
      </c>
      <c r="I2898" s="158">
        <f>I2899+I2900</f>
        <v>8818565</v>
      </c>
      <c r="J2898" s="158">
        <f>J2899+J2900</f>
        <v>2831</v>
      </c>
      <c r="K2898" s="158">
        <f>K2899+K2900</f>
        <v>2831</v>
      </c>
      <c r="L2898" s="7"/>
      <c r="M2898" s="7"/>
      <c r="N2898" s="7"/>
      <c r="O2898" s="7"/>
      <c r="P2898" s="7"/>
      <c r="Q2898" s="7"/>
      <c r="R2898" s="7"/>
      <c r="S2898" s="7"/>
      <c r="T2898" s="7"/>
      <c r="U2898" s="7"/>
      <c r="V2898" s="7"/>
      <c r="W2898" s="7"/>
    </row>
    <row r="2899" spans="1:23" x14ac:dyDescent="0.35">
      <c r="A2899" s="257"/>
      <c r="B2899" s="257"/>
      <c r="C2899" s="260"/>
      <c r="D2899" s="263"/>
      <c r="E2899" s="269"/>
      <c r="F2899" s="269"/>
      <c r="G2899" s="257"/>
      <c r="H2899" s="159" t="s">
        <v>74</v>
      </c>
      <c r="I2899" s="158">
        <f>D2898*K2899</f>
        <v>8634780</v>
      </c>
      <c r="J2899" s="158">
        <f>I2899/D2898</f>
        <v>2772</v>
      </c>
      <c r="K2899" s="158">
        <v>2772</v>
      </c>
      <c r="L2899" s="7"/>
      <c r="M2899" s="7"/>
      <c r="N2899" s="7"/>
      <c r="O2899" s="7"/>
      <c r="P2899" s="7"/>
      <c r="Q2899" s="7"/>
      <c r="R2899" s="7"/>
      <c r="S2899" s="7"/>
      <c r="T2899" s="7"/>
      <c r="U2899" s="7"/>
      <c r="V2899" s="7"/>
      <c r="W2899" s="7"/>
    </row>
    <row r="2900" spans="1:23" x14ac:dyDescent="0.35">
      <c r="A2900" s="258"/>
      <c r="B2900" s="258"/>
      <c r="C2900" s="261"/>
      <c r="D2900" s="264"/>
      <c r="E2900" s="273"/>
      <c r="F2900" s="273"/>
      <c r="G2900" s="258"/>
      <c r="H2900" s="159" t="s">
        <v>76</v>
      </c>
      <c r="I2900" s="158">
        <f>D2898*K2900</f>
        <v>183785</v>
      </c>
      <c r="J2900" s="158">
        <f>I2900/D2898</f>
        <v>59</v>
      </c>
      <c r="K2900" s="158">
        <v>59</v>
      </c>
      <c r="L2900" s="7"/>
      <c r="M2900" s="7"/>
      <c r="N2900" s="7"/>
      <c r="O2900" s="7"/>
      <c r="P2900" s="7"/>
      <c r="Q2900" s="7"/>
      <c r="R2900" s="7"/>
      <c r="S2900" s="7"/>
      <c r="T2900" s="7"/>
      <c r="U2900" s="7"/>
      <c r="V2900" s="7"/>
      <c r="W2900" s="7"/>
    </row>
    <row r="2901" spans="1:23" ht="15.75" customHeight="1" x14ac:dyDescent="0.35">
      <c r="A2901" s="251">
        <f>A2898+1</f>
        <v>41</v>
      </c>
      <c r="B2901" s="256">
        <v>4052</v>
      </c>
      <c r="C2901" s="259" t="s">
        <v>125</v>
      </c>
      <c r="D2901" s="262">
        <v>3327.5</v>
      </c>
      <c r="E2901" s="268" t="s">
        <v>71</v>
      </c>
      <c r="F2901" s="268">
        <v>5</v>
      </c>
      <c r="G2901" s="256" t="s">
        <v>72</v>
      </c>
      <c r="H2901" s="159" t="s">
        <v>73</v>
      </c>
      <c r="I2901" s="158">
        <f>I2902+I2903</f>
        <v>9420152.5</v>
      </c>
      <c r="J2901" s="158">
        <f>J2902+J2903</f>
        <v>2831</v>
      </c>
      <c r="K2901" s="158">
        <f>K2902+K2903</f>
        <v>2831</v>
      </c>
      <c r="L2901" s="7"/>
      <c r="M2901" s="7"/>
      <c r="N2901" s="7"/>
      <c r="O2901" s="7"/>
      <c r="P2901" s="7"/>
      <c r="Q2901" s="7"/>
      <c r="R2901" s="7"/>
      <c r="S2901" s="7"/>
      <c r="T2901" s="7"/>
      <c r="U2901" s="7"/>
      <c r="V2901" s="7"/>
      <c r="W2901" s="7"/>
    </row>
    <row r="2902" spans="1:23" x14ac:dyDescent="0.35">
      <c r="A2902" s="257"/>
      <c r="B2902" s="257"/>
      <c r="C2902" s="260"/>
      <c r="D2902" s="263"/>
      <c r="E2902" s="269"/>
      <c r="F2902" s="269"/>
      <c r="G2902" s="257"/>
      <c r="H2902" s="159" t="s">
        <v>74</v>
      </c>
      <c r="I2902" s="158">
        <f>D2901*K2902</f>
        <v>9223830</v>
      </c>
      <c r="J2902" s="158">
        <f>I2902/D2901</f>
        <v>2772</v>
      </c>
      <c r="K2902" s="158">
        <v>2772</v>
      </c>
      <c r="L2902" s="7"/>
      <c r="M2902" s="7"/>
      <c r="N2902" s="7"/>
      <c r="O2902" s="7"/>
      <c r="P2902" s="7"/>
      <c r="Q2902" s="7"/>
      <c r="R2902" s="7"/>
      <c r="S2902" s="7"/>
      <c r="T2902" s="7"/>
      <c r="U2902" s="7"/>
      <c r="V2902" s="7"/>
      <c r="W2902" s="7"/>
    </row>
    <row r="2903" spans="1:23" x14ac:dyDescent="0.35">
      <c r="A2903" s="258"/>
      <c r="B2903" s="258"/>
      <c r="C2903" s="261"/>
      <c r="D2903" s="264"/>
      <c r="E2903" s="273"/>
      <c r="F2903" s="273"/>
      <c r="G2903" s="258"/>
      <c r="H2903" s="159" t="s">
        <v>76</v>
      </c>
      <c r="I2903" s="158">
        <f>D2901*K2903</f>
        <v>196322.5</v>
      </c>
      <c r="J2903" s="158">
        <f>I2903/D2901</f>
        <v>59</v>
      </c>
      <c r="K2903" s="158">
        <v>59</v>
      </c>
      <c r="L2903" s="7"/>
      <c r="M2903" s="7"/>
      <c r="N2903" s="7"/>
      <c r="O2903" s="7"/>
      <c r="P2903" s="7"/>
      <c r="Q2903" s="7"/>
      <c r="R2903" s="7"/>
      <c r="S2903" s="7"/>
      <c r="T2903" s="7"/>
      <c r="U2903" s="7"/>
      <c r="V2903" s="7"/>
      <c r="W2903" s="7"/>
    </row>
    <row r="2904" spans="1:23" ht="15.75" customHeight="1" x14ac:dyDescent="0.35">
      <c r="A2904" s="256">
        <f>A2901+1</f>
        <v>42</v>
      </c>
      <c r="B2904" s="256">
        <v>4335</v>
      </c>
      <c r="C2904" s="295" t="s">
        <v>126</v>
      </c>
      <c r="D2904" s="262">
        <v>2109.1999999999998</v>
      </c>
      <c r="E2904" s="268" t="s">
        <v>75</v>
      </c>
      <c r="F2904" s="268">
        <v>5</v>
      </c>
      <c r="G2904" s="256" t="s">
        <v>85</v>
      </c>
      <c r="H2904" s="159" t="s">
        <v>73</v>
      </c>
      <c r="I2904" s="158">
        <f>I2905+I2906</f>
        <v>2199895.6</v>
      </c>
      <c r="J2904" s="158">
        <f>J2905+J2906</f>
        <v>1043</v>
      </c>
      <c r="K2904" s="158">
        <f>K2905+K2906</f>
        <v>1043</v>
      </c>
      <c r="L2904" s="7"/>
      <c r="M2904" s="7"/>
      <c r="N2904" s="7"/>
      <c r="O2904" s="7"/>
      <c r="P2904" s="7"/>
      <c r="Q2904" s="7"/>
      <c r="R2904" s="7"/>
      <c r="S2904" s="7"/>
      <c r="T2904" s="7"/>
      <c r="U2904" s="7"/>
      <c r="V2904" s="7"/>
      <c r="W2904" s="7"/>
    </row>
    <row r="2905" spans="1:23" x14ac:dyDescent="0.35">
      <c r="A2905" s="257"/>
      <c r="B2905" s="257"/>
      <c r="C2905" s="296"/>
      <c r="D2905" s="263"/>
      <c r="E2905" s="269"/>
      <c r="F2905" s="269"/>
      <c r="G2905" s="257"/>
      <c r="H2905" s="159" t="s">
        <v>74</v>
      </c>
      <c r="I2905" s="158">
        <f>D2904*K2905</f>
        <v>2153493.2000000002</v>
      </c>
      <c r="J2905" s="158">
        <f>I2905/D2904</f>
        <v>1021</v>
      </c>
      <c r="K2905" s="158">
        <v>1021</v>
      </c>
      <c r="L2905" s="7"/>
      <c r="M2905" s="7"/>
      <c r="N2905" s="7"/>
      <c r="O2905" s="7"/>
      <c r="P2905" s="7"/>
      <c r="Q2905" s="7"/>
      <c r="R2905" s="7"/>
      <c r="S2905" s="7"/>
      <c r="T2905" s="7"/>
      <c r="U2905" s="7"/>
      <c r="V2905" s="7"/>
      <c r="W2905" s="7"/>
    </row>
    <row r="2906" spans="1:23" x14ac:dyDescent="0.35">
      <c r="A2906" s="258"/>
      <c r="B2906" s="258"/>
      <c r="C2906" s="297"/>
      <c r="D2906" s="264"/>
      <c r="E2906" s="273"/>
      <c r="F2906" s="273"/>
      <c r="G2906" s="258"/>
      <c r="H2906" s="159" t="s">
        <v>76</v>
      </c>
      <c r="I2906" s="158">
        <f>D2904*K2906</f>
        <v>46402.400000000001</v>
      </c>
      <c r="J2906" s="158">
        <f>I2906/D2904</f>
        <v>22</v>
      </c>
      <c r="K2906" s="158">
        <v>22</v>
      </c>
      <c r="L2906" s="7"/>
      <c r="M2906" s="7"/>
      <c r="N2906" s="7"/>
      <c r="O2906" s="7"/>
      <c r="P2906" s="7"/>
      <c r="Q2906" s="7"/>
      <c r="R2906" s="7"/>
      <c r="S2906" s="7"/>
      <c r="T2906" s="7"/>
      <c r="U2906" s="7"/>
      <c r="V2906" s="7"/>
      <c r="W2906" s="7"/>
    </row>
    <row r="2907" spans="1:23" ht="15.75" customHeight="1" x14ac:dyDescent="0.35">
      <c r="A2907" s="251">
        <f>A2904+1</f>
        <v>43</v>
      </c>
      <c r="B2907" s="251">
        <v>3299</v>
      </c>
      <c r="C2907" s="301" t="s">
        <v>127</v>
      </c>
      <c r="D2907" s="253">
        <v>3495.95</v>
      </c>
      <c r="E2907" s="254" t="s">
        <v>71</v>
      </c>
      <c r="F2907" s="254">
        <v>5</v>
      </c>
      <c r="G2907" s="251" t="s">
        <v>72</v>
      </c>
      <c r="H2907" s="159" t="s">
        <v>73</v>
      </c>
      <c r="I2907" s="158">
        <f>I2908+I2909</f>
        <v>9897034.4499999993</v>
      </c>
      <c r="J2907" s="158">
        <f>J2908+J2909</f>
        <v>2831</v>
      </c>
      <c r="K2907" s="158">
        <f>K2908+K2909</f>
        <v>2831</v>
      </c>
      <c r="L2907" s="7"/>
      <c r="M2907" s="7"/>
      <c r="N2907" s="7"/>
      <c r="O2907" s="7"/>
      <c r="P2907" s="7"/>
      <c r="Q2907" s="7"/>
      <c r="R2907" s="7"/>
      <c r="S2907" s="7"/>
      <c r="T2907" s="7"/>
      <c r="U2907" s="7"/>
      <c r="V2907" s="7"/>
      <c r="W2907" s="7"/>
    </row>
    <row r="2908" spans="1:23" x14ac:dyDescent="0.35">
      <c r="A2908" s="251">
        <v>75</v>
      </c>
      <c r="B2908" s="251"/>
      <c r="C2908" s="301"/>
      <c r="D2908" s="253"/>
      <c r="E2908" s="254"/>
      <c r="F2908" s="254"/>
      <c r="G2908" s="251"/>
      <c r="H2908" s="159" t="s">
        <v>74</v>
      </c>
      <c r="I2908" s="158">
        <f>D2907*K2908</f>
        <v>9690773.4000000004</v>
      </c>
      <c r="J2908" s="158">
        <f>I2908/D2907</f>
        <v>2772</v>
      </c>
      <c r="K2908" s="158">
        <v>2772</v>
      </c>
      <c r="L2908" s="7"/>
      <c r="M2908" s="7"/>
      <c r="N2908" s="7"/>
      <c r="O2908" s="7"/>
      <c r="P2908" s="7"/>
      <c r="Q2908" s="7"/>
      <c r="R2908" s="7"/>
      <c r="S2908" s="7"/>
      <c r="T2908" s="7"/>
      <c r="U2908" s="7"/>
      <c r="V2908" s="7"/>
      <c r="W2908" s="7"/>
    </row>
    <row r="2909" spans="1:23" x14ac:dyDescent="0.35">
      <c r="A2909" s="251">
        <v>76</v>
      </c>
      <c r="B2909" s="251"/>
      <c r="C2909" s="301"/>
      <c r="D2909" s="253"/>
      <c r="E2909" s="254"/>
      <c r="F2909" s="254"/>
      <c r="G2909" s="251"/>
      <c r="H2909" s="159" t="s">
        <v>76</v>
      </c>
      <c r="I2909" s="158">
        <f>D2907*K2909</f>
        <v>206261.05</v>
      </c>
      <c r="J2909" s="158">
        <f>I2909/D2907</f>
        <v>59</v>
      </c>
      <c r="K2909" s="158">
        <v>59</v>
      </c>
      <c r="L2909" s="7"/>
      <c r="M2909" s="7"/>
      <c r="N2909" s="7"/>
      <c r="O2909" s="7"/>
      <c r="P2909" s="7"/>
      <c r="Q2909" s="7"/>
      <c r="R2909" s="7"/>
      <c r="S2909" s="7"/>
      <c r="T2909" s="7"/>
      <c r="U2909" s="7"/>
      <c r="V2909" s="7"/>
      <c r="W2909" s="7"/>
    </row>
    <row r="2910" spans="1:23" ht="15.75" customHeight="1" x14ac:dyDescent="0.35">
      <c r="A2910" s="256">
        <f>A2907+1</f>
        <v>44</v>
      </c>
      <c r="B2910" s="256">
        <v>3316</v>
      </c>
      <c r="C2910" s="259" t="s">
        <v>128</v>
      </c>
      <c r="D2910" s="262">
        <v>2886.1</v>
      </c>
      <c r="E2910" s="254" t="s">
        <v>71</v>
      </c>
      <c r="F2910" s="254">
        <v>5</v>
      </c>
      <c r="G2910" s="256" t="s">
        <v>72</v>
      </c>
      <c r="H2910" s="159" t="s">
        <v>73</v>
      </c>
      <c r="I2910" s="158">
        <f>I2911+I2912</f>
        <v>8170549.0999999996</v>
      </c>
      <c r="J2910" s="158">
        <f>J2911+J2912</f>
        <v>2831</v>
      </c>
      <c r="K2910" s="158">
        <f>K2911+K2912</f>
        <v>2831</v>
      </c>
      <c r="L2910" s="7"/>
      <c r="M2910" s="7"/>
      <c r="N2910" s="7"/>
      <c r="O2910" s="7"/>
      <c r="P2910" s="7"/>
      <c r="Q2910" s="7"/>
      <c r="R2910" s="7"/>
      <c r="S2910" s="7"/>
      <c r="T2910" s="7"/>
      <c r="U2910" s="7"/>
      <c r="V2910" s="7"/>
      <c r="W2910" s="7"/>
    </row>
    <row r="2911" spans="1:23" x14ac:dyDescent="0.35">
      <c r="A2911" s="257"/>
      <c r="B2911" s="257"/>
      <c r="C2911" s="260"/>
      <c r="D2911" s="263"/>
      <c r="E2911" s="254"/>
      <c r="F2911" s="254"/>
      <c r="G2911" s="257"/>
      <c r="H2911" s="159" t="s">
        <v>74</v>
      </c>
      <c r="I2911" s="158">
        <f>D2910*K2911</f>
        <v>8000269.2000000002</v>
      </c>
      <c r="J2911" s="158">
        <f>I2911/D2910</f>
        <v>2772</v>
      </c>
      <c r="K2911" s="158">
        <v>2772</v>
      </c>
      <c r="L2911" s="7"/>
      <c r="M2911" s="7"/>
      <c r="N2911" s="7"/>
      <c r="O2911" s="7"/>
      <c r="P2911" s="7"/>
      <c r="Q2911" s="7"/>
      <c r="R2911" s="7"/>
      <c r="S2911" s="7"/>
      <c r="T2911" s="7"/>
      <c r="U2911" s="7"/>
      <c r="V2911" s="7"/>
      <c r="W2911" s="7"/>
    </row>
    <row r="2912" spans="1:23" x14ac:dyDescent="0.35">
      <c r="A2912" s="257"/>
      <c r="B2912" s="257"/>
      <c r="C2912" s="260"/>
      <c r="D2912" s="263"/>
      <c r="E2912" s="254"/>
      <c r="F2912" s="254"/>
      <c r="G2912" s="257"/>
      <c r="H2912" s="159" t="s">
        <v>76</v>
      </c>
      <c r="I2912" s="158">
        <f>D2910*K2912</f>
        <v>170279.9</v>
      </c>
      <c r="J2912" s="158">
        <f>I2912/D2910</f>
        <v>59</v>
      </c>
      <c r="K2912" s="158">
        <v>59</v>
      </c>
      <c r="L2912" s="7"/>
      <c r="M2912" s="7"/>
      <c r="N2912" s="7"/>
      <c r="O2912" s="7"/>
      <c r="P2912" s="7"/>
      <c r="Q2912" s="7"/>
      <c r="R2912" s="7"/>
      <c r="S2912" s="7"/>
      <c r="T2912" s="7"/>
      <c r="U2912" s="7"/>
      <c r="V2912" s="7"/>
      <c r="W2912" s="7"/>
    </row>
    <row r="2913" spans="1:23" ht="15.75" customHeight="1" x14ac:dyDescent="0.35">
      <c r="A2913" s="251">
        <f>A2910+1</f>
        <v>45</v>
      </c>
      <c r="B2913" s="256">
        <v>3318</v>
      </c>
      <c r="C2913" s="259" t="s">
        <v>129</v>
      </c>
      <c r="D2913" s="262">
        <v>3544.3</v>
      </c>
      <c r="E2913" s="268" t="s">
        <v>71</v>
      </c>
      <c r="F2913" s="268">
        <v>5</v>
      </c>
      <c r="G2913" s="256" t="s">
        <v>72</v>
      </c>
      <c r="H2913" s="159" t="s">
        <v>73</v>
      </c>
      <c r="I2913" s="158">
        <f>I2914+I2915</f>
        <v>10033913.300000001</v>
      </c>
      <c r="J2913" s="158">
        <f>J2914+J2915</f>
        <v>2831</v>
      </c>
      <c r="K2913" s="158">
        <f>K2914+K2915</f>
        <v>2831</v>
      </c>
      <c r="L2913" s="7"/>
      <c r="M2913" s="7"/>
      <c r="N2913" s="7"/>
      <c r="O2913" s="7"/>
      <c r="P2913" s="7"/>
      <c r="Q2913" s="7"/>
      <c r="R2913" s="7"/>
      <c r="S2913" s="7"/>
      <c r="T2913" s="7"/>
      <c r="U2913" s="7"/>
      <c r="V2913" s="7"/>
      <c r="W2913" s="7"/>
    </row>
    <row r="2914" spans="1:23" x14ac:dyDescent="0.35">
      <c r="A2914" s="257"/>
      <c r="B2914" s="257"/>
      <c r="C2914" s="260"/>
      <c r="D2914" s="263"/>
      <c r="E2914" s="269"/>
      <c r="F2914" s="269"/>
      <c r="G2914" s="257"/>
      <c r="H2914" s="159" t="s">
        <v>74</v>
      </c>
      <c r="I2914" s="158">
        <f>D2913*K2914</f>
        <v>9824799.5999999996</v>
      </c>
      <c r="J2914" s="158">
        <f>I2914/D2913</f>
        <v>2772</v>
      </c>
      <c r="K2914" s="158">
        <v>2772</v>
      </c>
      <c r="L2914" s="7"/>
      <c r="M2914" s="7"/>
      <c r="N2914" s="7"/>
      <c r="O2914" s="7"/>
      <c r="P2914" s="7"/>
      <c r="Q2914" s="7"/>
      <c r="R2914" s="7"/>
      <c r="S2914" s="7"/>
      <c r="T2914" s="7"/>
      <c r="U2914" s="7"/>
      <c r="V2914" s="7"/>
      <c r="W2914" s="7"/>
    </row>
    <row r="2915" spans="1:23" x14ac:dyDescent="0.35">
      <c r="A2915" s="258"/>
      <c r="B2915" s="258"/>
      <c r="C2915" s="261"/>
      <c r="D2915" s="264"/>
      <c r="E2915" s="273"/>
      <c r="F2915" s="273"/>
      <c r="G2915" s="258"/>
      <c r="H2915" s="159" t="s">
        <v>76</v>
      </c>
      <c r="I2915" s="158">
        <f>D2913*K2915</f>
        <v>209113.7</v>
      </c>
      <c r="J2915" s="158">
        <f>I2915/D2913</f>
        <v>59</v>
      </c>
      <c r="K2915" s="158">
        <v>59</v>
      </c>
      <c r="L2915" s="7"/>
      <c r="M2915" s="7"/>
      <c r="N2915" s="7"/>
      <c r="O2915" s="7"/>
      <c r="P2915" s="7"/>
      <c r="Q2915" s="7"/>
      <c r="R2915" s="7"/>
      <c r="S2915" s="7"/>
      <c r="T2915" s="7"/>
      <c r="U2915" s="7"/>
      <c r="V2915" s="7"/>
      <c r="W2915" s="7"/>
    </row>
    <row r="2916" spans="1:23" ht="15.75" customHeight="1" x14ac:dyDescent="0.35">
      <c r="A2916" s="251">
        <f>A2913+1</f>
        <v>46</v>
      </c>
      <c r="B2916" s="251">
        <v>3319</v>
      </c>
      <c r="C2916" s="301" t="s">
        <v>130</v>
      </c>
      <c r="D2916" s="253">
        <v>3538.3</v>
      </c>
      <c r="E2916" s="254" t="s">
        <v>71</v>
      </c>
      <c r="F2916" s="254">
        <v>5</v>
      </c>
      <c r="G2916" s="251" t="s">
        <v>72</v>
      </c>
      <c r="H2916" s="159" t="s">
        <v>73</v>
      </c>
      <c r="I2916" s="158">
        <f>I2917+I2918</f>
        <v>10016927.300000001</v>
      </c>
      <c r="J2916" s="158">
        <f>J2917+J2918</f>
        <v>2831</v>
      </c>
      <c r="K2916" s="158">
        <f>K2917+K2918</f>
        <v>2831</v>
      </c>
      <c r="L2916" s="7"/>
      <c r="M2916" s="7"/>
      <c r="N2916" s="7"/>
      <c r="O2916" s="7"/>
      <c r="P2916" s="7"/>
      <c r="Q2916" s="7"/>
      <c r="R2916" s="7"/>
      <c r="S2916" s="7"/>
      <c r="T2916" s="7"/>
      <c r="U2916" s="7"/>
      <c r="V2916" s="7"/>
      <c r="W2916" s="7"/>
    </row>
    <row r="2917" spans="1:23" x14ac:dyDescent="0.35">
      <c r="A2917" s="251">
        <v>77</v>
      </c>
      <c r="B2917" s="251"/>
      <c r="C2917" s="301"/>
      <c r="D2917" s="253"/>
      <c r="E2917" s="254"/>
      <c r="F2917" s="254"/>
      <c r="G2917" s="251"/>
      <c r="H2917" s="159" t="s">
        <v>74</v>
      </c>
      <c r="I2917" s="158">
        <f>D2916*K2917</f>
        <v>9808167.5999999996</v>
      </c>
      <c r="J2917" s="158">
        <f>I2917/D2916</f>
        <v>2772</v>
      </c>
      <c r="K2917" s="158">
        <v>2772</v>
      </c>
      <c r="L2917" s="7"/>
      <c r="M2917" s="7"/>
      <c r="N2917" s="7"/>
      <c r="O2917" s="7"/>
      <c r="P2917" s="7"/>
      <c r="Q2917" s="7"/>
      <c r="R2917" s="7"/>
      <c r="S2917" s="7"/>
      <c r="T2917" s="7"/>
      <c r="U2917" s="7"/>
      <c r="V2917" s="7"/>
      <c r="W2917" s="7"/>
    </row>
    <row r="2918" spans="1:23" x14ac:dyDescent="0.35">
      <c r="A2918" s="251">
        <v>78</v>
      </c>
      <c r="B2918" s="251"/>
      <c r="C2918" s="301"/>
      <c r="D2918" s="253"/>
      <c r="E2918" s="254"/>
      <c r="F2918" s="254"/>
      <c r="G2918" s="251"/>
      <c r="H2918" s="159" t="s">
        <v>76</v>
      </c>
      <c r="I2918" s="158">
        <f>D2916*K2918</f>
        <v>208759.7</v>
      </c>
      <c r="J2918" s="158">
        <f>I2918/D2916</f>
        <v>59</v>
      </c>
      <c r="K2918" s="158">
        <v>59</v>
      </c>
      <c r="L2918" s="7"/>
      <c r="M2918" s="7"/>
      <c r="N2918" s="7"/>
      <c r="O2918" s="7"/>
      <c r="P2918" s="7"/>
      <c r="Q2918" s="7"/>
      <c r="R2918" s="7"/>
      <c r="S2918" s="7"/>
      <c r="T2918" s="7"/>
      <c r="U2918" s="7"/>
      <c r="V2918" s="7"/>
      <c r="W2918" s="7"/>
    </row>
    <row r="2919" spans="1:23" ht="15.75" customHeight="1" x14ac:dyDescent="0.35">
      <c r="A2919" s="251">
        <f>A2916+1</f>
        <v>47</v>
      </c>
      <c r="B2919" s="251">
        <v>3183</v>
      </c>
      <c r="C2919" s="301" t="s">
        <v>131</v>
      </c>
      <c r="D2919" s="253">
        <v>5802.9</v>
      </c>
      <c r="E2919" s="254" t="s">
        <v>71</v>
      </c>
      <c r="F2919" s="254">
        <v>5</v>
      </c>
      <c r="G2919" s="251" t="s">
        <v>72</v>
      </c>
      <c r="H2919" s="159" t="s">
        <v>73</v>
      </c>
      <c r="I2919" s="158">
        <f>I2920+I2921</f>
        <v>16428009.9</v>
      </c>
      <c r="J2919" s="158">
        <f>J2920+J2921</f>
        <v>2831</v>
      </c>
      <c r="K2919" s="158">
        <f>K2920+K2921</f>
        <v>2831</v>
      </c>
      <c r="L2919" s="7"/>
      <c r="M2919" s="7"/>
      <c r="N2919" s="7"/>
      <c r="O2919" s="7"/>
      <c r="P2919" s="7"/>
      <c r="Q2919" s="7"/>
      <c r="R2919" s="7"/>
      <c r="S2919" s="7"/>
      <c r="T2919" s="7"/>
      <c r="U2919" s="7"/>
      <c r="V2919" s="7"/>
      <c r="W2919" s="7"/>
    </row>
    <row r="2920" spans="1:23" x14ac:dyDescent="0.35">
      <c r="A2920" s="251">
        <v>79</v>
      </c>
      <c r="B2920" s="251"/>
      <c r="C2920" s="301"/>
      <c r="D2920" s="253"/>
      <c r="E2920" s="254"/>
      <c r="F2920" s="254"/>
      <c r="G2920" s="251"/>
      <c r="H2920" s="159" t="s">
        <v>74</v>
      </c>
      <c r="I2920" s="158">
        <f>D2919*K2920</f>
        <v>16085638.800000001</v>
      </c>
      <c r="J2920" s="158">
        <f>I2920/D2919</f>
        <v>2772</v>
      </c>
      <c r="K2920" s="158">
        <v>2772</v>
      </c>
      <c r="L2920" s="7"/>
      <c r="M2920" s="7"/>
      <c r="N2920" s="7"/>
      <c r="O2920" s="7"/>
      <c r="P2920" s="7"/>
      <c r="Q2920" s="7"/>
      <c r="R2920" s="7"/>
      <c r="S2920" s="7"/>
      <c r="T2920" s="7"/>
      <c r="U2920" s="7"/>
      <c r="V2920" s="7"/>
      <c r="W2920" s="7"/>
    </row>
    <row r="2921" spans="1:23" x14ac:dyDescent="0.35">
      <c r="A2921" s="251">
        <v>80</v>
      </c>
      <c r="B2921" s="251"/>
      <c r="C2921" s="301"/>
      <c r="D2921" s="253"/>
      <c r="E2921" s="254"/>
      <c r="F2921" s="254"/>
      <c r="G2921" s="251"/>
      <c r="H2921" s="159" t="s">
        <v>76</v>
      </c>
      <c r="I2921" s="158">
        <f>D2919*K2921</f>
        <v>342371.1</v>
      </c>
      <c r="J2921" s="158">
        <f>I2921/D2919</f>
        <v>59</v>
      </c>
      <c r="K2921" s="158">
        <v>59</v>
      </c>
      <c r="L2921" s="7"/>
      <c r="M2921" s="7"/>
      <c r="N2921" s="7"/>
      <c r="O2921" s="7"/>
      <c r="P2921" s="7"/>
      <c r="Q2921" s="7"/>
      <c r="R2921" s="7"/>
      <c r="S2921" s="7"/>
      <c r="T2921" s="7"/>
      <c r="U2921" s="7"/>
      <c r="V2921" s="7"/>
      <c r="W2921" s="7"/>
    </row>
    <row r="2922" spans="1:23" ht="15.75" customHeight="1" x14ac:dyDescent="0.35">
      <c r="A2922" s="251">
        <f>A2919+1</f>
        <v>48</v>
      </c>
      <c r="B2922" s="251">
        <v>3186</v>
      </c>
      <c r="C2922" s="301" t="s">
        <v>132</v>
      </c>
      <c r="D2922" s="253">
        <v>2902.9</v>
      </c>
      <c r="E2922" s="254" t="s">
        <v>71</v>
      </c>
      <c r="F2922" s="254">
        <v>5</v>
      </c>
      <c r="G2922" s="251" t="s">
        <v>72</v>
      </c>
      <c r="H2922" s="159" t="s">
        <v>73</v>
      </c>
      <c r="I2922" s="158">
        <f>I2923+I2924</f>
        <v>8218109.9000000004</v>
      </c>
      <c r="J2922" s="158">
        <f>J2923+J2924</f>
        <v>2831</v>
      </c>
      <c r="K2922" s="158">
        <f>K2923+K2924</f>
        <v>2831</v>
      </c>
      <c r="L2922" s="7"/>
      <c r="M2922" s="7"/>
      <c r="N2922" s="7"/>
      <c r="O2922" s="7"/>
      <c r="P2922" s="7"/>
      <c r="Q2922" s="7"/>
      <c r="R2922" s="7"/>
      <c r="S2922" s="7"/>
      <c r="T2922" s="7"/>
      <c r="U2922" s="7"/>
      <c r="V2922" s="7"/>
      <c r="W2922" s="7"/>
    </row>
    <row r="2923" spans="1:23" x14ac:dyDescent="0.35">
      <c r="A2923" s="251">
        <v>77</v>
      </c>
      <c r="B2923" s="251"/>
      <c r="C2923" s="301"/>
      <c r="D2923" s="253"/>
      <c r="E2923" s="254"/>
      <c r="F2923" s="254"/>
      <c r="G2923" s="251"/>
      <c r="H2923" s="159" t="s">
        <v>74</v>
      </c>
      <c r="I2923" s="158">
        <f>D2922*K2923</f>
        <v>8046838.7999999998</v>
      </c>
      <c r="J2923" s="158">
        <f>I2923/D2922</f>
        <v>2772</v>
      </c>
      <c r="K2923" s="158">
        <v>2772</v>
      </c>
      <c r="L2923" s="7"/>
      <c r="M2923" s="7"/>
      <c r="N2923" s="7"/>
      <c r="O2923" s="7"/>
      <c r="P2923" s="7"/>
      <c r="Q2923" s="7"/>
      <c r="R2923" s="7"/>
      <c r="S2923" s="7"/>
      <c r="T2923" s="7"/>
      <c r="U2923" s="7"/>
      <c r="V2923" s="7"/>
      <c r="W2923" s="7"/>
    </row>
    <row r="2924" spans="1:23" x14ac:dyDescent="0.35">
      <c r="A2924" s="251">
        <v>78</v>
      </c>
      <c r="B2924" s="251"/>
      <c r="C2924" s="301"/>
      <c r="D2924" s="253"/>
      <c r="E2924" s="254"/>
      <c r="F2924" s="254"/>
      <c r="G2924" s="251"/>
      <c r="H2924" s="159" t="s">
        <v>76</v>
      </c>
      <c r="I2924" s="158">
        <f>D2922*K2924</f>
        <v>171271.1</v>
      </c>
      <c r="J2924" s="158">
        <f>I2924/D2922</f>
        <v>59</v>
      </c>
      <c r="K2924" s="158">
        <v>59</v>
      </c>
      <c r="L2924" s="7"/>
      <c r="M2924" s="7"/>
      <c r="N2924" s="7"/>
      <c r="O2924" s="7"/>
      <c r="P2924" s="7"/>
      <c r="Q2924" s="7"/>
      <c r="R2924" s="7"/>
      <c r="S2924" s="7"/>
      <c r="T2924" s="7"/>
      <c r="U2924" s="7"/>
      <c r="V2924" s="7"/>
      <c r="W2924" s="7"/>
    </row>
    <row r="2925" spans="1:23" ht="15.75" customHeight="1" x14ac:dyDescent="0.35">
      <c r="A2925" s="251">
        <f>A2922+1</f>
        <v>49</v>
      </c>
      <c r="B2925" s="251">
        <v>3190</v>
      </c>
      <c r="C2925" s="301" t="s">
        <v>133</v>
      </c>
      <c r="D2925" s="253">
        <v>2911</v>
      </c>
      <c r="E2925" s="254" t="s">
        <v>71</v>
      </c>
      <c r="F2925" s="254">
        <v>5</v>
      </c>
      <c r="G2925" s="251" t="s">
        <v>72</v>
      </c>
      <c r="H2925" s="159" t="s">
        <v>73</v>
      </c>
      <c r="I2925" s="158">
        <f>I2926+I2927</f>
        <v>8241041</v>
      </c>
      <c r="J2925" s="158">
        <f>J2926+J2927</f>
        <v>2831</v>
      </c>
      <c r="K2925" s="158">
        <f>K2926+K2927</f>
        <v>2831</v>
      </c>
      <c r="L2925" s="7"/>
      <c r="M2925" s="7"/>
      <c r="N2925" s="7"/>
      <c r="O2925" s="7"/>
      <c r="P2925" s="7"/>
      <c r="Q2925" s="7"/>
      <c r="R2925" s="7"/>
      <c r="S2925" s="7"/>
      <c r="T2925" s="7"/>
      <c r="U2925" s="7"/>
      <c r="V2925" s="7"/>
      <c r="W2925" s="7"/>
    </row>
    <row r="2926" spans="1:23" x14ac:dyDescent="0.35">
      <c r="A2926" s="251">
        <v>79</v>
      </c>
      <c r="B2926" s="251"/>
      <c r="C2926" s="301"/>
      <c r="D2926" s="253"/>
      <c r="E2926" s="254"/>
      <c r="F2926" s="254"/>
      <c r="G2926" s="251"/>
      <c r="H2926" s="159" t="s">
        <v>74</v>
      </c>
      <c r="I2926" s="158">
        <f>D2925*K2926</f>
        <v>8069292</v>
      </c>
      <c r="J2926" s="158">
        <f>I2926/D2925</f>
        <v>2772</v>
      </c>
      <c r="K2926" s="158">
        <v>2772</v>
      </c>
      <c r="L2926" s="7"/>
      <c r="M2926" s="7"/>
      <c r="N2926" s="7"/>
      <c r="O2926" s="7"/>
      <c r="P2926" s="7"/>
      <c r="Q2926" s="7"/>
      <c r="R2926" s="7"/>
      <c r="S2926" s="7"/>
      <c r="T2926" s="7"/>
      <c r="U2926" s="7"/>
      <c r="V2926" s="7"/>
      <c r="W2926" s="7"/>
    </row>
    <row r="2927" spans="1:23" x14ac:dyDescent="0.35">
      <c r="A2927" s="251">
        <v>80</v>
      </c>
      <c r="B2927" s="251"/>
      <c r="C2927" s="301"/>
      <c r="D2927" s="253"/>
      <c r="E2927" s="254"/>
      <c r="F2927" s="254"/>
      <c r="G2927" s="251"/>
      <c r="H2927" s="159" t="s">
        <v>76</v>
      </c>
      <c r="I2927" s="158">
        <f>D2925*K2927</f>
        <v>171749</v>
      </c>
      <c r="J2927" s="158">
        <f>I2927/D2925</f>
        <v>59</v>
      </c>
      <c r="K2927" s="158">
        <v>59</v>
      </c>
      <c r="L2927" s="7"/>
      <c r="M2927" s="7"/>
      <c r="N2927" s="7"/>
      <c r="O2927" s="7"/>
      <c r="P2927" s="7"/>
      <c r="Q2927" s="7"/>
      <c r="R2927" s="7"/>
      <c r="S2927" s="7"/>
      <c r="T2927" s="7"/>
      <c r="U2927" s="7"/>
      <c r="V2927" s="7"/>
      <c r="W2927" s="7"/>
    </row>
    <row r="2928" spans="1:23" ht="15.75" customHeight="1" x14ac:dyDescent="0.35">
      <c r="A2928" s="251">
        <f>A2925+1</f>
        <v>50</v>
      </c>
      <c r="B2928" s="251">
        <v>3376</v>
      </c>
      <c r="C2928" s="301" t="s">
        <v>134</v>
      </c>
      <c r="D2928" s="253">
        <v>2525.6</v>
      </c>
      <c r="E2928" s="254" t="s">
        <v>75</v>
      </c>
      <c r="F2928" s="254">
        <v>4</v>
      </c>
      <c r="G2928" s="251" t="s">
        <v>72</v>
      </c>
      <c r="H2928" s="159" t="s">
        <v>73</v>
      </c>
      <c r="I2928" s="158">
        <f>I2929+I2930</f>
        <v>11941036.800000001</v>
      </c>
      <c r="J2928" s="158">
        <f>J2929+J2930</f>
        <v>4728</v>
      </c>
      <c r="K2928" s="158">
        <f>K2929+K2930</f>
        <v>4728</v>
      </c>
      <c r="L2928" s="7"/>
      <c r="M2928" s="7"/>
      <c r="N2928" s="7"/>
      <c r="O2928" s="7"/>
      <c r="P2928" s="7"/>
      <c r="Q2928" s="7"/>
      <c r="R2928" s="7"/>
      <c r="S2928" s="7"/>
      <c r="T2928" s="7"/>
      <c r="U2928" s="7"/>
      <c r="V2928" s="7"/>
      <c r="W2928" s="7"/>
    </row>
    <row r="2929" spans="1:23" x14ac:dyDescent="0.35">
      <c r="A2929" s="251">
        <v>81</v>
      </c>
      <c r="B2929" s="251"/>
      <c r="C2929" s="301"/>
      <c r="D2929" s="253"/>
      <c r="E2929" s="254"/>
      <c r="F2929" s="254"/>
      <c r="G2929" s="251"/>
      <c r="H2929" s="159" t="s">
        <v>74</v>
      </c>
      <c r="I2929" s="158">
        <f>D2928*K2929</f>
        <v>11691002.4</v>
      </c>
      <c r="J2929" s="158">
        <f>I2929/D2928</f>
        <v>4629</v>
      </c>
      <c r="K2929" s="158">
        <v>4629</v>
      </c>
      <c r="L2929" s="7"/>
      <c r="M2929" s="7"/>
      <c r="N2929" s="7"/>
      <c r="O2929" s="7"/>
      <c r="P2929" s="7"/>
      <c r="Q2929" s="7"/>
      <c r="R2929" s="7"/>
      <c r="S2929" s="7"/>
      <c r="T2929" s="7"/>
      <c r="U2929" s="7"/>
      <c r="V2929" s="7"/>
      <c r="W2929" s="7"/>
    </row>
    <row r="2930" spans="1:23" x14ac:dyDescent="0.35">
      <c r="A2930" s="251">
        <v>82</v>
      </c>
      <c r="B2930" s="251"/>
      <c r="C2930" s="301"/>
      <c r="D2930" s="253"/>
      <c r="E2930" s="254"/>
      <c r="F2930" s="254"/>
      <c r="G2930" s="251"/>
      <c r="H2930" s="159" t="s">
        <v>76</v>
      </c>
      <c r="I2930" s="158">
        <f>D2928*K2930</f>
        <v>250034.4</v>
      </c>
      <c r="J2930" s="158">
        <f>I2930/D2928</f>
        <v>99</v>
      </c>
      <c r="K2930" s="158">
        <v>99</v>
      </c>
      <c r="L2930" s="7"/>
      <c r="M2930" s="7"/>
      <c r="N2930" s="7"/>
      <c r="O2930" s="7"/>
      <c r="P2930" s="7"/>
      <c r="Q2930" s="7"/>
      <c r="R2930" s="7"/>
      <c r="S2930" s="7"/>
      <c r="T2930" s="7"/>
      <c r="U2930" s="7"/>
      <c r="V2930" s="7"/>
      <c r="W2930" s="7"/>
    </row>
    <row r="2931" spans="1:23" ht="15.75" customHeight="1" x14ac:dyDescent="0.35">
      <c r="A2931" s="256">
        <f>A2928+1</f>
        <v>51</v>
      </c>
      <c r="B2931" s="256">
        <v>3406</v>
      </c>
      <c r="C2931" s="295" t="s">
        <v>135</v>
      </c>
      <c r="D2931" s="262">
        <v>1229.96</v>
      </c>
      <c r="E2931" s="268" t="s">
        <v>80</v>
      </c>
      <c r="F2931" s="268">
        <v>3</v>
      </c>
      <c r="G2931" s="149"/>
      <c r="H2931" s="159" t="s">
        <v>73</v>
      </c>
      <c r="I2931" s="158">
        <f>I2932+I2933+I2934+I2935+I2936+I2937</f>
        <v>12016709.199999999</v>
      </c>
      <c r="J2931" s="158">
        <f>J2932+J2933+J2934+J2935+J2936+J2937</f>
        <v>9770</v>
      </c>
      <c r="K2931" s="158">
        <f>K2932+K2933+K2934+K2935+K2936+K2937</f>
        <v>9770</v>
      </c>
      <c r="L2931" s="7"/>
      <c r="M2931" s="7"/>
      <c r="N2931" s="7"/>
      <c r="O2931" s="7"/>
      <c r="P2931" s="7"/>
      <c r="Q2931" s="7"/>
      <c r="R2931" s="7"/>
      <c r="S2931" s="7"/>
      <c r="T2931" s="7"/>
      <c r="U2931" s="7"/>
      <c r="V2931" s="7"/>
      <c r="W2931" s="7"/>
    </row>
    <row r="2932" spans="1:23" x14ac:dyDescent="0.35">
      <c r="A2932" s="257"/>
      <c r="B2932" s="257"/>
      <c r="C2932" s="296"/>
      <c r="D2932" s="263"/>
      <c r="E2932" s="269"/>
      <c r="F2932" s="269"/>
      <c r="G2932" s="256" t="s">
        <v>72</v>
      </c>
      <c r="H2932" s="159" t="s">
        <v>74</v>
      </c>
      <c r="I2932" s="158">
        <f>D2931*K2932</f>
        <v>5693484.8399999999</v>
      </c>
      <c r="J2932" s="158">
        <f>I2932/D2931</f>
        <v>4629</v>
      </c>
      <c r="K2932" s="158">
        <v>4629</v>
      </c>
      <c r="L2932" s="7"/>
      <c r="M2932" s="7"/>
      <c r="N2932" s="7"/>
      <c r="O2932" s="7"/>
      <c r="P2932" s="7"/>
      <c r="Q2932" s="7"/>
      <c r="R2932" s="7"/>
      <c r="S2932" s="7"/>
      <c r="T2932" s="7"/>
      <c r="U2932" s="7"/>
      <c r="V2932" s="7"/>
      <c r="W2932" s="7"/>
    </row>
    <row r="2933" spans="1:23" x14ac:dyDescent="0.35">
      <c r="A2933" s="257"/>
      <c r="B2933" s="257"/>
      <c r="C2933" s="296"/>
      <c r="D2933" s="263"/>
      <c r="E2933" s="269"/>
      <c r="F2933" s="269"/>
      <c r="G2933" s="258"/>
      <c r="H2933" s="159" t="s">
        <v>76</v>
      </c>
      <c r="I2933" s="158">
        <f>D2931*K2933</f>
        <v>121766.04</v>
      </c>
      <c r="J2933" s="158">
        <f>I2933/D2931</f>
        <v>99</v>
      </c>
      <c r="K2933" s="158">
        <v>99</v>
      </c>
      <c r="L2933" s="7"/>
      <c r="M2933" s="7"/>
      <c r="N2933" s="7"/>
      <c r="O2933" s="7"/>
      <c r="P2933" s="7"/>
      <c r="Q2933" s="7"/>
      <c r="R2933" s="7"/>
      <c r="S2933" s="7"/>
      <c r="T2933" s="7"/>
      <c r="U2933" s="7"/>
      <c r="V2933" s="7"/>
      <c r="W2933" s="7"/>
    </row>
    <row r="2934" spans="1:23" x14ac:dyDescent="0.35">
      <c r="A2934" s="257"/>
      <c r="B2934" s="257"/>
      <c r="C2934" s="296"/>
      <c r="D2934" s="263"/>
      <c r="E2934" s="269"/>
      <c r="F2934" s="269"/>
      <c r="G2934" s="282" t="s">
        <v>85</v>
      </c>
      <c r="H2934" s="159" t="s">
        <v>74</v>
      </c>
      <c r="I2934" s="158">
        <f>D2931*K2934</f>
        <v>2623504.6800000002</v>
      </c>
      <c r="J2934" s="158">
        <f>I2934/D2931</f>
        <v>2133</v>
      </c>
      <c r="K2934" s="158">
        <v>2133</v>
      </c>
      <c r="L2934" s="7"/>
      <c r="M2934" s="7"/>
      <c r="N2934" s="7"/>
      <c r="O2934" s="7"/>
      <c r="P2934" s="7"/>
      <c r="Q2934" s="7"/>
      <c r="R2934" s="7"/>
      <c r="S2934" s="7"/>
      <c r="T2934" s="7"/>
      <c r="U2934" s="7"/>
      <c r="V2934" s="7"/>
      <c r="W2934" s="7"/>
    </row>
    <row r="2935" spans="1:23" x14ac:dyDescent="0.35">
      <c r="A2935" s="257"/>
      <c r="B2935" s="257"/>
      <c r="C2935" s="296"/>
      <c r="D2935" s="263"/>
      <c r="E2935" s="269"/>
      <c r="F2935" s="269"/>
      <c r="G2935" s="284"/>
      <c r="H2935" s="159" t="s">
        <v>76</v>
      </c>
      <c r="I2935" s="158">
        <f>D2931*K2935</f>
        <v>56578.16</v>
      </c>
      <c r="J2935" s="158">
        <f>I2935/D2931</f>
        <v>46</v>
      </c>
      <c r="K2935" s="158">
        <v>46</v>
      </c>
      <c r="L2935" s="7"/>
      <c r="M2935" s="7"/>
      <c r="N2935" s="7"/>
      <c r="O2935" s="7"/>
      <c r="P2935" s="7"/>
      <c r="Q2935" s="7"/>
      <c r="R2935" s="7"/>
      <c r="S2935" s="7"/>
      <c r="T2935" s="7"/>
      <c r="U2935" s="7"/>
      <c r="V2935" s="7"/>
      <c r="W2935" s="7"/>
    </row>
    <row r="2936" spans="1:23" x14ac:dyDescent="0.35">
      <c r="A2936" s="257"/>
      <c r="B2936" s="257"/>
      <c r="C2936" s="296"/>
      <c r="D2936" s="263"/>
      <c r="E2936" s="269"/>
      <c r="F2936" s="269"/>
      <c r="G2936" s="256" t="s">
        <v>109</v>
      </c>
      <c r="H2936" s="159" t="s">
        <v>74</v>
      </c>
      <c r="I2936" s="158">
        <f>D2931*K2936</f>
        <v>3447577.88</v>
      </c>
      <c r="J2936" s="158">
        <f>I2936/D2931</f>
        <v>2803</v>
      </c>
      <c r="K2936" s="158">
        <v>2803</v>
      </c>
      <c r="L2936" s="7"/>
      <c r="M2936" s="7"/>
      <c r="N2936" s="7"/>
      <c r="O2936" s="7"/>
      <c r="P2936" s="7"/>
      <c r="Q2936" s="7"/>
      <c r="R2936" s="7"/>
      <c r="S2936" s="7"/>
      <c r="T2936" s="7"/>
      <c r="U2936" s="7"/>
      <c r="V2936" s="7"/>
      <c r="W2936" s="7"/>
    </row>
    <row r="2937" spans="1:23" ht="103.5" customHeight="1" x14ac:dyDescent="0.35">
      <c r="A2937" s="258"/>
      <c r="B2937" s="258"/>
      <c r="C2937" s="297"/>
      <c r="D2937" s="264"/>
      <c r="E2937" s="273"/>
      <c r="F2937" s="273"/>
      <c r="G2937" s="258"/>
      <c r="H2937" s="159" t="s">
        <v>76</v>
      </c>
      <c r="I2937" s="158">
        <f>D2931*K2937</f>
        <v>73797.600000000006</v>
      </c>
      <c r="J2937" s="158">
        <f>I2937/D2931</f>
        <v>60</v>
      </c>
      <c r="K2937" s="158">
        <v>60</v>
      </c>
      <c r="L2937" s="7"/>
      <c r="M2937" s="7"/>
      <c r="N2937" s="7"/>
      <c r="O2937" s="7"/>
      <c r="P2937" s="7"/>
      <c r="Q2937" s="7"/>
      <c r="R2937" s="7"/>
      <c r="S2937" s="7"/>
      <c r="T2937" s="7"/>
      <c r="U2937" s="7"/>
      <c r="V2937" s="7"/>
      <c r="W2937" s="7"/>
    </row>
    <row r="2938" spans="1:23" ht="15.75" customHeight="1" x14ac:dyDescent="0.35">
      <c r="A2938" s="251">
        <f>A2931+1</f>
        <v>52</v>
      </c>
      <c r="B2938" s="251">
        <v>3408</v>
      </c>
      <c r="C2938" s="301" t="s">
        <v>136</v>
      </c>
      <c r="D2938" s="253">
        <v>3143.51</v>
      </c>
      <c r="E2938" s="254" t="s">
        <v>75</v>
      </c>
      <c r="F2938" s="254">
        <v>5</v>
      </c>
      <c r="G2938" s="251" t="s">
        <v>72</v>
      </c>
      <c r="H2938" s="159" t="s">
        <v>73</v>
      </c>
      <c r="I2938" s="158">
        <f>I2939+I2940</f>
        <v>8899276.8100000005</v>
      </c>
      <c r="J2938" s="158">
        <f>J2939+J2940</f>
        <v>2831</v>
      </c>
      <c r="K2938" s="158">
        <f>K2939+K2940</f>
        <v>2831</v>
      </c>
      <c r="L2938" s="7"/>
      <c r="M2938" s="7"/>
      <c r="N2938" s="7"/>
      <c r="O2938" s="7"/>
      <c r="P2938" s="7"/>
      <c r="Q2938" s="7"/>
      <c r="R2938" s="7"/>
      <c r="S2938" s="7"/>
      <c r="T2938" s="7"/>
      <c r="U2938" s="7"/>
      <c r="V2938" s="7"/>
      <c r="W2938" s="7"/>
    </row>
    <row r="2939" spans="1:23" x14ac:dyDescent="0.35">
      <c r="A2939" s="251">
        <v>75</v>
      </c>
      <c r="B2939" s="251"/>
      <c r="C2939" s="301"/>
      <c r="D2939" s="253"/>
      <c r="E2939" s="254"/>
      <c r="F2939" s="254"/>
      <c r="G2939" s="251"/>
      <c r="H2939" s="159" t="s">
        <v>74</v>
      </c>
      <c r="I2939" s="158">
        <f>D2938*K2939</f>
        <v>8713809.7200000007</v>
      </c>
      <c r="J2939" s="158">
        <f>I2939/D2938</f>
        <v>2772</v>
      </c>
      <c r="K2939" s="158">
        <v>2772</v>
      </c>
      <c r="L2939" s="7"/>
      <c r="M2939" s="7"/>
      <c r="N2939" s="7"/>
      <c r="O2939" s="7"/>
      <c r="P2939" s="7"/>
      <c r="Q2939" s="7"/>
      <c r="R2939" s="7"/>
      <c r="S2939" s="7"/>
      <c r="T2939" s="7"/>
      <c r="U2939" s="7"/>
      <c r="V2939" s="7"/>
      <c r="W2939" s="7"/>
    </row>
    <row r="2940" spans="1:23" x14ac:dyDescent="0.35">
      <c r="A2940" s="251">
        <v>76</v>
      </c>
      <c r="B2940" s="251"/>
      <c r="C2940" s="301"/>
      <c r="D2940" s="253"/>
      <c r="E2940" s="254"/>
      <c r="F2940" s="254"/>
      <c r="G2940" s="251"/>
      <c r="H2940" s="159" t="s">
        <v>76</v>
      </c>
      <c r="I2940" s="158">
        <f>D2938*K2940</f>
        <v>185467.09</v>
      </c>
      <c r="J2940" s="158">
        <f>I2940/D2938</f>
        <v>59</v>
      </c>
      <c r="K2940" s="158">
        <v>59</v>
      </c>
      <c r="L2940" s="7"/>
      <c r="M2940" s="7"/>
      <c r="N2940" s="7"/>
      <c r="O2940" s="7"/>
      <c r="P2940" s="7"/>
      <c r="Q2940" s="7"/>
      <c r="R2940" s="7"/>
      <c r="S2940" s="7"/>
      <c r="T2940" s="7"/>
      <c r="U2940" s="7"/>
      <c r="V2940" s="7"/>
      <c r="W2940" s="7"/>
    </row>
    <row r="2941" spans="1:23" ht="15.75" customHeight="1" x14ac:dyDescent="0.35">
      <c r="A2941" s="256">
        <f>A2938+1</f>
        <v>53</v>
      </c>
      <c r="B2941" s="256">
        <v>3416</v>
      </c>
      <c r="C2941" s="295" t="s">
        <v>137</v>
      </c>
      <c r="D2941" s="262">
        <v>887</v>
      </c>
      <c r="E2941" s="268" t="s">
        <v>75</v>
      </c>
      <c r="F2941" s="268">
        <v>3</v>
      </c>
      <c r="G2941" s="256" t="s">
        <v>85</v>
      </c>
      <c r="H2941" s="159" t="s">
        <v>73</v>
      </c>
      <c r="I2941" s="158">
        <f>I2942+I2943</f>
        <v>925141</v>
      </c>
      <c r="J2941" s="158">
        <f>J2942+J2943</f>
        <v>1043</v>
      </c>
      <c r="K2941" s="158">
        <f>K2942+K2943</f>
        <v>1043</v>
      </c>
      <c r="L2941" s="7"/>
      <c r="M2941" s="7"/>
      <c r="N2941" s="7"/>
      <c r="O2941" s="7"/>
      <c r="P2941" s="7"/>
      <c r="Q2941" s="7"/>
      <c r="R2941" s="7"/>
      <c r="S2941" s="7"/>
      <c r="T2941" s="7"/>
      <c r="U2941" s="7"/>
      <c r="V2941" s="7"/>
      <c r="W2941" s="7"/>
    </row>
    <row r="2942" spans="1:23" x14ac:dyDescent="0.35">
      <c r="A2942" s="257"/>
      <c r="B2942" s="257"/>
      <c r="C2942" s="296"/>
      <c r="D2942" s="263"/>
      <c r="E2942" s="269"/>
      <c r="F2942" s="269"/>
      <c r="G2942" s="257"/>
      <c r="H2942" s="159" t="s">
        <v>74</v>
      </c>
      <c r="I2942" s="158">
        <f>D2941*K2942</f>
        <v>905627</v>
      </c>
      <c r="J2942" s="158">
        <f>I2942/D2941</f>
        <v>1021</v>
      </c>
      <c r="K2942" s="158">
        <v>1021</v>
      </c>
      <c r="L2942" s="7"/>
      <c r="M2942" s="7"/>
      <c r="N2942" s="7"/>
      <c r="O2942" s="7"/>
      <c r="P2942" s="7"/>
      <c r="Q2942" s="7"/>
      <c r="R2942" s="7"/>
      <c r="S2942" s="7"/>
      <c r="T2942" s="7"/>
      <c r="U2942" s="7"/>
      <c r="V2942" s="7"/>
      <c r="W2942" s="7"/>
    </row>
    <row r="2943" spans="1:23" x14ac:dyDescent="0.35">
      <c r="A2943" s="257"/>
      <c r="B2943" s="257"/>
      <c r="C2943" s="296"/>
      <c r="D2943" s="263"/>
      <c r="E2943" s="269"/>
      <c r="F2943" s="269"/>
      <c r="G2943" s="258"/>
      <c r="H2943" s="159" t="s">
        <v>76</v>
      </c>
      <c r="I2943" s="158">
        <f>D2941*K2943</f>
        <v>19514</v>
      </c>
      <c r="J2943" s="158">
        <f>I2943/D2941</f>
        <v>22</v>
      </c>
      <c r="K2943" s="158">
        <v>22</v>
      </c>
      <c r="L2943" s="7"/>
      <c r="M2943" s="7"/>
      <c r="N2943" s="7"/>
      <c r="O2943" s="7"/>
      <c r="P2943" s="7"/>
      <c r="Q2943" s="7"/>
      <c r="R2943" s="7"/>
      <c r="S2943" s="7"/>
      <c r="T2943" s="7"/>
      <c r="U2943" s="7"/>
      <c r="V2943" s="7"/>
      <c r="W2943" s="7"/>
    </row>
    <row r="2944" spans="1:23" ht="15.75" customHeight="1" x14ac:dyDescent="0.35">
      <c r="A2944" s="256">
        <f>A2941+1</f>
        <v>54</v>
      </c>
      <c r="B2944" s="256">
        <v>3417</v>
      </c>
      <c r="C2944" s="295" t="s">
        <v>138</v>
      </c>
      <c r="D2944" s="262">
        <v>921.5</v>
      </c>
      <c r="E2944" s="268" t="s">
        <v>75</v>
      </c>
      <c r="F2944" s="268">
        <v>3</v>
      </c>
      <c r="G2944" s="144"/>
      <c r="H2944" s="159" t="s">
        <v>73</v>
      </c>
      <c r="I2944" s="158">
        <f>I2945+I2946+I2947+I2948</f>
        <v>5781491</v>
      </c>
      <c r="J2944" s="158">
        <f>J2945+J2946+J2947+J2948</f>
        <v>6274</v>
      </c>
      <c r="K2944" s="158">
        <f>K2945+K2946+K2947+K2948</f>
        <v>6274</v>
      </c>
      <c r="L2944" s="7"/>
      <c r="M2944" s="7"/>
      <c r="N2944" s="7"/>
      <c r="O2944" s="7"/>
      <c r="P2944" s="7"/>
      <c r="Q2944" s="7"/>
      <c r="R2944" s="7"/>
      <c r="S2944" s="7"/>
      <c r="T2944" s="7"/>
      <c r="U2944" s="7"/>
      <c r="V2944" s="7"/>
      <c r="W2944" s="7"/>
    </row>
    <row r="2945" spans="1:23" x14ac:dyDescent="0.35">
      <c r="A2945" s="257"/>
      <c r="B2945" s="257"/>
      <c r="C2945" s="296"/>
      <c r="D2945" s="263"/>
      <c r="E2945" s="269"/>
      <c r="F2945" s="269"/>
      <c r="G2945" s="256" t="s">
        <v>85</v>
      </c>
      <c r="H2945" s="159" t="s">
        <v>74</v>
      </c>
      <c r="I2945" s="158">
        <f>D2944*K2945</f>
        <v>940851.5</v>
      </c>
      <c r="J2945" s="158">
        <f>I2945/D2944</f>
        <v>1021</v>
      </c>
      <c r="K2945" s="158">
        <v>1021</v>
      </c>
      <c r="L2945" s="7"/>
      <c r="M2945" s="7"/>
      <c r="N2945" s="7"/>
      <c r="O2945" s="7"/>
      <c r="P2945" s="7"/>
      <c r="Q2945" s="7"/>
      <c r="R2945" s="7"/>
      <c r="S2945" s="7"/>
      <c r="T2945" s="7"/>
      <c r="U2945" s="7"/>
      <c r="V2945" s="7"/>
      <c r="W2945" s="7"/>
    </row>
    <row r="2946" spans="1:23" x14ac:dyDescent="0.35">
      <c r="A2946" s="257"/>
      <c r="B2946" s="257"/>
      <c r="C2946" s="296"/>
      <c r="D2946" s="263"/>
      <c r="E2946" s="269"/>
      <c r="F2946" s="269"/>
      <c r="G2946" s="258"/>
      <c r="H2946" s="159" t="s">
        <v>76</v>
      </c>
      <c r="I2946" s="158">
        <f>D2944*K2946</f>
        <v>20273</v>
      </c>
      <c r="J2946" s="158">
        <f>I2946/D2944</f>
        <v>22</v>
      </c>
      <c r="K2946" s="158">
        <v>22</v>
      </c>
      <c r="L2946" s="7"/>
      <c r="M2946" s="7"/>
      <c r="N2946" s="7"/>
      <c r="O2946" s="7"/>
      <c r="P2946" s="7"/>
      <c r="Q2946" s="7"/>
      <c r="R2946" s="7"/>
      <c r="S2946" s="7"/>
      <c r="T2946" s="7"/>
      <c r="U2946" s="7"/>
      <c r="V2946" s="7"/>
      <c r="W2946" s="7"/>
    </row>
    <row r="2947" spans="1:23" x14ac:dyDescent="0.35">
      <c r="A2947" s="257"/>
      <c r="B2947" s="257"/>
      <c r="C2947" s="296"/>
      <c r="D2947" s="263"/>
      <c r="E2947" s="269"/>
      <c r="F2947" s="269"/>
      <c r="G2947" s="256" t="s">
        <v>82</v>
      </c>
      <c r="H2947" s="159" t="s">
        <v>74</v>
      </c>
      <c r="I2947" s="158">
        <f>D2944*K2947</f>
        <v>4719001.5</v>
      </c>
      <c r="J2947" s="158">
        <f>I2947/D2944</f>
        <v>5121</v>
      </c>
      <c r="K2947" s="158">
        <v>5121</v>
      </c>
      <c r="L2947" s="7"/>
      <c r="M2947" s="7"/>
      <c r="N2947" s="7"/>
      <c r="O2947" s="7"/>
      <c r="P2947" s="7"/>
      <c r="Q2947" s="7"/>
      <c r="R2947" s="7"/>
      <c r="S2947" s="7"/>
      <c r="T2947" s="7"/>
      <c r="U2947" s="7"/>
      <c r="V2947" s="7"/>
      <c r="W2947" s="7"/>
    </row>
    <row r="2948" spans="1:23" x14ac:dyDescent="0.35">
      <c r="A2948" s="258"/>
      <c r="B2948" s="258"/>
      <c r="C2948" s="297"/>
      <c r="D2948" s="264"/>
      <c r="E2948" s="273"/>
      <c r="F2948" s="273"/>
      <c r="G2948" s="258"/>
      <c r="H2948" s="159" t="s">
        <v>76</v>
      </c>
      <c r="I2948" s="158">
        <f>D2944*K2948</f>
        <v>101365</v>
      </c>
      <c r="J2948" s="158">
        <f>I2948/D2944</f>
        <v>110</v>
      </c>
      <c r="K2948" s="158">
        <v>110</v>
      </c>
      <c r="L2948" s="7"/>
      <c r="M2948" s="7"/>
      <c r="N2948" s="7"/>
      <c r="O2948" s="7"/>
      <c r="P2948" s="7"/>
      <c r="Q2948" s="7"/>
      <c r="R2948" s="7"/>
      <c r="S2948" s="7"/>
      <c r="T2948" s="7"/>
      <c r="U2948" s="7"/>
      <c r="V2948" s="7"/>
      <c r="W2948" s="7"/>
    </row>
    <row r="2949" spans="1:23" ht="15.75" customHeight="1" x14ac:dyDescent="0.35">
      <c r="A2949" s="251">
        <f>A2944+1</f>
        <v>55</v>
      </c>
      <c r="B2949" s="251">
        <v>2427</v>
      </c>
      <c r="C2949" s="301" t="s">
        <v>139</v>
      </c>
      <c r="D2949" s="253">
        <v>3713.1</v>
      </c>
      <c r="E2949" s="254" t="s">
        <v>75</v>
      </c>
      <c r="F2949" s="254">
        <v>5</v>
      </c>
      <c r="G2949" s="251" t="s">
        <v>72</v>
      </c>
      <c r="H2949" s="159" t="s">
        <v>73</v>
      </c>
      <c r="I2949" s="158">
        <f>I2950+I2951</f>
        <v>10511786.1</v>
      </c>
      <c r="J2949" s="158">
        <f>J2950+J2951</f>
        <v>2831</v>
      </c>
      <c r="K2949" s="158">
        <f>K2950+K2951</f>
        <v>2831</v>
      </c>
      <c r="L2949" s="7"/>
      <c r="M2949" s="7"/>
      <c r="N2949" s="7"/>
      <c r="O2949" s="7"/>
      <c r="P2949" s="7"/>
      <c r="Q2949" s="7"/>
      <c r="R2949" s="7"/>
      <c r="S2949" s="7"/>
      <c r="T2949" s="7"/>
      <c r="U2949" s="7"/>
      <c r="V2949" s="7"/>
      <c r="W2949" s="7"/>
    </row>
    <row r="2950" spans="1:23" x14ac:dyDescent="0.35">
      <c r="A2950" s="251">
        <v>75</v>
      </c>
      <c r="B2950" s="251"/>
      <c r="C2950" s="301"/>
      <c r="D2950" s="253"/>
      <c r="E2950" s="254"/>
      <c r="F2950" s="254"/>
      <c r="G2950" s="251"/>
      <c r="H2950" s="159" t="s">
        <v>74</v>
      </c>
      <c r="I2950" s="158">
        <f>D2949*K2950</f>
        <v>10292713.199999999</v>
      </c>
      <c r="J2950" s="158">
        <f>I2950/D2949</f>
        <v>2772</v>
      </c>
      <c r="K2950" s="158">
        <v>2772</v>
      </c>
      <c r="L2950" s="7"/>
      <c r="M2950" s="7"/>
      <c r="N2950" s="7"/>
      <c r="O2950" s="7"/>
      <c r="P2950" s="7"/>
      <c r="Q2950" s="7"/>
      <c r="R2950" s="7"/>
      <c r="S2950" s="7"/>
      <c r="T2950" s="7"/>
      <c r="U2950" s="7"/>
      <c r="V2950" s="7"/>
      <c r="W2950" s="7"/>
    </row>
    <row r="2951" spans="1:23" x14ac:dyDescent="0.35">
      <c r="A2951" s="251">
        <v>76</v>
      </c>
      <c r="B2951" s="251"/>
      <c r="C2951" s="301"/>
      <c r="D2951" s="253"/>
      <c r="E2951" s="254"/>
      <c r="F2951" s="254"/>
      <c r="G2951" s="251"/>
      <c r="H2951" s="159" t="s">
        <v>76</v>
      </c>
      <c r="I2951" s="158">
        <f>D2949*K2951</f>
        <v>219072.9</v>
      </c>
      <c r="J2951" s="158">
        <f>I2951/D2949</f>
        <v>59</v>
      </c>
      <c r="K2951" s="158">
        <v>59</v>
      </c>
      <c r="L2951" s="7"/>
      <c r="M2951" s="7"/>
      <c r="N2951" s="7"/>
      <c r="O2951" s="7"/>
      <c r="P2951" s="7"/>
      <c r="Q2951" s="7"/>
      <c r="R2951" s="7"/>
      <c r="S2951" s="7"/>
      <c r="T2951" s="7"/>
      <c r="U2951" s="7"/>
      <c r="V2951" s="7"/>
      <c r="W2951" s="7"/>
    </row>
    <row r="2952" spans="1:23" ht="15.75" customHeight="1" x14ac:dyDescent="0.35">
      <c r="A2952" s="251">
        <f>A2949+1</f>
        <v>56</v>
      </c>
      <c r="B2952" s="251">
        <v>8169</v>
      </c>
      <c r="C2952" s="301" t="s">
        <v>610</v>
      </c>
      <c r="D2952" s="253">
        <v>3616.91</v>
      </c>
      <c r="E2952" s="254" t="s">
        <v>75</v>
      </c>
      <c r="F2952" s="254">
        <v>4</v>
      </c>
      <c r="G2952" s="251" t="s">
        <v>72</v>
      </c>
      <c r="H2952" s="159" t="s">
        <v>73</v>
      </c>
      <c r="I2952" s="158">
        <f>I2953+I2954</f>
        <v>17100750.48</v>
      </c>
      <c r="J2952" s="158">
        <f>J2953+J2954</f>
        <v>4728</v>
      </c>
      <c r="K2952" s="158">
        <f>K2953+K2954</f>
        <v>4728</v>
      </c>
      <c r="L2952" s="7"/>
      <c r="M2952" s="7"/>
      <c r="N2952" s="7"/>
      <c r="O2952" s="7"/>
      <c r="P2952" s="7"/>
      <c r="Q2952" s="7"/>
      <c r="R2952" s="7"/>
      <c r="S2952" s="7"/>
      <c r="T2952" s="7"/>
      <c r="U2952" s="7"/>
      <c r="V2952" s="7"/>
      <c r="W2952" s="7"/>
    </row>
    <row r="2953" spans="1:23" x14ac:dyDescent="0.35">
      <c r="A2953" s="251">
        <v>75</v>
      </c>
      <c r="B2953" s="251"/>
      <c r="C2953" s="301"/>
      <c r="D2953" s="253"/>
      <c r="E2953" s="254"/>
      <c r="F2953" s="254"/>
      <c r="G2953" s="251"/>
      <c r="H2953" s="159" t="s">
        <v>74</v>
      </c>
      <c r="I2953" s="158">
        <f>D2952*K2953</f>
        <v>16742676.390000001</v>
      </c>
      <c r="J2953" s="158">
        <f>I2953/D2952</f>
        <v>4629</v>
      </c>
      <c r="K2953" s="158">
        <v>4629</v>
      </c>
      <c r="L2953" s="7"/>
      <c r="M2953" s="7"/>
      <c r="N2953" s="7"/>
      <c r="O2953" s="7"/>
      <c r="P2953" s="7"/>
      <c r="Q2953" s="7"/>
      <c r="R2953" s="7"/>
      <c r="S2953" s="7"/>
      <c r="T2953" s="7"/>
      <c r="U2953" s="7"/>
      <c r="V2953" s="7"/>
      <c r="W2953" s="7"/>
    </row>
    <row r="2954" spans="1:23" x14ac:dyDescent="0.35">
      <c r="A2954" s="251">
        <v>76</v>
      </c>
      <c r="B2954" s="251"/>
      <c r="C2954" s="301"/>
      <c r="D2954" s="253"/>
      <c r="E2954" s="254"/>
      <c r="F2954" s="254"/>
      <c r="G2954" s="251"/>
      <c r="H2954" s="159" t="s">
        <v>76</v>
      </c>
      <c r="I2954" s="158">
        <f>D2952*K2954</f>
        <v>358074.09</v>
      </c>
      <c r="J2954" s="158">
        <f>I2954/D2952</f>
        <v>99</v>
      </c>
      <c r="K2954" s="158">
        <v>99</v>
      </c>
      <c r="L2954" s="7"/>
      <c r="M2954" s="7"/>
      <c r="N2954" s="7"/>
      <c r="O2954" s="7"/>
      <c r="P2954" s="7"/>
      <c r="Q2954" s="7"/>
      <c r="R2954" s="7"/>
      <c r="S2954" s="7"/>
      <c r="T2954" s="7"/>
      <c r="U2954" s="7"/>
      <c r="V2954" s="7"/>
      <c r="W2954" s="7"/>
    </row>
    <row r="2955" spans="1:23" ht="15.75" customHeight="1" x14ac:dyDescent="0.35">
      <c r="A2955" s="256">
        <f>A2952+1</f>
        <v>57</v>
      </c>
      <c r="B2955" s="256">
        <v>2536</v>
      </c>
      <c r="C2955" s="295" t="s">
        <v>140</v>
      </c>
      <c r="D2955" s="262">
        <v>775.9</v>
      </c>
      <c r="E2955" s="268" t="s">
        <v>80</v>
      </c>
      <c r="F2955" s="268">
        <v>3</v>
      </c>
      <c r="G2955" s="256" t="s">
        <v>85</v>
      </c>
      <c r="H2955" s="159" t="s">
        <v>73</v>
      </c>
      <c r="I2955" s="158">
        <f>I2956+I2957</f>
        <v>3875620.5</v>
      </c>
      <c r="J2955" s="158">
        <f>J2956+J2957</f>
        <v>4995</v>
      </c>
      <c r="K2955" s="158">
        <f>K2956+K2957</f>
        <v>4995</v>
      </c>
      <c r="L2955" s="7"/>
      <c r="M2955" s="7"/>
      <c r="N2955" s="7"/>
      <c r="O2955" s="7"/>
      <c r="P2955" s="7"/>
      <c r="Q2955" s="7"/>
      <c r="R2955" s="7"/>
      <c r="S2955" s="7"/>
      <c r="T2955" s="7"/>
      <c r="U2955" s="7"/>
      <c r="V2955" s="7"/>
      <c r="W2955" s="7"/>
    </row>
    <row r="2956" spans="1:23" x14ac:dyDescent="0.35">
      <c r="A2956" s="257"/>
      <c r="B2956" s="257"/>
      <c r="C2956" s="296"/>
      <c r="D2956" s="263"/>
      <c r="E2956" s="269"/>
      <c r="F2956" s="269"/>
      <c r="G2956" s="257"/>
      <c r="H2956" s="159" t="s">
        <v>74</v>
      </c>
      <c r="I2956" s="158">
        <f>D2955*K2956</f>
        <v>3794151</v>
      </c>
      <c r="J2956" s="158">
        <f>I2956/D2955</f>
        <v>4890</v>
      </c>
      <c r="K2956" s="158">
        <v>4890</v>
      </c>
      <c r="L2956" s="7"/>
      <c r="M2956" s="7"/>
      <c r="N2956" s="7"/>
      <c r="O2956" s="7"/>
      <c r="P2956" s="7"/>
      <c r="Q2956" s="7"/>
      <c r="R2956" s="7"/>
      <c r="S2956" s="7"/>
      <c r="T2956" s="7"/>
      <c r="U2956" s="7"/>
      <c r="V2956" s="7"/>
      <c r="W2956" s="7"/>
    </row>
    <row r="2957" spans="1:23" x14ac:dyDescent="0.35">
      <c r="A2957" s="257"/>
      <c r="B2957" s="257"/>
      <c r="C2957" s="296"/>
      <c r="D2957" s="263"/>
      <c r="E2957" s="269"/>
      <c r="F2957" s="269"/>
      <c r="G2957" s="258"/>
      <c r="H2957" s="159" t="s">
        <v>76</v>
      </c>
      <c r="I2957" s="158">
        <f>D2955*K2957</f>
        <v>81469.5</v>
      </c>
      <c r="J2957" s="158">
        <f>I2957/D2955</f>
        <v>105</v>
      </c>
      <c r="K2957" s="158">
        <v>105</v>
      </c>
      <c r="L2957" s="7"/>
      <c r="M2957" s="7"/>
      <c r="N2957" s="7"/>
      <c r="O2957" s="7"/>
      <c r="P2957" s="7"/>
      <c r="Q2957" s="7"/>
      <c r="R2957" s="7"/>
      <c r="S2957" s="7"/>
      <c r="T2957" s="7"/>
      <c r="U2957" s="7"/>
      <c r="V2957" s="7"/>
      <c r="W2957" s="7"/>
    </row>
    <row r="2958" spans="1:23" ht="15.75" customHeight="1" x14ac:dyDescent="0.35">
      <c r="A2958" s="251">
        <f>A2955+1</f>
        <v>58</v>
      </c>
      <c r="B2958" s="251">
        <v>2409</v>
      </c>
      <c r="C2958" s="301" t="s">
        <v>141</v>
      </c>
      <c r="D2958" s="253">
        <v>2414.56</v>
      </c>
      <c r="E2958" s="254" t="s">
        <v>75</v>
      </c>
      <c r="F2958" s="254">
        <v>5</v>
      </c>
      <c r="G2958" s="251" t="s">
        <v>72</v>
      </c>
      <c r="H2958" s="159" t="s">
        <v>73</v>
      </c>
      <c r="I2958" s="158">
        <f>I2959+I2960</f>
        <v>6835619.3600000003</v>
      </c>
      <c r="J2958" s="158">
        <f>J2959+J2960</f>
        <v>2831</v>
      </c>
      <c r="K2958" s="158">
        <f>K2959+K2960</f>
        <v>2831</v>
      </c>
      <c r="L2958" s="7"/>
      <c r="M2958" s="7"/>
      <c r="N2958" s="7"/>
      <c r="O2958" s="7"/>
      <c r="P2958" s="7"/>
      <c r="Q2958" s="7"/>
      <c r="R2958" s="7"/>
      <c r="S2958" s="7"/>
      <c r="T2958" s="7"/>
      <c r="U2958" s="7"/>
      <c r="V2958" s="7"/>
      <c r="W2958" s="7"/>
    </row>
    <row r="2959" spans="1:23" x14ac:dyDescent="0.35">
      <c r="A2959" s="251">
        <v>75</v>
      </c>
      <c r="B2959" s="251"/>
      <c r="C2959" s="301"/>
      <c r="D2959" s="253"/>
      <c r="E2959" s="254"/>
      <c r="F2959" s="254"/>
      <c r="G2959" s="251"/>
      <c r="H2959" s="159" t="s">
        <v>74</v>
      </c>
      <c r="I2959" s="158">
        <f>D2958*K2959</f>
        <v>6693160.3200000003</v>
      </c>
      <c r="J2959" s="158">
        <f>I2959/D2958</f>
        <v>2772</v>
      </c>
      <c r="K2959" s="158">
        <v>2772</v>
      </c>
      <c r="L2959" s="7"/>
      <c r="M2959" s="7"/>
      <c r="N2959" s="7"/>
      <c r="O2959" s="7"/>
      <c r="P2959" s="7"/>
      <c r="Q2959" s="7"/>
      <c r="R2959" s="7"/>
      <c r="S2959" s="7"/>
      <c r="T2959" s="7"/>
      <c r="U2959" s="7"/>
      <c r="V2959" s="7"/>
      <c r="W2959" s="7"/>
    </row>
    <row r="2960" spans="1:23" x14ac:dyDescent="0.35">
      <c r="A2960" s="251">
        <v>76</v>
      </c>
      <c r="B2960" s="251"/>
      <c r="C2960" s="301"/>
      <c r="D2960" s="253"/>
      <c r="E2960" s="254"/>
      <c r="F2960" s="254"/>
      <c r="G2960" s="251"/>
      <c r="H2960" s="159" t="s">
        <v>76</v>
      </c>
      <c r="I2960" s="158">
        <f>D2958*K2960</f>
        <v>142459.04</v>
      </c>
      <c r="J2960" s="158">
        <f>I2960/D2958</f>
        <v>59</v>
      </c>
      <c r="K2960" s="158">
        <v>59</v>
      </c>
      <c r="L2960" s="7"/>
      <c r="M2960" s="7"/>
      <c r="N2960" s="7"/>
      <c r="O2960" s="7"/>
      <c r="P2960" s="7"/>
      <c r="Q2960" s="7"/>
      <c r="R2960" s="7"/>
      <c r="S2960" s="7"/>
      <c r="T2960" s="7"/>
      <c r="U2960" s="7"/>
      <c r="V2960" s="7"/>
      <c r="W2960" s="7"/>
    </row>
    <row r="2961" spans="1:23" ht="15.75" customHeight="1" x14ac:dyDescent="0.35">
      <c r="A2961" s="251">
        <f>A2958+1</f>
        <v>59</v>
      </c>
      <c r="B2961" s="256">
        <v>2235</v>
      </c>
      <c r="C2961" s="259" t="s">
        <v>142</v>
      </c>
      <c r="D2961" s="262">
        <v>3471.8</v>
      </c>
      <c r="E2961" s="268" t="s">
        <v>75</v>
      </c>
      <c r="F2961" s="268">
        <v>10</v>
      </c>
      <c r="G2961" s="256" t="s">
        <v>72</v>
      </c>
      <c r="H2961" s="159" t="s">
        <v>73</v>
      </c>
      <c r="I2961" s="158">
        <f>I2962+I2963</f>
        <v>5291023.2</v>
      </c>
      <c r="J2961" s="158">
        <f>J2962+J2963</f>
        <v>1524</v>
      </c>
      <c r="K2961" s="158">
        <f>K2962+K2963</f>
        <v>1524</v>
      </c>
      <c r="L2961" s="7"/>
      <c r="M2961" s="7"/>
      <c r="N2961" s="7"/>
      <c r="O2961" s="7"/>
      <c r="P2961" s="7"/>
      <c r="Q2961" s="7"/>
      <c r="R2961" s="7"/>
      <c r="S2961" s="7"/>
      <c r="T2961" s="7"/>
      <c r="U2961" s="7"/>
      <c r="V2961" s="7"/>
      <c r="W2961" s="7"/>
    </row>
    <row r="2962" spans="1:23" x14ac:dyDescent="0.35">
      <c r="A2962" s="257"/>
      <c r="B2962" s="257"/>
      <c r="C2962" s="260"/>
      <c r="D2962" s="263"/>
      <c r="E2962" s="269"/>
      <c r="F2962" s="269"/>
      <c r="G2962" s="257"/>
      <c r="H2962" s="159" t="s">
        <v>74</v>
      </c>
      <c r="I2962" s="158">
        <f>D2961*K2962</f>
        <v>5179925.5999999996</v>
      </c>
      <c r="J2962" s="158">
        <f>I2962/D2961</f>
        <v>1492</v>
      </c>
      <c r="K2962" s="158">
        <v>1492</v>
      </c>
      <c r="L2962" s="7"/>
      <c r="M2962" s="7"/>
      <c r="N2962" s="7"/>
      <c r="O2962" s="7"/>
      <c r="P2962" s="7"/>
      <c r="Q2962" s="7"/>
      <c r="R2962" s="7"/>
      <c r="S2962" s="7"/>
      <c r="T2962" s="7"/>
      <c r="U2962" s="7"/>
      <c r="V2962" s="7"/>
      <c r="W2962" s="7"/>
    </row>
    <row r="2963" spans="1:23" x14ac:dyDescent="0.35">
      <c r="A2963" s="258"/>
      <c r="B2963" s="258"/>
      <c r="C2963" s="261"/>
      <c r="D2963" s="264"/>
      <c r="E2963" s="273"/>
      <c r="F2963" s="273"/>
      <c r="G2963" s="258"/>
      <c r="H2963" s="159" t="s">
        <v>76</v>
      </c>
      <c r="I2963" s="158">
        <f>D2961*K2963</f>
        <v>111097.60000000001</v>
      </c>
      <c r="J2963" s="158">
        <f>I2963/D2961</f>
        <v>32</v>
      </c>
      <c r="K2963" s="158">
        <v>32</v>
      </c>
      <c r="L2963" s="7"/>
      <c r="M2963" s="7"/>
      <c r="N2963" s="7"/>
      <c r="O2963" s="7"/>
      <c r="P2963" s="7"/>
      <c r="Q2963" s="7"/>
      <c r="R2963" s="7"/>
      <c r="S2963" s="7"/>
      <c r="T2963" s="7"/>
      <c r="U2963" s="7"/>
      <c r="V2963" s="7"/>
      <c r="W2963" s="7"/>
    </row>
    <row r="2964" spans="1:23" ht="15.75" customHeight="1" x14ac:dyDescent="0.35">
      <c r="A2964" s="251">
        <f>A2961+1</f>
        <v>60</v>
      </c>
      <c r="B2964" s="251">
        <v>2411</v>
      </c>
      <c r="C2964" s="301" t="s">
        <v>143</v>
      </c>
      <c r="D2964" s="253">
        <v>812.8</v>
      </c>
      <c r="E2964" s="254" t="s">
        <v>75</v>
      </c>
      <c r="F2964" s="254">
        <v>3</v>
      </c>
      <c r="G2964" s="251" t="s">
        <v>72</v>
      </c>
      <c r="H2964" s="159" t="s">
        <v>73</v>
      </c>
      <c r="I2964" s="158">
        <f>I2965+I2966</f>
        <v>3842918.3999999999</v>
      </c>
      <c r="J2964" s="158">
        <f>J2965+J2966</f>
        <v>4728</v>
      </c>
      <c r="K2964" s="158">
        <f>K2965+K2966</f>
        <v>4728</v>
      </c>
      <c r="L2964" s="7"/>
      <c r="M2964" s="7"/>
      <c r="N2964" s="7"/>
      <c r="O2964" s="7"/>
      <c r="P2964" s="7"/>
      <c r="Q2964" s="7"/>
      <c r="R2964" s="7"/>
      <c r="S2964" s="7"/>
      <c r="T2964" s="7"/>
      <c r="U2964" s="7"/>
      <c r="V2964" s="7"/>
      <c r="W2964" s="7"/>
    </row>
    <row r="2965" spans="1:23" x14ac:dyDescent="0.35">
      <c r="A2965" s="251">
        <v>75</v>
      </c>
      <c r="B2965" s="251"/>
      <c r="C2965" s="301"/>
      <c r="D2965" s="253"/>
      <c r="E2965" s="254"/>
      <c r="F2965" s="254"/>
      <c r="G2965" s="251"/>
      <c r="H2965" s="159" t="s">
        <v>74</v>
      </c>
      <c r="I2965" s="158">
        <f>D2964*K2965</f>
        <v>3762451.2</v>
      </c>
      <c r="J2965" s="158">
        <f>I2965/D2964</f>
        <v>4629</v>
      </c>
      <c r="K2965" s="158">
        <v>4629</v>
      </c>
      <c r="L2965" s="7"/>
      <c r="M2965" s="7"/>
      <c r="N2965" s="7"/>
      <c r="O2965" s="7"/>
      <c r="P2965" s="7"/>
      <c r="Q2965" s="7"/>
      <c r="R2965" s="7"/>
      <c r="S2965" s="7"/>
      <c r="T2965" s="7"/>
      <c r="U2965" s="7"/>
      <c r="V2965" s="7"/>
      <c r="W2965" s="7"/>
    </row>
    <row r="2966" spans="1:23" x14ac:dyDescent="0.35">
      <c r="A2966" s="251">
        <v>76</v>
      </c>
      <c r="B2966" s="251"/>
      <c r="C2966" s="301"/>
      <c r="D2966" s="253"/>
      <c r="E2966" s="254"/>
      <c r="F2966" s="254"/>
      <c r="G2966" s="251"/>
      <c r="H2966" s="159" t="s">
        <v>76</v>
      </c>
      <c r="I2966" s="158">
        <f>D2964*K2966</f>
        <v>80467.199999999997</v>
      </c>
      <c r="J2966" s="158">
        <f>I2966/D2964</f>
        <v>99</v>
      </c>
      <c r="K2966" s="158">
        <v>99</v>
      </c>
      <c r="L2966" s="7"/>
      <c r="M2966" s="7"/>
      <c r="N2966" s="7"/>
      <c r="O2966" s="7"/>
      <c r="P2966" s="7"/>
      <c r="Q2966" s="7"/>
      <c r="R2966" s="7"/>
      <c r="S2966" s="7"/>
      <c r="T2966" s="7"/>
      <c r="U2966" s="7"/>
      <c r="V2966" s="7"/>
      <c r="W2966" s="7"/>
    </row>
    <row r="2967" spans="1:23" ht="15.75" customHeight="1" x14ac:dyDescent="0.35">
      <c r="A2967" s="256">
        <f>A2964+1</f>
        <v>61</v>
      </c>
      <c r="B2967" s="256">
        <v>2570</v>
      </c>
      <c r="C2967" s="295" t="s">
        <v>144</v>
      </c>
      <c r="D2967" s="262">
        <v>628.4</v>
      </c>
      <c r="E2967" s="268" t="s">
        <v>75</v>
      </c>
      <c r="F2967" s="268">
        <v>3</v>
      </c>
      <c r="G2967" s="256" t="s">
        <v>85</v>
      </c>
      <c r="H2967" s="159" t="s">
        <v>73</v>
      </c>
      <c r="I2967" s="158">
        <f>I2968+I2969</f>
        <v>655421.19999999995</v>
      </c>
      <c r="J2967" s="158">
        <f>J2968+J2969</f>
        <v>1043</v>
      </c>
      <c r="K2967" s="158">
        <f>K2968+K2969</f>
        <v>1043</v>
      </c>
      <c r="L2967" s="7"/>
      <c r="M2967" s="7"/>
      <c r="N2967" s="7"/>
      <c r="O2967" s="7"/>
      <c r="P2967" s="7"/>
      <c r="Q2967" s="7"/>
      <c r="R2967" s="7"/>
      <c r="S2967" s="7"/>
      <c r="T2967" s="7"/>
      <c r="U2967" s="7"/>
      <c r="V2967" s="7"/>
      <c r="W2967" s="7"/>
    </row>
    <row r="2968" spans="1:23" x14ac:dyDescent="0.35">
      <c r="A2968" s="257"/>
      <c r="B2968" s="257"/>
      <c r="C2968" s="296"/>
      <c r="D2968" s="263"/>
      <c r="E2968" s="269"/>
      <c r="F2968" s="269"/>
      <c r="G2968" s="257"/>
      <c r="H2968" s="159" t="s">
        <v>74</v>
      </c>
      <c r="I2968" s="158">
        <f>D2967*K2968</f>
        <v>641596.4</v>
      </c>
      <c r="J2968" s="158">
        <f>I2968/D2967</f>
        <v>1021</v>
      </c>
      <c r="K2968" s="158">
        <v>1021</v>
      </c>
      <c r="L2968" s="7"/>
      <c r="M2968" s="7"/>
      <c r="N2968" s="7"/>
      <c r="O2968" s="7"/>
      <c r="P2968" s="7"/>
      <c r="Q2968" s="7"/>
      <c r="R2968" s="7"/>
      <c r="S2968" s="7"/>
      <c r="T2968" s="7"/>
      <c r="U2968" s="7"/>
      <c r="V2968" s="7"/>
      <c r="W2968" s="7"/>
    </row>
    <row r="2969" spans="1:23" x14ac:dyDescent="0.35">
      <c r="A2969" s="257"/>
      <c r="B2969" s="257"/>
      <c r="C2969" s="296"/>
      <c r="D2969" s="263"/>
      <c r="E2969" s="269"/>
      <c r="F2969" s="269"/>
      <c r="G2969" s="258"/>
      <c r="H2969" s="159" t="s">
        <v>76</v>
      </c>
      <c r="I2969" s="158">
        <f>D2967*K2969</f>
        <v>13824.8</v>
      </c>
      <c r="J2969" s="158">
        <f>I2969/D2967</f>
        <v>22</v>
      </c>
      <c r="K2969" s="158">
        <v>22</v>
      </c>
      <c r="L2969" s="7"/>
      <c r="M2969" s="7"/>
      <c r="N2969" s="7"/>
      <c r="O2969" s="7"/>
      <c r="P2969" s="7"/>
      <c r="Q2969" s="7"/>
      <c r="R2969" s="7"/>
      <c r="S2969" s="7"/>
      <c r="T2969" s="7"/>
      <c r="U2969" s="7"/>
      <c r="V2969" s="7"/>
      <c r="W2969" s="7"/>
    </row>
    <row r="2970" spans="1:23" ht="15.75" customHeight="1" x14ac:dyDescent="0.35">
      <c r="A2970" s="251">
        <f>A2967+1</f>
        <v>62</v>
      </c>
      <c r="B2970" s="251">
        <v>2412</v>
      </c>
      <c r="C2970" s="301" t="s">
        <v>145</v>
      </c>
      <c r="D2970" s="253">
        <v>1324.2</v>
      </c>
      <c r="E2970" s="254" t="s">
        <v>75</v>
      </c>
      <c r="F2970" s="254">
        <v>5</v>
      </c>
      <c r="G2970" s="251" t="s">
        <v>72</v>
      </c>
      <c r="H2970" s="159" t="s">
        <v>73</v>
      </c>
      <c r="I2970" s="158">
        <f>I2971+I2972</f>
        <v>3748810.2</v>
      </c>
      <c r="J2970" s="158">
        <f>J2971+J2972</f>
        <v>2831</v>
      </c>
      <c r="K2970" s="158">
        <f>K2971+K2972</f>
        <v>2831</v>
      </c>
      <c r="L2970" s="7"/>
      <c r="M2970" s="7"/>
      <c r="N2970" s="7"/>
      <c r="O2970" s="7"/>
      <c r="P2970" s="7"/>
      <c r="Q2970" s="7"/>
      <c r="R2970" s="7"/>
      <c r="S2970" s="7"/>
      <c r="T2970" s="7"/>
      <c r="U2970" s="7"/>
      <c r="V2970" s="7"/>
      <c r="W2970" s="7"/>
    </row>
    <row r="2971" spans="1:23" x14ac:dyDescent="0.35">
      <c r="A2971" s="251">
        <v>75</v>
      </c>
      <c r="B2971" s="251"/>
      <c r="C2971" s="301"/>
      <c r="D2971" s="253"/>
      <c r="E2971" s="254"/>
      <c r="F2971" s="254"/>
      <c r="G2971" s="251"/>
      <c r="H2971" s="159" t="s">
        <v>74</v>
      </c>
      <c r="I2971" s="158">
        <f>D2970*K2971</f>
        <v>3670682.4</v>
      </c>
      <c r="J2971" s="158">
        <f>I2971/D2970</f>
        <v>2772</v>
      </c>
      <c r="K2971" s="158">
        <v>2772</v>
      </c>
      <c r="L2971" s="7"/>
      <c r="M2971" s="7"/>
      <c r="N2971" s="7"/>
      <c r="O2971" s="7"/>
      <c r="P2971" s="7"/>
      <c r="Q2971" s="7"/>
      <c r="R2971" s="7"/>
      <c r="S2971" s="7"/>
      <c r="T2971" s="7"/>
      <c r="U2971" s="7"/>
      <c r="V2971" s="7"/>
      <c r="W2971" s="7"/>
    </row>
    <row r="2972" spans="1:23" x14ac:dyDescent="0.35">
      <c r="A2972" s="251">
        <v>76</v>
      </c>
      <c r="B2972" s="251"/>
      <c r="C2972" s="301"/>
      <c r="D2972" s="253"/>
      <c r="E2972" s="254"/>
      <c r="F2972" s="254"/>
      <c r="G2972" s="251"/>
      <c r="H2972" s="159" t="s">
        <v>76</v>
      </c>
      <c r="I2972" s="158">
        <f>D2970*K2972</f>
        <v>78127.8</v>
      </c>
      <c r="J2972" s="158">
        <f>I2972/D2970</f>
        <v>59</v>
      </c>
      <c r="K2972" s="158">
        <v>59</v>
      </c>
      <c r="L2972" s="7"/>
      <c r="M2972" s="7"/>
      <c r="N2972" s="7"/>
      <c r="O2972" s="7"/>
      <c r="P2972" s="7"/>
      <c r="Q2972" s="7"/>
      <c r="R2972" s="7"/>
      <c r="S2972" s="7"/>
      <c r="T2972" s="7"/>
      <c r="U2972" s="7"/>
      <c r="V2972" s="7"/>
      <c r="W2972" s="7"/>
    </row>
    <row r="2973" spans="1:23" ht="15.75" customHeight="1" x14ac:dyDescent="0.35">
      <c r="A2973" s="251">
        <f>A2970+1</f>
        <v>63</v>
      </c>
      <c r="B2973" s="251">
        <v>2416</v>
      </c>
      <c r="C2973" s="301" t="s">
        <v>146</v>
      </c>
      <c r="D2973" s="253">
        <v>2375.6</v>
      </c>
      <c r="E2973" s="254" t="s">
        <v>75</v>
      </c>
      <c r="F2973" s="254">
        <v>5</v>
      </c>
      <c r="G2973" s="251" t="s">
        <v>72</v>
      </c>
      <c r="H2973" s="159" t="s">
        <v>73</v>
      </c>
      <c r="I2973" s="158">
        <f>I2974+I2975</f>
        <v>6725323.5999999996</v>
      </c>
      <c r="J2973" s="158">
        <f>J2974+J2975</f>
        <v>2831</v>
      </c>
      <c r="K2973" s="158">
        <f>K2974+K2975</f>
        <v>2831</v>
      </c>
      <c r="L2973" s="7"/>
      <c r="M2973" s="7"/>
      <c r="N2973" s="7"/>
      <c r="O2973" s="7"/>
      <c r="P2973" s="7"/>
      <c r="Q2973" s="7"/>
      <c r="R2973" s="7"/>
      <c r="S2973" s="7"/>
      <c r="T2973" s="7"/>
      <c r="U2973" s="7"/>
      <c r="V2973" s="7"/>
      <c r="W2973" s="7"/>
    </row>
    <row r="2974" spans="1:23" x14ac:dyDescent="0.35">
      <c r="A2974" s="251">
        <v>75</v>
      </c>
      <c r="B2974" s="251"/>
      <c r="C2974" s="301"/>
      <c r="D2974" s="253"/>
      <c r="E2974" s="254"/>
      <c r="F2974" s="254"/>
      <c r="G2974" s="251"/>
      <c r="H2974" s="159" t="s">
        <v>74</v>
      </c>
      <c r="I2974" s="158">
        <f>D2973*K2974</f>
        <v>6585163.2000000002</v>
      </c>
      <c r="J2974" s="158">
        <f>I2974/D2973</f>
        <v>2772</v>
      </c>
      <c r="K2974" s="158">
        <v>2772</v>
      </c>
      <c r="L2974" s="7"/>
      <c r="M2974" s="7"/>
      <c r="N2974" s="7"/>
      <c r="O2974" s="7"/>
      <c r="P2974" s="7"/>
      <c r="Q2974" s="7"/>
      <c r="R2974" s="7"/>
      <c r="S2974" s="7"/>
      <c r="T2974" s="7"/>
      <c r="U2974" s="7"/>
      <c r="V2974" s="7"/>
      <c r="W2974" s="7"/>
    </row>
    <row r="2975" spans="1:23" x14ac:dyDescent="0.35">
      <c r="A2975" s="251">
        <v>76</v>
      </c>
      <c r="B2975" s="251"/>
      <c r="C2975" s="301"/>
      <c r="D2975" s="253"/>
      <c r="E2975" s="254"/>
      <c r="F2975" s="254"/>
      <c r="G2975" s="251"/>
      <c r="H2975" s="159" t="s">
        <v>76</v>
      </c>
      <c r="I2975" s="158">
        <f>D2973*K2975</f>
        <v>140160.4</v>
      </c>
      <c r="J2975" s="158">
        <f>I2975/D2973</f>
        <v>59</v>
      </c>
      <c r="K2975" s="158">
        <v>59</v>
      </c>
      <c r="L2975" s="7"/>
      <c r="M2975" s="7"/>
      <c r="N2975" s="7"/>
      <c r="O2975" s="7"/>
      <c r="P2975" s="7"/>
      <c r="Q2975" s="7"/>
      <c r="R2975" s="7"/>
      <c r="S2975" s="7"/>
      <c r="T2975" s="7"/>
      <c r="U2975" s="7"/>
      <c r="V2975" s="7"/>
      <c r="W2975" s="7"/>
    </row>
    <row r="2976" spans="1:23" ht="15.75" customHeight="1" x14ac:dyDescent="0.35">
      <c r="A2976" s="256">
        <f>A2973+1</f>
        <v>64</v>
      </c>
      <c r="B2976" s="256">
        <v>2432</v>
      </c>
      <c r="C2976" s="295" t="s">
        <v>147</v>
      </c>
      <c r="D2976" s="262">
        <v>1229.0999999999999</v>
      </c>
      <c r="E2976" s="268" t="s">
        <v>75</v>
      </c>
      <c r="F2976" s="268">
        <v>4</v>
      </c>
      <c r="G2976" s="256" t="s">
        <v>85</v>
      </c>
      <c r="H2976" s="159" t="s">
        <v>73</v>
      </c>
      <c r="I2976" s="158">
        <f>I2977+I2978</f>
        <v>1281951.3</v>
      </c>
      <c r="J2976" s="158">
        <f>J2977+J2978</f>
        <v>1043</v>
      </c>
      <c r="K2976" s="158">
        <f>K2977+K2978</f>
        <v>1043</v>
      </c>
      <c r="L2976" s="7"/>
      <c r="M2976" s="7"/>
      <c r="N2976" s="7"/>
      <c r="O2976" s="7"/>
      <c r="P2976" s="7"/>
      <c r="Q2976" s="7"/>
      <c r="R2976" s="7"/>
      <c r="S2976" s="7"/>
      <c r="T2976" s="7"/>
      <c r="U2976" s="7"/>
      <c r="V2976" s="7"/>
      <c r="W2976" s="7"/>
    </row>
    <row r="2977" spans="1:23" x14ac:dyDescent="0.35">
      <c r="A2977" s="257"/>
      <c r="B2977" s="257"/>
      <c r="C2977" s="296"/>
      <c r="D2977" s="263"/>
      <c r="E2977" s="269"/>
      <c r="F2977" s="269"/>
      <c r="G2977" s="257"/>
      <c r="H2977" s="159" t="s">
        <v>74</v>
      </c>
      <c r="I2977" s="158">
        <f>D2976*K2977</f>
        <v>1254911.1000000001</v>
      </c>
      <c r="J2977" s="158">
        <f>I2977/D2976</f>
        <v>1021</v>
      </c>
      <c r="K2977" s="158">
        <v>1021</v>
      </c>
      <c r="L2977" s="7"/>
      <c r="M2977" s="7"/>
      <c r="N2977" s="7"/>
      <c r="O2977" s="7"/>
      <c r="P2977" s="7"/>
      <c r="Q2977" s="7"/>
      <c r="R2977" s="7"/>
      <c r="S2977" s="7"/>
      <c r="T2977" s="7"/>
      <c r="U2977" s="7"/>
      <c r="V2977" s="7"/>
      <c r="W2977" s="7"/>
    </row>
    <row r="2978" spans="1:23" x14ac:dyDescent="0.35">
      <c r="A2978" s="257"/>
      <c r="B2978" s="257"/>
      <c r="C2978" s="296"/>
      <c r="D2978" s="263"/>
      <c r="E2978" s="269"/>
      <c r="F2978" s="269"/>
      <c r="G2978" s="258"/>
      <c r="H2978" s="159" t="s">
        <v>76</v>
      </c>
      <c r="I2978" s="158">
        <f>D2976*K2978</f>
        <v>27040.2</v>
      </c>
      <c r="J2978" s="158">
        <f>I2978/D2976</f>
        <v>22</v>
      </c>
      <c r="K2978" s="158">
        <v>22</v>
      </c>
      <c r="L2978" s="7"/>
      <c r="M2978" s="7"/>
      <c r="N2978" s="7"/>
      <c r="O2978" s="7"/>
      <c r="P2978" s="7"/>
      <c r="Q2978" s="7"/>
      <c r="R2978" s="7"/>
      <c r="S2978" s="7"/>
      <c r="T2978" s="7"/>
      <c r="U2978" s="7"/>
      <c r="V2978" s="7"/>
      <c r="W2978" s="7"/>
    </row>
    <row r="2979" spans="1:23" ht="15.75" customHeight="1" x14ac:dyDescent="0.35">
      <c r="A2979" s="251">
        <f>A2976+1</f>
        <v>65</v>
      </c>
      <c r="B2979" s="251">
        <v>2434</v>
      </c>
      <c r="C2979" s="301" t="s">
        <v>148</v>
      </c>
      <c r="D2979" s="253">
        <v>3278.05</v>
      </c>
      <c r="E2979" s="254" t="s">
        <v>71</v>
      </c>
      <c r="F2979" s="254">
        <v>5</v>
      </c>
      <c r="G2979" s="251" t="s">
        <v>72</v>
      </c>
      <c r="H2979" s="159" t="s">
        <v>73</v>
      </c>
      <c r="I2979" s="158">
        <f>I2980+I2981</f>
        <v>11305994.449999999</v>
      </c>
      <c r="J2979" s="158">
        <f>J2980+J2981</f>
        <v>3449</v>
      </c>
      <c r="K2979" s="158">
        <f>K2980+K2981</f>
        <v>3449</v>
      </c>
      <c r="L2979" s="7"/>
      <c r="M2979" s="7"/>
      <c r="N2979" s="7"/>
      <c r="O2979" s="7"/>
      <c r="P2979" s="7"/>
      <c r="Q2979" s="7"/>
      <c r="R2979" s="7"/>
      <c r="S2979" s="7"/>
      <c r="T2979" s="7"/>
      <c r="U2979" s="7"/>
      <c r="V2979" s="7"/>
      <c r="W2979" s="7"/>
    </row>
    <row r="2980" spans="1:23" ht="31" x14ac:dyDescent="0.35">
      <c r="A2980" s="251">
        <v>75</v>
      </c>
      <c r="B2980" s="251"/>
      <c r="C2980" s="301"/>
      <c r="D2980" s="253"/>
      <c r="E2980" s="254"/>
      <c r="F2980" s="254"/>
      <c r="G2980" s="251"/>
      <c r="H2980" s="159" t="s">
        <v>86</v>
      </c>
      <c r="I2980" s="158">
        <f>D2979*K2980</f>
        <v>11069974.85</v>
      </c>
      <c r="J2980" s="158">
        <f>I2980/D2979</f>
        <v>3377</v>
      </c>
      <c r="K2980" s="158">
        <v>3377</v>
      </c>
      <c r="L2980" s="7"/>
      <c r="M2980" s="7"/>
      <c r="N2980" s="7"/>
      <c r="O2980" s="7"/>
      <c r="P2980" s="7"/>
      <c r="Q2980" s="7"/>
      <c r="R2980" s="7"/>
      <c r="S2980" s="7"/>
      <c r="T2980" s="7"/>
      <c r="U2980" s="7"/>
      <c r="V2980" s="7"/>
      <c r="W2980" s="7"/>
    </row>
    <row r="2981" spans="1:23" x14ac:dyDescent="0.35">
      <c r="A2981" s="251">
        <v>76</v>
      </c>
      <c r="B2981" s="251"/>
      <c r="C2981" s="301"/>
      <c r="D2981" s="253"/>
      <c r="E2981" s="254"/>
      <c r="F2981" s="254"/>
      <c r="G2981" s="251"/>
      <c r="H2981" s="159" t="s">
        <v>76</v>
      </c>
      <c r="I2981" s="158">
        <f>D2979*K2981</f>
        <v>236019.6</v>
      </c>
      <c r="J2981" s="158">
        <f>I2981/D2979</f>
        <v>72</v>
      </c>
      <c r="K2981" s="158">
        <v>72</v>
      </c>
      <c r="L2981" s="7"/>
      <c r="M2981" s="7"/>
      <c r="N2981" s="7"/>
      <c r="O2981" s="7"/>
      <c r="P2981" s="7"/>
      <c r="Q2981" s="7"/>
      <c r="R2981" s="7"/>
      <c r="S2981" s="7"/>
      <c r="T2981" s="7"/>
      <c r="U2981" s="7"/>
      <c r="V2981" s="7"/>
      <c r="W2981" s="7"/>
    </row>
    <row r="2982" spans="1:23" ht="15.75" customHeight="1" x14ac:dyDescent="0.35">
      <c r="A2982" s="256">
        <f>A2979+1</f>
        <v>66</v>
      </c>
      <c r="B2982" s="256">
        <v>2967</v>
      </c>
      <c r="C2982" s="259" t="s">
        <v>701</v>
      </c>
      <c r="D2982" s="262">
        <v>3510.7</v>
      </c>
      <c r="E2982" s="268" t="s">
        <v>71</v>
      </c>
      <c r="F2982" s="268">
        <v>5</v>
      </c>
      <c r="G2982" s="149"/>
      <c r="H2982" s="159" t="s">
        <v>73</v>
      </c>
      <c r="I2982" s="158">
        <f>I2983+I2984</f>
        <v>417071.16</v>
      </c>
      <c r="J2982" s="158">
        <f>J2983+J2984</f>
        <v>118.8</v>
      </c>
      <c r="K2982" s="158">
        <f>K2983+K2984</f>
        <v>168</v>
      </c>
      <c r="L2982" s="7"/>
      <c r="M2982" s="7"/>
      <c r="N2982" s="7"/>
      <c r="O2982" s="7"/>
      <c r="P2982" s="7"/>
      <c r="Q2982" s="7"/>
      <c r="R2982" s="7"/>
      <c r="S2982" s="7"/>
      <c r="T2982" s="7"/>
      <c r="U2982" s="7"/>
      <c r="V2982" s="7"/>
      <c r="W2982" s="7"/>
    </row>
    <row r="2983" spans="1:23" x14ac:dyDescent="0.35">
      <c r="A2983" s="257"/>
      <c r="B2983" s="257"/>
      <c r="C2983" s="260"/>
      <c r="D2983" s="263"/>
      <c r="E2983" s="269"/>
      <c r="F2983" s="269"/>
      <c r="G2983" s="256" t="s">
        <v>84</v>
      </c>
      <c r="H2983" s="159" t="s">
        <v>74</v>
      </c>
      <c r="I2983" s="158">
        <f>K2983*D2982*0.7</f>
        <v>403028.36</v>
      </c>
      <c r="J2983" s="158">
        <f>I2983/D2982</f>
        <v>114.8</v>
      </c>
      <c r="K2983" s="158">
        <v>164</v>
      </c>
      <c r="L2983" s="7"/>
      <c r="M2983" s="7"/>
      <c r="N2983" s="7"/>
      <c r="O2983" s="7"/>
      <c r="P2983" s="7"/>
      <c r="Q2983" s="7"/>
      <c r="R2983" s="7"/>
      <c r="S2983" s="7"/>
      <c r="T2983" s="7"/>
      <c r="U2983" s="7"/>
      <c r="V2983" s="7"/>
      <c r="W2983" s="7"/>
    </row>
    <row r="2984" spans="1:23" x14ac:dyDescent="0.35">
      <c r="A2984" s="258"/>
      <c r="B2984" s="258"/>
      <c r="C2984" s="261"/>
      <c r="D2984" s="264"/>
      <c r="E2984" s="273"/>
      <c r="F2984" s="273"/>
      <c r="G2984" s="258"/>
      <c r="H2984" s="159" t="s">
        <v>76</v>
      </c>
      <c r="I2984" s="158">
        <f>K2984*D2982</f>
        <v>14042.8</v>
      </c>
      <c r="J2984" s="158">
        <f>I2984/D2982</f>
        <v>4</v>
      </c>
      <c r="K2984" s="158">
        <v>4</v>
      </c>
      <c r="L2984" s="7"/>
      <c r="M2984" s="7"/>
      <c r="N2984" s="7"/>
      <c r="O2984" s="7"/>
      <c r="P2984" s="7"/>
      <c r="Q2984" s="7"/>
      <c r="R2984" s="7"/>
      <c r="S2984" s="7"/>
      <c r="T2984" s="7"/>
      <c r="U2984" s="7"/>
      <c r="V2984" s="7"/>
      <c r="W2984" s="7"/>
    </row>
    <row r="2985" spans="1:23" ht="15.75" customHeight="1" x14ac:dyDescent="0.35">
      <c r="A2985" s="251">
        <f>A2982+1</f>
        <v>67</v>
      </c>
      <c r="B2985" s="251">
        <v>2291</v>
      </c>
      <c r="C2985" s="252" t="s">
        <v>149</v>
      </c>
      <c r="D2985" s="253">
        <v>1274.0999999999999</v>
      </c>
      <c r="E2985" s="254" t="s">
        <v>75</v>
      </c>
      <c r="F2985" s="254">
        <v>4</v>
      </c>
      <c r="G2985" s="251" t="s">
        <v>72</v>
      </c>
      <c r="H2985" s="159" t="s">
        <v>73</v>
      </c>
      <c r="I2985" s="158">
        <f>I2986+I2987</f>
        <v>6023944.7999999998</v>
      </c>
      <c r="J2985" s="158">
        <f>J2986+J2987</f>
        <v>4728</v>
      </c>
      <c r="K2985" s="158">
        <f>K2986+K2987</f>
        <v>4728</v>
      </c>
      <c r="L2985" s="7"/>
      <c r="M2985" s="7"/>
      <c r="N2985" s="7"/>
      <c r="O2985" s="7"/>
      <c r="P2985" s="7"/>
      <c r="Q2985" s="7"/>
      <c r="R2985" s="7"/>
      <c r="S2985" s="7"/>
      <c r="T2985" s="7"/>
      <c r="U2985" s="7"/>
      <c r="V2985" s="7"/>
      <c r="W2985" s="7"/>
    </row>
    <row r="2986" spans="1:23" x14ac:dyDescent="0.35">
      <c r="A2986" s="251"/>
      <c r="B2986" s="251"/>
      <c r="C2986" s="252"/>
      <c r="D2986" s="253"/>
      <c r="E2986" s="254"/>
      <c r="F2986" s="254"/>
      <c r="G2986" s="251"/>
      <c r="H2986" s="159" t="s">
        <v>74</v>
      </c>
      <c r="I2986" s="158">
        <f>D2985*K2986</f>
        <v>5897808.9000000004</v>
      </c>
      <c r="J2986" s="158">
        <f>I2986/D2985</f>
        <v>4629</v>
      </c>
      <c r="K2986" s="158">
        <v>4629</v>
      </c>
      <c r="L2986" s="7"/>
      <c r="M2986" s="7"/>
      <c r="N2986" s="7"/>
      <c r="O2986" s="7"/>
      <c r="P2986" s="7"/>
      <c r="Q2986" s="7"/>
      <c r="R2986" s="7"/>
      <c r="S2986" s="7"/>
      <c r="T2986" s="7"/>
      <c r="U2986" s="7"/>
      <c r="V2986" s="7"/>
      <c r="W2986" s="7"/>
    </row>
    <row r="2987" spans="1:23" x14ac:dyDescent="0.35">
      <c r="A2987" s="251"/>
      <c r="B2987" s="251"/>
      <c r="C2987" s="252"/>
      <c r="D2987" s="253"/>
      <c r="E2987" s="254"/>
      <c r="F2987" s="254"/>
      <c r="G2987" s="251"/>
      <c r="H2987" s="159" t="s">
        <v>76</v>
      </c>
      <c r="I2987" s="158">
        <f>D2985*K2987</f>
        <v>126135.9</v>
      </c>
      <c r="J2987" s="158">
        <f>I2987/D2985</f>
        <v>99</v>
      </c>
      <c r="K2987" s="158">
        <v>99</v>
      </c>
      <c r="L2987" s="7"/>
      <c r="M2987" s="7"/>
      <c r="N2987" s="7"/>
      <c r="O2987" s="7"/>
      <c r="P2987" s="7"/>
      <c r="Q2987" s="7"/>
      <c r="R2987" s="7"/>
      <c r="S2987" s="7"/>
      <c r="T2987" s="7"/>
      <c r="U2987" s="7"/>
      <c r="V2987" s="7"/>
      <c r="W2987" s="7"/>
    </row>
    <row r="2988" spans="1:23" ht="15.75" customHeight="1" x14ac:dyDescent="0.35">
      <c r="A2988" s="251">
        <f>A2985+1</f>
        <v>68</v>
      </c>
      <c r="B2988" s="251">
        <v>2451</v>
      </c>
      <c r="C2988" s="301" t="s">
        <v>150</v>
      </c>
      <c r="D2988" s="253">
        <v>3730.46</v>
      </c>
      <c r="E2988" s="254" t="s">
        <v>71</v>
      </c>
      <c r="F2988" s="254">
        <v>5</v>
      </c>
      <c r="G2988" s="251" t="s">
        <v>72</v>
      </c>
      <c r="H2988" s="159" t="s">
        <v>73</v>
      </c>
      <c r="I2988" s="158">
        <f>I2989+I2990</f>
        <v>10560932.26</v>
      </c>
      <c r="J2988" s="158">
        <f>J2989+J2990</f>
        <v>2831</v>
      </c>
      <c r="K2988" s="158">
        <f>K2989+K2990</f>
        <v>2831</v>
      </c>
      <c r="L2988" s="7"/>
      <c r="M2988" s="7"/>
      <c r="N2988" s="7"/>
      <c r="O2988" s="7"/>
      <c r="P2988" s="7"/>
      <c r="Q2988" s="7"/>
      <c r="R2988" s="7"/>
      <c r="S2988" s="7"/>
      <c r="T2988" s="7"/>
      <c r="U2988" s="7"/>
      <c r="V2988" s="7"/>
      <c r="W2988" s="7"/>
    </row>
    <row r="2989" spans="1:23" x14ac:dyDescent="0.35">
      <c r="A2989" s="251">
        <v>77</v>
      </c>
      <c r="B2989" s="251"/>
      <c r="C2989" s="301"/>
      <c r="D2989" s="253"/>
      <c r="E2989" s="254"/>
      <c r="F2989" s="254"/>
      <c r="G2989" s="251"/>
      <c r="H2989" s="159" t="s">
        <v>74</v>
      </c>
      <c r="I2989" s="158">
        <f>D2988*K2989</f>
        <v>10340835.119999999</v>
      </c>
      <c r="J2989" s="158">
        <f>I2989/D2988</f>
        <v>2772</v>
      </c>
      <c r="K2989" s="158">
        <v>2772</v>
      </c>
      <c r="L2989" s="7"/>
      <c r="M2989" s="7"/>
      <c r="N2989" s="7"/>
      <c r="O2989" s="7"/>
      <c r="P2989" s="7"/>
      <c r="Q2989" s="7"/>
      <c r="R2989" s="7"/>
      <c r="S2989" s="7"/>
      <c r="T2989" s="7"/>
      <c r="U2989" s="7"/>
      <c r="V2989" s="7"/>
      <c r="W2989" s="7"/>
    </row>
    <row r="2990" spans="1:23" x14ac:dyDescent="0.35">
      <c r="A2990" s="251">
        <v>78</v>
      </c>
      <c r="B2990" s="251"/>
      <c r="C2990" s="301"/>
      <c r="D2990" s="253"/>
      <c r="E2990" s="254"/>
      <c r="F2990" s="254"/>
      <c r="G2990" s="251"/>
      <c r="H2990" s="159" t="s">
        <v>76</v>
      </c>
      <c r="I2990" s="158">
        <f>D2988*K2990</f>
        <v>220097.14</v>
      </c>
      <c r="J2990" s="158">
        <f>I2990/D2988</f>
        <v>59</v>
      </c>
      <c r="K2990" s="158">
        <v>59</v>
      </c>
      <c r="L2990" s="7"/>
      <c r="M2990" s="7"/>
      <c r="N2990" s="7"/>
      <c r="O2990" s="7"/>
      <c r="P2990" s="7"/>
      <c r="Q2990" s="7"/>
      <c r="R2990" s="7"/>
      <c r="S2990" s="7"/>
      <c r="T2990" s="7"/>
      <c r="U2990" s="7"/>
      <c r="V2990" s="7"/>
      <c r="W2990" s="7"/>
    </row>
    <row r="2991" spans="1:23" ht="15.75" customHeight="1" x14ac:dyDescent="0.35">
      <c r="A2991" s="251">
        <f>A2988+1</f>
        <v>69</v>
      </c>
      <c r="B2991" s="251">
        <v>2452</v>
      </c>
      <c r="C2991" s="301" t="s">
        <v>151</v>
      </c>
      <c r="D2991" s="253">
        <v>1545.52</v>
      </c>
      <c r="E2991" s="254" t="s">
        <v>75</v>
      </c>
      <c r="F2991" s="254">
        <v>3</v>
      </c>
      <c r="G2991" s="251" t="s">
        <v>72</v>
      </c>
      <c r="H2991" s="159" t="s">
        <v>73</v>
      </c>
      <c r="I2991" s="158">
        <f>I2992+I2993</f>
        <v>7307218.5599999996</v>
      </c>
      <c r="J2991" s="158">
        <f>J2992+J2993</f>
        <v>4728</v>
      </c>
      <c r="K2991" s="158">
        <f>K2992+K2993</f>
        <v>4728</v>
      </c>
      <c r="L2991" s="7"/>
      <c r="M2991" s="7"/>
      <c r="N2991" s="7"/>
      <c r="O2991" s="7"/>
      <c r="P2991" s="7"/>
      <c r="Q2991" s="7"/>
      <c r="R2991" s="7"/>
      <c r="S2991" s="7"/>
      <c r="T2991" s="7"/>
      <c r="U2991" s="7"/>
      <c r="V2991" s="7"/>
      <c r="W2991" s="7"/>
    </row>
    <row r="2992" spans="1:23" x14ac:dyDescent="0.35">
      <c r="A2992" s="251">
        <v>79</v>
      </c>
      <c r="B2992" s="251"/>
      <c r="C2992" s="301"/>
      <c r="D2992" s="253"/>
      <c r="E2992" s="254"/>
      <c r="F2992" s="254"/>
      <c r="G2992" s="251"/>
      <c r="H2992" s="159" t="s">
        <v>74</v>
      </c>
      <c r="I2992" s="158">
        <f>D2991*K2992</f>
        <v>7154212.0800000001</v>
      </c>
      <c r="J2992" s="158">
        <f>I2992/D2991</f>
        <v>4629</v>
      </c>
      <c r="K2992" s="158">
        <v>4629</v>
      </c>
      <c r="L2992" s="7"/>
      <c r="M2992" s="7"/>
      <c r="N2992" s="7"/>
      <c r="O2992" s="7"/>
      <c r="P2992" s="7"/>
      <c r="Q2992" s="7"/>
      <c r="R2992" s="7"/>
      <c r="S2992" s="7"/>
      <c r="T2992" s="7"/>
      <c r="U2992" s="7"/>
      <c r="V2992" s="7"/>
      <c r="W2992" s="7"/>
    </row>
    <row r="2993" spans="1:225" x14ac:dyDescent="0.35">
      <c r="A2993" s="251">
        <v>80</v>
      </c>
      <c r="B2993" s="251"/>
      <c r="C2993" s="301"/>
      <c r="D2993" s="253"/>
      <c r="E2993" s="254"/>
      <c r="F2993" s="254"/>
      <c r="G2993" s="251"/>
      <c r="H2993" s="159" t="s">
        <v>76</v>
      </c>
      <c r="I2993" s="158">
        <f>D2991*K2993</f>
        <v>153006.48000000001</v>
      </c>
      <c r="J2993" s="158">
        <f>I2993/D2991</f>
        <v>99</v>
      </c>
      <c r="K2993" s="158">
        <v>99</v>
      </c>
      <c r="L2993" s="7"/>
      <c r="M2993" s="7"/>
      <c r="N2993" s="7"/>
      <c r="O2993" s="7"/>
      <c r="P2993" s="7"/>
      <c r="Q2993" s="7"/>
      <c r="R2993" s="7"/>
      <c r="S2993" s="7"/>
      <c r="T2993" s="7"/>
      <c r="U2993" s="7"/>
      <c r="V2993" s="7"/>
      <c r="W2993" s="7"/>
    </row>
    <row r="2994" spans="1:225" ht="15.75" customHeight="1" x14ac:dyDescent="0.35">
      <c r="A2994" s="251">
        <f>A2991+1</f>
        <v>70</v>
      </c>
      <c r="B2994" s="251">
        <v>2315</v>
      </c>
      <c r="C2994" s="301" t="s">
        <v>152</v>
      </c>
      <c r="D2994" s="253">
        <v>669.5</v>
      </c>
      <c r="E2994" s="254" t="s">
        <v>80</v>
      </c>
      <c r="F2994" s="254">
        <v>2</v>
      </c>
      <c r="G2994" s="251" t="s">
        <v>72</v>
      </c>
      <c r="H2994" s="159" t="s">
        <v>73</v>
      </c>
      <c r="I2994" s="158">
        <f>I2995+I2996</f>
        <v>4730687</v>
      </c>
      <c r="J2994" s="158">
        <f>J2995+J2996</f>
        <v>7066</v>
      </c>
      <c r="K2994" s="158">
        <f>K2995+K2996</f>
        <v>7066</v>
      </c>
      <c r="L2994" s="7"/>
      <c r="M2994" s="7"/>
      <c r="N2994" s="7"/>
      <c r="O2994" s="7"/>
      <c r="P2994" s="7"/>
      <c r="Q2994" s="7"/>
      <c r="R2994" s="7"/>
      <c r="S2994" s="7"/>
      <c r="T2994" s="7"/>
      <c r="U2994" s="7"/>
      <c r="V2994" s="7"/>
      <c r="W2994" s="7"/>
    </row>
    <row r="2995" spans="1:225" x14ac:dyDescent="0.35">
      <c r="A2995" s="251">
        <v>81</v>
      </c>
      <c r="B2995" s="251"/>
      <c r="C2995" s="301"/>
      <c r="D2995" s="253"/>
      <c r="E2995" s="254"/>
      <c r="F2995" s="254"/>
      <c r="G2995" s="251"/>
      <c r="H2995" s="159" t="s">
        <v>74</v>
      </c>
      <c r="I2995" s="158">
        <f>D2994*K2995</f>
        <v>4631601</v>
      </c>
      <c r="J2995" s="158">
        <f>I2995/D2994</f>
        <v>6918</v>
      </c>
      <c r="K2995" s="158">
        <v>6918</v>
      </c>
      <c r="L2995" s="7"/>
      <c r="M2995" s="7"/>
      <c r="N2995" s="7"/>
      <c r="O2995" s="7"/>
      <c r="P2995" s="7"/>
      <c r="Q2995" s="7"/>
      <c r="R2995" s="7"/>
      <c r="S2995" s="7"/>
      <c r="T2995" s="7"/>
      <c r="U2995" s="7"/>
      <c r="V2995" s="7"/>
      <c r="W2995" s="7"/>
    </row>
    <row r="2996" spans="1:225" x14ac:dyDescent="0.35">
      <c r="A2996" s="251">
        <v>82</v>
      </c>
      <c r="B2996" s="251"/>
      <c r="C2996" s="301"/>
      <c r="D2996" s="253"/>
      <c r="E2996" s="254"/>
      <c r="F2996" s="254"/>
      <c r="G2996" s="251"/>
      <c r="H2996" s="159" t="s">
        <v>76</v>
      </c>
      <c r="I2996" s="158">
        <f>D2994*K2996</f>
        <v>99086</v>
      </c>
      <c r="J2996" s="158">
        <f>I2996/D2994</f>
        <v>148</v>
      </c>
      <c r="K2996" s="158">
        <v>148</v>
      </c>
      <c r="L2996" s="7"/>
      <c r="M2996" s="7"/>
      <c r="N2996" s="7"/>
      <c r="O2996" s="7"/>
      <c r="P2996" s="7"/>
      <c r="Q2996" s="7"/>
      <c r="R2996" s="7"/>
      <c r="S2996" s="7"/>
      <c r="T2996" s="7"/>
      <c r="U2996" s="7"/>
      <c r="V2996" s="7"/>
      <c r="W2996" s="7"/>
    </row>
    <row r="2997" spans="1:225" ht="15.75" customHeight="1" x14ac:dyDescent="0.35">
      <c r="A2997" s="251">
        <f>A2994+1</f>
        <v>71</v>
      </c>
      <c r="B2997" s="251">
        <v>2911</v>
      </c>
      <c r="C2997" s="252" t="s">
        <v>431</v>
      </c>
      <c r="D2997" s="253">
        <v>170.5</v>
      </c>
      <c r="E2997" s="254" t="s">
        <v>80</v>
      </c>
      <c r="F2997" s="254">
        <v>2</v>
      </c>
      <c r="G2997" s="251" t="s">
        <v>72</v>
      </c>
      <c r="H2997" s="159" t="s">
        <v>73</v>
      </c>
      <c r="I2997" s="158">
        <f>I2998+I2999</f>
        <v>850897.3</v>
      </c>
      <c r="J2997" s="158">
        <f>J2998+J2999</f>
        <v>4990.6000000000004</v>
      </c>
      <c r="K2997" s="158">
        <f>K2998+K2999</f>
        <v>7066</v>
      </c>
      <c r="L2997" s="7"/>
      <c r="M2997" s="7"/>
      <c r="N2997" s="7"/>
      <c r="O2997" s="7"/>
      <c r="P2997" s="7"/>
      <c r="Q2997" s="7"/>
      <c r="R2997" s="7"/>
      <c r="S2997" s="7"/>
      <c r="T2997" s="7"/>
      <c r="U2997" s="7"/>
      <c r="V2997" s="7"/>
      <c r="W2997" s="7"/>
    </row>
    <row r="2998" spans="1:225" x14ac:dyDescent="0.35">
      <c r="A2998" s="251">
        <v>75</v>
      </c>
      <c r="B2998" s="251"/>
      <c r="C2998" s="252"/>
      <c r="D2998" s="253"/>
      <c r="E2998" s="254"/>
      <c r="F2998" s="254"/>
      <c r="G2998" s="251"/>
      <c r="H2998" s="159" t="s">
        <v>74</v>
      </c>
      <c r="I2998" s="158">
        <f>D2997*K2998*0.7</f>
        <v>825663.3</v>
      </c>
      <c r="J2998" s="158">
        <f>I2998/D2997</f>
        <v>4842.6000000000004</v>
      </c>
      <c r="K2998" s="158">
        <v>6918</v>
      </c>
      <c r="L2998" s="7"/>
      <c r="M2998" s="7"/>
      <c r="N2998" s="7"/>
      <c r="O2998" s="7"/>
      <c r="P2998" s="7"/>
      <c r="Q2998" s="7"/>
      <c r="R2998" s="7"/>
      <c r="S2998" s="7"/>
      <c r="T2998" s="7"/>
      <c r="U2998" s="7"/>
      <c r="V2998" s="7"/>
      <c r="W2998" s="7"/>
    </row>
    <row r="2999" spans="1:225" x14ac:dyDescent="0.35">
      <c r="A2999" s="251"/>
      <c r="B2999" s="251"/>
      <c r="C2999" s="252"/>
      <c r="D2999" s="253"/>
      <c r="E2999" s="254"/>
      <c r="F2999" s="254"/>
      <c r="G2999" s="251"/>
      <c r="H2999" s="159" t="s">
        <v>76</v>
      </c>
      <c r="I2999" s="158">
        <f>D2997*K2999</f>
        <v>25234</v>
      </c>
      <c r="J2999" s="158">
        <f>I2999/D2997</f>
        <v>148</v>
      </c>
      <c r="K2999" s="158">
        <v>148</v>
      </c>
      <c r="L2999" s="7"/>
      <c r="M2999" s="7"/>
      <c r="N2999" s="7"/>
      <c r="O2999" s="7"/>
      <c r="P2999" s="7"/>
      <c r="Q2999" s="7"/>
      <c r="R2999" s="7"/>
      <c r="S2999" s="7"/>
      <c r="T2999" s="7"/>
      <c r="U2999" s="7"/>
      <c r="V2999" s="7"/>
      <c r="W2999" s="7"/>
    </row>
    <row r="3000" spans="1:225" ht="15.75" customHeight="1" x14ac:dyDescent="0.35">
      <c r="A3000" s="251">
        <f>A2997+1</f>
        <v>72</v>
      </c>
      <c r="B3000" s="251">
        <v>2482</v>
      </c>
      <c r="C3000" s="301" t="s">
        <v>153</v>
      </c>
      <c r="D3000" s="253">
        <v>949.1</v>
      </c>
      <c r="E3000" s="254" t="s">
        <v>80</v>
      </c>
      <c r="F3000" s="254">
        <v>3</v>
      </c>
      <c r="G3000" s="251" t="s">
        <v>72</v>
      </c>
      <c r="H3000" s="159" t="s">
        <v>73</v>
      </c>
      <c r="I3000" s="158">
        <f>I3001+I3002</f>
        <v>4487344.8</v>
      </c>
      <c r="J3000" s="158">
        <f>J3001+J3002</f>
        <v>4728</v>
      </c>
      <c r="K3000" s="158">
        <f>K3001+K3002</f>
        <v>4728</v>
      </c>
      <c r="L3000" s="7"/>
      <c r="M3000" s="7"/>
      <c r="N3000" s="7"/>
      <c r="O3000" s="7"/>
      <c r="P3000" s="7"/>
      <c r="Q3000" s="7"/>
      <c r="R3000" s="7"/>
      <c r="S3000" s="7"/>
      <c r="T3000" s="7"/>
      <c r="U3000" s="7"/>
      <c r="V3000" s="7"/>
      <c r="W3000" s="7"/>
    </row>
    <row r="3001" spans="1:225" x14ac:dyDescent="0.35">
      <c r="A3001" s="251">
        <v>83</v>
      </c>
      <c r="B3001" s="251"/>
      <c r="C3001" s="301"/>
      <c r="D3001" s="253"/>
      <c r="E3001" s="254"/>
      <c r="F3001" s="254"/>
      <c r="G3001" s="251"/>
      <c r="H3001" s="159" t="s">
        <v>74</v>
      </c>
      <c r="I3001" s="158">
        <f>D3000*K3001</f>
        <v>4393383.9000000004</v>
      </c>
      <c r="J3001" s="158">
        <f>I3001/D3000</f>
        <v>4629</v>
      </c>
      <c r="K3001" s="158">
        <v>4629</v>
      </c>
      <c r="L3001" s="7"/>
      <c r="M3001" s="7"/>
      <c r="N3001" s="7"/>
      <c r="O3001" s="7"/>
      <c r="P3001" s="7"/>
      <c r="Q3001" s="7"/>
      <c r="R3001" s="7"/>
      <c r="S3001" s="7"/>
      <c r="T3001" s="7"/>
      <c r="U3001" s="7"/>
      <c r="V3001" s="7"/>
      <c r="W3001" s="7"/>
    </row>
    <row r="3002" spans="1:225" x14ac:dyDescent="0.35">
      <c r="A3002" s="251">
        <v>84</v>
      </c>
      <c r="B3002" s="251"/>
      <c r="C3002" s="301"/>
      <c r="D3002" s="253"/>
      <c r="E3002" s="254"/>
      <c r="F3002" s="254"/>
      <c r="G3002" s="251"/>
      <c r="H3002" s="159" t="s">
        <v>76</v>
      </c>
      <c r="I3002" s="158">
        <f>D3000*K3002</f>
        <v>93960.9</v>
      </c>
      <c r="J3002" s="158">
        <f>I3002/D3000</f>
        <v>99</v>
      </c>
      <c r="K3002" s="158">
        <v>99</v>
      </c>
      <c r="L3002" s="7"/>
      <c r="M3002" s="7"/>
      <c r="N3002" s="7"/>
      <c r="O3002" s="7"/>
      <c r="P3002" s="7"/>
      <c r="Q3002" s="7"/>
      <c r="R3002" s="7"/>
      <c r="S3002" s="7"/>
      <c r="T3002" s="7"/>
      <c r="U3002" s="7"/>
      <c r="V3002" s="7"/>
      <c r="W3002" s="7"/>
    </row>
    <row r="3003" spans="1:225" x14ac:dyDescent="0.35">
      <c r="A3003" s="135" t="s">
        <v>36</v>
      </c>
      <c r="B3003" s="135"/>
      <c r="C3003" s="217"/>
      <c r="D3003" s="125">
        <f>D3004</f>
        <v>650.34</v>
      </c>
      <c r="E3003" s="142"/>
      <c r="F3003" s="142"/>
      <c r="G3003" s="142"/>
      <c r="H3003" s="158"/>
      <c r="I3003" s="158">
        <f>I3004</f>
        <v>3708774.72</v>
      </c>
      <c r="J3003" s="158"/>
      <c r="K3003" s="158"/>
    </row>
    <row r="3004" spans="1:225" ht="15.75" customHeight="1" x14ac:dyDescent="0.35">
      <c r="A3004" s="256">
        <v>1</v>
      </c>
      <c r="B3004" s="256">
        <v>4837</v>
      </c>
      <c r="C3004" s="259" t="s">
        <v>664</v>
      </c>
      <c r="D3004" s="262">
        <v>650.34</v>
      </c>
      <c r="E3004" s="262" t="s">
        <v>75</v>
      </c>
      <c r="F3004" s="265">
        <v>2</v>
      </c>
      <c r="G3004" s="256" t="s">
        <v>72</v>
      </c>
      <c r="H3004" s="159" t="s">
        <v>73</v>
      </c>
      <c r="I3004" s="158">
        <f>I3005+I3006</f>
        <v>3708774.72</v>
      </c>
      <c r="J3004" s="158">
        <f>J3005+J3006</f>
        <v>5702.82</v>
      </c>
      <c r="K3004" s="158">
        <f>K3005+K3006</f>
        <v>7066</v>
      </c>
      <c r="L3004" s="1"/>
      <c r="M3004" s="1"/>
      <c r="N3004" s="1"/>
      <c r="O3004" s="1"/>
      <c r="P3004" s="1"/>
      <c r="Q3004" s="1"/>
      <c r="R3004" s="1"/>
      <c r="S3004" s="1"/>
      <c r="T3004" s="1"/>
      <c r="U3004" s="1"/>
      <c r="V3004" s="1"/>
      <c r="W3004" s="1"/>
      <c r="X3004" s="1"/>
      <c r="Y3004" s="1"/>
      <c r="Z3004" s="1"/>
      <c r="AA3004" s="1"/>
      <c r="AB3004" s="1"/>
      <c r="AC3004" s="1"/>
      <c r="AD3004" s="1"/>
      <c r="AE3004" s="1"/>
      <c r="AF3004" s="1"/>
      <c r="AG3004" s="1"/>
      <c r="AH3004" s="1"/>
      <c r="AI3004" s="1"/>
      <c r="AJ3004" s="1"/>
      <c r="AK3004" s="1"/>
      <c r="AL3004" s="1"/>
      <c r="AM3004" s="1"/>
      <c r="AN3004" s="1"/>
      <c r="AO3004" s="1"/>
      <c r="AP3004" s="1"/>
      <c r="AQ3004" s="1"/>
      <c r="AR3004" s="1"/>
      <c r="AS3004" s="1"/>
      <c r="AT3004" s="1"/>
      <c r="AU3004" s="1"/>
      <c r="AV3004" s="1"/>
      <c r="AW3004" s="1"/>
      <c r="AX3004" s="1"/>
      <c r="AY3004" s="1"/>
      <c r="AZ3004" s="1"/>
      <c r="BA3004" s="1"/>
      <c r="BB3004" s="1"/>
      <c r="BC3004" s="1"/>
      <c r="BD3004" s="1"/>
      <c r="BE3004" s="1"/>
      <c r="BF3004" s="1"/>
      <c r="BG3004" s="1"/>
      <c r="BH3004" s="1"/>
      <c r="BI3004" s="1"/>
      <c r="BJ3004" s="1"/>
      <c r="BK3004" s="1"/>
      <c r="BL3004" s="1"/>
      <c r="BM3004" s="1"/>
      <c r="BN3004" s="1"/>
      <c r="BO3004" s="1"/>
      <c r="BP3004" s="1"/>
      <c r="BQ3004" s="1"/>
      <c r="BR3004" s="1"/>
      <c r="BS3004" s="1"/>
      <c r="BT3004" s="1"/>
      <c r="BU3004" s="1"/>
      <c r="BV3004" s="1"/>
      <c r="BW3004" s="1"/>
      <c r="BX3004" s="1"/>
      <c r="BY3004" s="1"/>
      <c r="BZ3004" s="1"/>
      <c r="CA3004" s="1"/>
      <c r="CB3004" s="1"/>
      <c r="CC3004" s="1"/>
      <c r="CD3004" s="1"/>
      <c r="CE3004" s="1"/>
      <c r="CF3004" s="1"/>
      <c r="CG3004" s="1"/>
      <c r="CH3004" s="1"/>
      <c r="CI3004" s="1"/>
      <c r="CJ3004" s="1"/>
      <c r="CK3004" s="1"/>
      <c r="CL3004" s="1"/>
      <c r="CM3004" s="1"/>
      <c r="CN3004" s="1"/>
      <c r="CO3004" s="1"/>
      <c r="CP3004" s="1"/>
      <c r="CQ3004" s="1"/>
      <c r="CR3004" s="1"/>
      <c r="CS3004" s="1"/>
      <c r="CT3004" s="1"/>
      <c r="CU3004" s="1"/>
      <c r="CV3004" s="1"/>
      <c r="CW3004" s="1"/>
      <c r="CX3004" s="1"/>
      <c r="CY3004" s="1"/>
      <c r="CZ3004" s="1"/>
      <c r="DA3004" s="1"/>
      <c r="DB3004" s="1"/>
      <c r="DC3004" s="1"/>
      <c r="DD3004" s="1"/>
      <c r="DE3004" s="1"/>
      <c r="DF3004" s="1"/>
      <c r="DG3004" s="1"/>
      <c r="DH3004" s="1"/>
      <c r="DI3004" s="1"/>
      <c r="DJ3004" s="1"/>
      <c r="DK3004" s="1"/>
      <c r="DL3004" s="1"/>
      <c r="DM3004" s="1"/>
      <c r="DN3004" s="1"/>
      <c r="DO3004" s="1"/>
      <c r="DP3004" s="1"/>
      <c r="DQ3004" s="1"/>
      <c r="DR3004" s="1"/>
      <c r="DS3004" s="1"/>
      <c r="DT3004" s="1"/>
      <c r="DU3004" s="1"/>
      <c r="DV3004" s="1"/>
      <c r="DW3004" s="1"/>
      <c r="DX3004" s="1"/>
      <c r="DY3004" s="1"/>
      <c r="DZ3004" s="1"/>
      <c r="EA3004" s="1"/>
      <c r="EB3004" s="1"/>
      <c r="EC3004" s="1"/>
      <c r="ED3004" s="1"/>
      <c r="EE3004" s="1"/>
      <c r="EF3004" s="1"/>
      <c r="EG3004" s="1"/>
      <c r="EH3004" s="1"/>
      <c r="EI3004" s="1"/>
      <c r="EJ3004" s="1"/>
      <c r="EK3004" s="1"/>
      <c r="EL3004" s="1"/>
      <c r="EM3004" s="1"/>
      <c r="EN3004" s="1"/>
      <c r="EO3004" s="1"/>
      <c r="EP3004" s="1"/>
      <c r="EQ3004" s="1"/>
      <c r="ER3004" s="1"/>
      <c r="ES3004" s="1"/>
      <c r="ET3004" s="1"/>
      <c r="EU3004" s="1"/>
      <c r="EV3004" s="1"/>
      <c r="EW3004" s="1"/>
      <c r="EX3004" s="1"/>
      <c r="EY3004" s="1"/>
      <c r="EZ3004" s="1"/>
      <c r="FA3004" s="1"/>
      <c r="FB3004" s="1"/>
      <c r="FC3004" s="1"/>
      <c r="FD3004" s="1"/>
      <c r="FE3004" s="1"/>
      <c r="FF3004" s="1"/>
      <c r="FG3004" s="1"/>
      <c r="FH3004" s="1"/>
      <c r="FI3004" s="1"/>
      <c r="FJ3004" s="1"/>
      <c r="FK3004" s="1"/>
      <c r="FL3004" s="1"/>
      <c r="FM3004" s="1"/>
      <c r="FN3004" s="1"/>
      <c r="FO3004" s="1"/>
      <c r="FP3004" s="1"/>
      <c r="FQ3004" s="1"/>
      <c r="FR3004" s="1"/>
      <c r="FS3004" s="1"/>
      <c r="FT3004" s="1"/>
      <c r="FU3004" s="1"/>
      <c r="FV3004" s="1"/>
      <c r="FW3004" s="1"/>
      <c r="FX3004" s="1"/>
      <c r="FY3004" s="1"/>
      <c r="FZ3004" s="1"/>
      <c r="GA3004" s="1"/>
      <c r="GB3004" s="1"/>
      <c r="GC3004" s="1"/>
      <c r="GD3004" s="1"/>
      <c r="GE3004" s="1"/>
      <c r="GF3004" s="1"/>
      <c r="GG3004" s="1"/>
      <c r="GH3004" s="1"/>
      <c r="GI3004" s="1"/>
      <c r="GJ3004" s="1"/>
      <c r="GK3004" s="1"/>
      <c r="GL3004" s="1"/>
      <c r="GM3004" s="1"/>
      <c r="GN3004" s="1"/>
      <c r="GO3004" s="1"/>
      <c r="GP3004" s="1"/>
      <c r="GQ3004" s="1"/>
      <c r="GR3004" s="1"/>
      <c r="GS3004" s="1"/>
      <c r="GT3004" s="1"/>
      <c r="GU3004" s="1"/>
      <c r="GV3004" s="1"/>
      <c r="GW3004" s="1"/>
      <c r="GX3004" s="1"/>
      <c r="GY3004" s="1"/>
      <c r="GZ3004" s="1"/>
      <c r="HA3004" s="1"/>
      <c r="HB3004" s="1"/>
      <c r="HC3004" s="1"/>
      <c r="HD3004" s="1"/>
      <c r="HE3004" s="1"/>
      <c r="HF3004" s="1"/>
      <c r="HG3004" s="1"/>
      <c r="HH3004" s="1"/>
      <c r="HI3004" s="1"/>
      <c r="HJ3004" s="1"/>
      <c r="HK3004" s="1"/>
      <c r="HL3004" s="1"/>
      <c r="HM3004" s="1"/>
      <c r="HN3004" s="1"/>
      <c r="HO3004" s="1"/>
      <c r="HP3004" s="1"/>
      <c r="HQ3004" s="1"/>
    </row>
    <row r="3005" spans="1:225" x14ac:dyDescent="0.35">
      <c r="A3005" s="257">
        <v>15</v>
      </c>
      <c r="B3005" s="257"/>
      <c r="C3005" s="260"/>
      <c r="D3005" s="263"/>
      <c r="E3005" s="263"/>
      <c r="F3005" s="266"/>
      <c r="G3005" s="257"/>
      <c r="H3005" s="159" t="s">
        <v>74</v>
      </c>
      <c r="I3005" s="158">
        <v>3631069.83</v>
      </c>
      <c r="J3005" s="158">
        <f>I3005/D3004</f>
        <v>5583.34</v>
      </c>
      <c r="K3005" s="158">
        <v>6918</v>
      </c>
      <c r="L3005" s="1"/>
      <c r="M3005" s="1"/>
      <c r="N3005" s="1"/>
      <c r="O3005" s="1"/>
      <c r="P3005" s="1"/>
      <c r="Q3005" s="1"/>
      <c r="R3005" s="1"/>
      <c r="S3005" s="1"/>
      <c r="T3005" s="1"/>
      <c r="U3005" s="1"/>
      <c r="V3005" s="1"/>
      <c r="W3005" s="1"/>
      <c r="X3005" s="1"/>
      <c r="Y3005" s="1"/>
      <c r="Z3005" s="1"/>
      <c r="AA3005" s="1"/>
      <c r="AB3005" s="1"/>
      <c r="AC3005" s="1"/>
      <c r="AD3005" s="1"/>
      <c r="AE3005" s="1"/>
      <c r="AF3005" s="1"/>
      <c r="AG3005" s="1"/>
      <c r="AH3005" s="1"/>
      <c r="AI3005" s="1"/>
      <c r="AJ3005" s="1"/>
      <c r="AK3005" s="1"/>
      <c r="AL3005" s="1"/>
      <c r="AM3005" s="1"/>
      <c r="AN3005" s="1"/>
      <c r="AO3005" s="1"/>
      <c r="AP3005" s="1"/>
      <c r="AQ3005" s="1"/>
      <c r="AR3005" s="1"/>
      <c r="AS3005" s="1"/>
      <c r="AT3005" s="1"/>
      <c r="AU3005" s="1"/>
      <c r="AV3005" s="1"/>
      <c r="AW3005" s="1"/>
      <c r="AX3005" s="1"/>
      <c r="AY3005" s="1"/>
      <c r="AZ3005" s="1"/>
      <c r="BA3005" s="1"/>
      <c r="BB3005" s="1"/>
      <c r="BC3005" s="1"/>
      <c r="BD3005" s="1"/>
      <c r="BE3005" s="1"/>
      <c r="BF3005" s="1"/>
      <c r="BG3005" s="1"/>
      <c r="BH3005" s="1"/>
      <c r="BI3005" s="1"/>
      <c r="BJ3005" s="1"/>
      <c r="BK3005" s="1"/>
      <c r="BL3005" s="1"/>
      <c r="BM3005" s="1"/>
      <c r="BN3005" s="1"/>
      <c r="BO3005" s="1"/>
      <c r="BP3005" s="1"/>
      <c r="BQ3005" s="1"/>
      <c r="BR3005" s="1"/>
      <c r="BS3005" s="1"/>
      <c r="BT3005" s="1"/>
      <c r="BU3005" s="1"/>
      <c r="BV3005" s="1"/>
      <c r="BW3005" s="1"/>
      <c r="BX3005" s="1"/>
      <c r="BY3005" s="1"/>
      <c r="BZ3005" s="1"/>
      <c r="CA3005" s="1"/>
      <c r="CB3005" s="1"/>
      <c r="CC3005" s="1"/>
      <c r="CD3005" s="1"/>
      <c r="CE3005" s="1"/>
      <c r="CF3005" s="1"/>
      <c r="CG3005" s="1"/>
      <c r="CH3005" s="1"/>
      <c r="CI3005" s="1"/>
      <c r="CJ3005" s="1"/>
      <c r="CK3005" s="1"/>
      <c r="CL3005" s="1"/>
      <c r="CM3005" s="1"/>
      <c r="CN3005" s="1"/>
      <c r="CO3005" s="1"/>
      <c r="CP3005" s="1"/>
      <c r="CQ3005" s="1"/>
      <c r="CR3005" s="1"/>
      <c r="CS3005" s="1"/>
      <c r="CT3005" s="1"/>
      <c r="CU3005" s="1"/>
      <c r="CV3005" s="1"/>
      <c r="CW3005" s="1"/>
      <c r="CX3005" s="1"/>
      <c r="CY3005" s="1"/>
      <c r="CZ3005" s="1"/>
      <c r="DA3005" s="1"/>
      <c r="DB3005" s="1"/>
      <c r="DC3005" s="1"/>
      <c r="DD3005" s="1"/>
      <c r="DE3005" s="1"/>
      <c r="DF3005" s="1"/>
      <c r="DG3005" s="1"/>
      <c r="DH3005" s="1"/>
      <c r="DI3005" s="1"/>
      <c r="DJ3005" s="1"/>
      <c r="DK3005" s="1"/>
      <c r="DL3005" s="1"/>
      <c r="DM3005" s="1"/>
      <c r="DN3005" s="1"/>
      <c r="DO3005" s="1"/>
      <c r="DP3005" s="1"/>
      <c r="DQ3005" s="1"/>
      <c r="DR3005" s="1"/>
      <c r="DS3005" s="1"/>
      <c r="DT3005" s="1"/>
      <c r="DU3005" s="1"/>
      <c r="DV3005" s="1"/>
      <c r="DW3005" s="1"/>
      <c r="DX3005" s="1"/>
      <c r="DY3005" s="1"/>
      <c r="DZ3005" s="1"/>
      <c r="EA3005" s="1"/>
      <c r="EB3005" s="1"/>
      <c r="EC3005" s="1"/>
      <c r="ED3005" s="1"/>
      <c r="EE3005" s="1"/>
      <c r="EF3005" s="1"/>
      <c r="EG3005" s="1"/>
      <c r="EH3005" s="1"/>
      <c r="EI3005" s="1"/>
      <c r="EJ3005" s="1"/>
      <c r="EK3005" s="1"/>
      <c r="EL3005" s="1"/>
      <c r="EM3005" s="1"/>
      <c r="EN3005" s="1"/>
      <c r="EO3005" s="1"/>
      <c r="EP3005" s="1"/>
      <c r="EQ3005" s="1"/>
      <c r="ER3005" s="1"/>
      <c r="ES3005" s="1"/>
      <c r="ET3005" s="1"/>
      <c r="EU3005" s="1"/>
      <c r="EV3005" s="1"/>
      <c r="EW3005" s="1"/>
      <c r="EX3005" s="1"/>
      <c r="EY3005" s="1"/>
      <c r="EZ3005" s="1"/>
      <c r="FA3005" s="1"/>
      <c r="FB3005" s="1"/>
      <c r="FC3005" s="1"/>
      <c r="FD3005" s="1"/>
      <c r="FE3005" s="1"/>
      <c r="FF3005" s="1"/>
      <c r="FG3005" s="1"/>
      <c r="FH3005" s="1"/>
      <c r="FI3005" s="1"/>
      <c r="FJ3005" s="1"/>
      <c r="FK3005" s="1"/>
      <c r="FL3005" s="1"/>
      <c r="FM3005" s="1"/>
      <c r="FN3005" s="1"/>
      <c r="FO3005" s="1"/>
      <c r="FP3005" s="1"/>
      <c r="FQ3005" s="1"/>
      <c r="FR3005" s="1"/>
      <c r="FS3005" s="1"/>
      <c r="FT3005" s="1"/>
      <c r="FU3005" s="1"/>
      <c r="FV3005" s="1"/>
      <c r="FW3005" s="1"/>
      <c r="FX3005" s="1"/>
      <c r="FY3005" s="1"/>
      <c r="FZ3005" s="1"/>
      <c r="GA3005" s="1"/>
      <c r="GB3005" s="1"/>
      <c r="GC3005" s="1"/>
      <c r="GD3005" s="1"/>
      <c r="GE3005" s="1"/>
      <c r="GF3005" s="1"/>
      <c r="GG3005" s="1"/>
      <c r="GH3005" s="1"/>
      <c r="GI3005" s="1"/>
      <c r="GJ3005" s="1"/>
      <c r="GK3005" s="1"/>
      <c r="GL3005" s="1"/>
      <c r="GM3005" s="1"/>
      <c r="GN3005" s="1"/>
      <c r="GO3005" s="1"/>
      <c r="GP3005" s="1"/>
      <c r="GQ3005" s="1"/>
      <c r="GR3005" s="1"/>
      <c r="GS3005" s="1"/>
      <c r="GT3005" s="1"/>
      <c r="GU3005" s="1"/>
      <c r="GV3005" s="1"/>
      <c r="GW3005" s="1"/>
      <c r="GX3005" s="1"/>
      <c r="GY3005" s="1"/>
      <c r="GZ3005" s="1"/>
      <c r="HA3005" s="1"/>
      <c r="HB3005" s="1"/>
      <c r="HC3005" s="1"/>
      <c r="HD3005" s="1"/>
      <c r="HE3005" s="1"/>
      <c r="HF3005" s="1"/>
      <c r="HG3005" s="1"/>
      <c r="HH3005" s="1"/>
      <c r="HI3005" s="1"/>
      <c r="HJ3005" s="1"/>
      <c r="HK3005" s="1"/>
      <c r="HL3005" s="1"/>
      <c r="HM3005" s="1"/>
      <c r="HN3005" s="1"/>
      <c r="HO3005" s="1"/>
      <c r="HP3005" s="1"/>
      <c r="HQ3005" s="1"/>
    </row>
    <row r="3006" spans="1:225" x14ac:dyDescent="0.35">
      <c r="A3006" s="258">
        <v>16</v>
      </c>
      <c r="B3006" s="258"/>
      <c r="C3006" s="261"/>
      <c r="D3006" s="264"/>
      <c r="E3006" s="264"/>
      <c r="F3006" s="267"/>
      <c r="G3006" s="258"/>
      <c r="H3006" s="159" t="s">
        <v>76</v>
      </c>
      <c r="I3006" s="158">
        <f>I3005*0.0214</f>
        <v>77704.89</v>
      </c>
      <c r="J3006" s="158">
        <f>I3006/D3004</f>
        <v>119.48</v>
      </c>
      <c r="K3006" s="158">
        <v>148</v>
      </c>
      <c r="L3006" s="1"/>
      <c r="M3006" s="1"/>
      <c r="N3006" s="1"/>
      <c r="O3006" s="1"/>
      <c r="P3006" s="1"/>
      <c r="Q3006" s="1"/>
      <c r="R3006" s="1"/>
      <c r="S3006" s="1"/>
      <c r="T3006" s="1"/>
      <c r="U3006" s="1"/>
      <c r="V3006" s="1"/>
      <c r="W3006" s="1"/>
      <c r="X3006" s="1"/>
      <c r="Y3006" s="1"/>
      <c r="Z3006" s="1"/>
      <c r="AA3006" s="1"/>
      <c r="AB3006" s="1"/>
      <c r="AC3006" s="1"/>
      <c r="AD3006" s="1"/>
      <c r="AE3006" s="1"/>
      <c r="AF3006" s="1"/>
      <c r="AG3006" s="1"/>
      <c r="AH3006" s="1"/>
      <c r="AI3006" s="1"/>
      <c r="AJ3006" s="1"/>
      <c r="AK3006" s="1"/>
      <c r="AL3006" s="1"/>
      <c r="AM3006" s="1"/>
      <c r="AN3006" s="1"/>
      <c r="AO3006" s="1"/>
      <c r="AP3006" s="1"/>
      <c r="AQ3006" s="1"/>
      <c r="AR3006" s="1"/>
      <c r="AS3006" s="1"/>
      <c r="AT3006" s="1"/>
      <c r="AU3006" s="1"/>
      <c r="AV3006" s="1"/>
      <c r="AW3006" s="1"/>
      <c r="AX3006" s="1"/>
      <c r="AY3006" s="1"/>
      <c r="AZ3006" s="1"/>
      <c r="BA3006" s="1"/>
      <c r="BB3006" s="1"/>
      <c r="BC3006" s="1"/>
      <c r="BD3006" s="1"/>
      <c r="BE3006" s="1"/>
      <c r="BF3006" s="1"/>
      <c r="BG3006" s="1"/>
      <c r="BH3006" s="1"/>
      <c r="BI3006" s="1"/>
      <c r="BJ3006" s="1"/>
      <c r="BK3006" s="1"/>
      <c r="BL3006" s="1"/>
      <c r="BM3006" s="1"/>
      <c r="BN3006" s="1"/>
      <c r="BO3006" s="1"/>
      <c r="BP3006" s="1"/>
      <c r="BQ3006" s="1"/>
      <c r="BR3006" s="1"/>
      <c r="BS3006" s="1"/>
      <c r="BT3006" s="1"/>
      <c r="BU3006" s="1"/>
      <c r="BV3006" s="1"/>
      <c r="BW3006" s="1"/>
      <c r="BX3006" s="1"/>
      <c r="BY3006" s="1"/>
      <c r="BZ3006" s="1"/>
      <c r="CA3006" s="1"/>
      <c r="CB3006" s="1"/>
      <c r="CC3006" s="1"/>
      <c r="CD3006" s="1"/>
      <c r="CE3006" s="1"/>
      <c r="CF3006" s="1"/>
      <c r="CG3006" s="1"/>
      <c r="CH3006" s="1"/>
      <c r="CI3006" s="1"/>
      <c r="CJ3006" s="1"/>
      <c r="CK3006" s="1"/>
      <c r="CL3006" s="1"/>
      <c r="CM3006" s="1"/>
      <c r="CN3006" s="1"/>
      <c r="CO3006" s="1"/>
      <c r="CP3006" s="1"/>
      <c r="CQ3006" s="1"/>
      <c r="CR3006" s="1"/>
      <c r="CS3006" s="1"/>
      <c r="CT3006" s="1"/>
      <c r="CU3006" s="1"/>
      <c r="CV3006" s="1"/>
      <c r="CW3006" s="1"/>
      <c r="CX3006" s="1"/>
      <c r="CY3006" s="1"/>
      <c r="CZ3006" s="1"/>
      <c r="DA3006" s="1"/>
      <c r="DB3006" s="1"/>
      <c r="DC3006" s="1"/>
      <c r="DD3006" s="1"/>
      <c r="DE3006" s="1"/>
      <c r="DF3006" s="1"/>
      <c r="DG3006" s="1"/>
      <c r="DH3006" s="1"/>
      <c r="DI3006" s="1"/>
      <c r="DJ3006" s="1"/>
      <c r="DK3006" s="1"/>
      <c r="DL3006" s="1"/>
      <c r="DM3006" s="1"/>
      <c r="DN3006" s="1"/>
      <c r="DO3006" s="1"/>
      <c r="DP3006" s="1"/>
      <c r="DQ3006" s="1"/>
      <c r="DR3006" s="1"/>
      <c r="DS3006" s="1"/>
      <c r="DT3006" s="1"/>
      <c r="DU3006" s="1"/>
      <c r="DV3006" s="1"/>
      <c r="DW3006" s="1"/>
      <c r="DX3006" s="1"/>
      <c r="DY3006" s="1"/>
      <c r="DZ3006" s="1"/>
      <c r="EA3006" s="1"/>
      <c r="EB3006" s="1"/>
      <c r="EC3006" s="1"/>
      <c r="ED3006" s="1"/>
      <c r="EE3006" s="1"/>
      <c r="EF3006" s="1"/>
      <c r="EG3006" s="1"/>
      <c r="EH3006" s="1"/>
      <c r="EI3006" s="1"/>
      <c r="EJ3006" s="1"/>
      <c r="EK3006" s="1"/>
      <c r="EL3006" s="1"/>
      <c r="EM3006" s="1"/>
      <c r="EN3006" s="1"/>
      <c r="EO3006" s="1"/>
      <c r="EP3006" s="1"/>
      <c r="EQ3006" s="1"/>
      <c r="ER3006" s="1"/>
      <c r="ES3006" s="1"/>
      <c r="ET3006" s="1"/>
      <c r="EU3006" s="1"/>
      <c r="EV3006" s="1"/>
      <c r="EW3006" s="1"/>
      <c r="EX3006" s="1"/>
      <c r="EY3006" s="1"/>
      <c r="EZ3006" s="1"/>
      <c r="FA3006" s="1"/>
      <c r="FB3006" s="1"/>
      <c r="FC3006" s="1"/>
      <c r="FD3006" s="1"/>
      <c r="FE3006" s="1"/>
      <c r="FF3006" s="1"/>
      <c r="FG3006" s="1"/>
      <c r="FH3006" s="1"/>
      <c r="FI3006" s="1"/>
      <c r="FJ3006" s="1"/>
      <c r="FK3006" s="1"/>
      <c r="FL3006" s="1"/>
      <c r="FM3006" s="1"/>
      <c r="FN3006" s="1"/>
      <c r="FO3006" s="1"/>
      <c r="FP3006" s="1"/>
      <c r="FQ3006" s="1"/>
      <c r="FR3006" s="1"/>
      <c r="FS3006" s="1"/>
      <c r="FT3006" s="1"/>
      <c r="FU3006" s="1"/>
      <c r="FV3006" s="1"/>
      <c r="FW3006" s="1"/>
      <c r="FX3006" s="1"/>
      <c r="FY3006" s="1"/>
      <c r="FZ3006" s="1"/>
      <c r="GA3006" s="1"/>
      <c r="GB3006" s="1"/>
      <c r="GC3006" s="1"/>
      <c r="GD3006" s="1"/>
      <c r="GE3006" s="1"/>
      <c r="GF3006" s="1"/>
      <c r="GG3006" s="1"/>
      <c r="GH3006" s="1"/>
      <c r="GI3006" s="1"/>
      <c r="GJ3006" s="1"/>
      <c r="GK3006" s="1"/>
      <c r="GL3006" s="1"/>
      <c r="GM3006" s="1"/>
      <c r="GN3006" s="1"/>
      <c r="GO3006" s="1"/>
      <c r="GP3006" s="1"/>
      <c r="GQ3006" s="1"/>
      <c r="GR3006" s="1"/>
      <c r="GS3006" s="1"/>
      <c r="GT3006" s="1"/>
      <c r="GU3006" s="1"/>
      <c r="GV3006" s="1"/>
      <c r="GW3006" s="1"/>
      <c r="GX3006" s="1"/>
      <c r="GY3006" s="1"/>
      <c r="GZ3006" s="1"/>
      <c r="HA3006" s="1"/>
      <c r="HB3006" s="1"/>
      <c r="HC3006" s="1"/>
      <c r="HD3006" s="1"/>
      <c r="HE3006" s="1"/>
      <c r="HF3006" s="1"/>
      <c r="HG3006" s="1"/>
      <c r="HH3006" s="1"/>
      <c r="HI3006" s="1"/>
      <c r="HJ3006" s="1"/>
      <c r="HK3006" s="1"/>
      <c r="HL3006" s="1"/>
      <c r="HM3006" s="1"/>
      <c r="HN3006" s="1"/>
      <c r="HO3006" s="1"/>
      <c r="HP3006" s="1"/>
      <c r="HQ3006" s="1"/>
    </row>
    <row r="3007" spans="1:225" x14ac:dyDescent="0.35">
      <c r="A3007" s="153" t="s">
        <v>37</v>
      </c>
      <c r="B3007" s="147"/>
      <c r="C3007" s="73"/>
      <c r="D3007" s="142">
        <f>D3008</f>
        <v>527.49</v>
      </c>
      <c r="E3007" s="142"/>
      <c r="F3007" s="51"/>
      <c r="G3007" s="125"/>
      <c r="H3007" s="162"/>
      <c r="I3007" s="158">
        <f>I3008</f>
        <v>5006935.08</v>
      </c>
      <c r="J3007" s="158"/>
      <c r="K3007" s="158"/>
      <c r="HP3007" s="9"/>
      <c r="HQ3007" s="9"/>
    </row>
    <row r="3008" spans="1:225" ht="15.75" customHeight="1" x14ac:dyDescent="0.35">
      <c r="A3008" s="310">
        <v>1</v>
      </c>
      <c r="B3008" s="310">
        <v>7309</v>
      </c>
      <c r="C3008" s="316" t="s">
        <v>726</v>
      </c>
      <c r="D3008" s="262">
        <v>527.49</v>
      </c>
      <c r="E3008" s="262" t="s">
        <v>665</v>
      </c>
      <c r="F3008" s="265">
        <v>2</v>
      </c>
      <c r="G3008" s="256" t="s">
        <v>85</v>
      </c>
      <c r="H3008" s="159" t="s">
        <v>73</v>
      </c>
      <c r="I3008" s="158">
        <f>I3009+I3010+I3011+I3012</f>
        <v>5006935.08</v>
      </c>
      <c r="J3008" s="158">
        <f>J3009+J3010+J3011+J3012</f>
        <v>9492</v>
      </c>
      <c r="K3008" s="158">
        <f>K3009+K3010+K3011+K3012</f>
        <v>9492</v>
      </c>
      <c r="L3008" s="1"/>
      <c r="M3008" s="1"/>
      <c r="N3008" s="1"/>
      <c r="O3008" s="1"/>
      <c r="P3008" s="1"/>
      <c r="Q3008" s="1"/>
      <c r="R3008" s="1"/>
      <c r="S3008" s="1"/>
      <c r="T3008" s="1"/>
      <c r="U3008" s="1"/>
      <c r="V3008" s="1"/>
      <c r="W3008" s="1"/>
      <c r="X3008" s="1"/>
      <c r="Y3008" s="1"/>
      <c r="Z3008" s="1"/>
      <c r="AA3008" s="1"/>
      <c r="AB3008" s="1"/>
      <c r="AC3008" s="1"/>
      <c r="AD3008" s="1"/>
      <c r="AE3008" s="1"/>
      <c r="AF3008" s="1"/>
      <c r="AG3008" s="1"/>
      <c r="AH3008" s="1"/>
      <c r="AI3008" s="1"/>
      <c r="AJ3008" s="1"/>
      <c r="AK3008" s="1"/>
      <c r="AL3008" s="1"/>
      <c r="AM3008" s="1"/>
      <c r="AN3008" s="1"/>
      <c r="AO3008" s="1"/>
      <c r="AP3008" s="1"/>
      <c r="AQ3008" s="1"/>
      <c r="AR3008" s="1"/>
      <c r="AS3008" s="1"/>
      <c r="AT3008" s="1"/>
      <c r="AU3008" s="1"/>
      <c r="AV3008" s="1"/>
      <c r="AW3008" s="1"/>
      <c r="AX3008" s="1"/>
      <c r="AY3008" s="1"/>
      <c r="AZ3008" s="1"/>
      <c r="BA3008" s="1"/>
      <c r="BB3008" s="1"/>
      <c r="BC3008" s="1"/>
      <c r="BD3008" s="1"/>
      <c r="BE3008" s="1"/>
      <c r="BF3008" s="1"/>
      <c r="BG3008" s="1"/>
      <c r="BH3008" s="1"/>
      <c r="BI3008" s="1"/>
      <c r="BJ3008" s="1"/>
      <c r="BK3008" s="1"/>
      <c r="BL3008" s="1"/>
      <c r="BM3008" s="1"/>
      <c r="BN3008" s="1"/>
      <c r="BO3008" s="1"/>
      <c r="BP3008" s="1"/>
      <c r="BQ3008" s="1"/>
      <c r="BR3008" s="1"/>
      <c r="BS3008" s="1"/>
      <c r="BT3008" s="1"/>
      <c r="BU3008" s="1"/>
      <c r="BV3008" s="1"/>
      <c r="BW3008" s="1"/>
      <c r="BX3008" s="1"/>
      <c r="BY3008" s="1"/>
      <c r="BZ3008" s="1"/>
      <c r="CA3008" s="1"/>
      <c r="CB3008" s="1"/>
      <c r="CC3008" s="1"/>
      <c r="CD3008" s="1"/>
      <c r="CE3008" s="1"/>
      <c r="CF3008" s="1"/>
      <c r="CG3008" s="1"/>
      <c r="CH3008" s="1"/>
      <c r="CI3008" s="1"/>
      <c r="CJ3008" s="1"/>
      <c r="CK3008" s="1"/>
      <c r="CL3008" s="1"/>
      <c r="CM3008" s="1"/>
      <c r="CN3008" s="1"/>
      <c r="CO3008" s="1"/>
      <c r="CP3008" s="1"/>
      <c r="CQ3008" s="1"/>
      <c r="CR3008" s="1"/>
      <c r="CS3008" s="1"/>
      <c r="CT3008" s="1"/>
      <c r="CU3008" s="1"/>
      <c r="CV3008" s="1"/>
      <c r="CW3008" s="1"/>
      <c r="CX3008" s="1"/>
      <c r="CY3008" s="1"/>
      <c r="CZ3008" s="1"/>
      <c r="DA3008" s="1"/>
      <c r="DB3008" s="1"/>
      <c r="DC3008" s="1"/>
      <c r="DD3008" s="1"/>
      <c r="DE3008" s="1"/>
      <c r="DF3008" s="1"/>
      <c r="DG3008" s="1"/>
      <c r="DH3008" s="1"/>
      <c r="DI3008" s="1"/>
      <c r="DJ3008" s="1"/>
      <c r="DK3008" s="1"/>
      <c r="DL3008" s="1"/>
      <c r="DM3008" s="1"/>
      <c r="DN3008" s="1"/>
      <c r="DO3008" s="1"/>
      <c r="DP3008" s="1"/>
      <c r="DQ3008" s="1"/>
      <c r="DR3008" s="1"/>
      <c r="DS3008" s="1"/>
      <c r="DT3008" s="1"/>
      <c r="DU3008" s="1"/>
      <c r="DV3008" s="1"/>
      <c r="DW3008" s="1"/>
      <c r="DX3008" s="1"/>
      <c r="DY3008" s="1"/>
      <c r="DZ3008" s="1"/>
      <c r="EA3008" s="1"/>
      <c r="EB3008" s="1"/>
      <c r="EC3008" s="1"/>
      <c r="ED3008" s="1"/>
      <c r="EE3008" s="1"/>
      <c r="EF3008" s="1"/>
      <c r="EG3008" s="1"/>
      <c r="EH3008" s="1"/>
      <c r="EI3008" s="1"/>
      <c r="EJ3008" s="1"/>
      <c r="EK3008" s="1"/>
      <c r="EL3008" s="1"/>
      <c r="EM3008" s="1"/>
      <c r="EN3008" s="1"/>
      <c r="EO3008" s="1"/>
      <c r="EP3008" s="1"/>
      <c r="EQ3008" s="1"/>
      <c r="ER3008" s="1"/>
      <c r="ES3008" s="1"/>
      <c r="ET3008" s="1"/>
      <c r="EU3008" s="1"/>
      <c r="EV3008" s="1"/>
      <c r="EW3008" s="1"/>
      <c r="EX3008" s="1"/>
      <c r="EY3008" s="1"/>
      <c r="EZ3008" s="1"/>
      <c r="FA3008" s="1"/>
      <c r="FB3008" s="1"/>
      <c r="FC3008" s="1"/>
      <c r="FD3008" s="1"/>
      <c r="FE3008" s="1"/>
      <c r="FF3008" s="1"/>
      <c r="FG3008" s="1"/>
      <c r="FH3008" s="1"/>
      <c r="FI3008" s="1"/>
      <c r="FJ3008" s="1"/>
      <c r="FK3008" s="1"/>
      <c r="FL3008" s="1"/>
      <c r="FM3008" s="1"/>
      <c r="FN3008" s="1"/>
      <c r="FO3008" s="1"/>
      <c r="FP3008" s="1"/>
      <c r="FQ3008" s="1"/>
      <c r="FR3008" s="1"/>
      <c r="FS3008" s="1"/>
      <c r="FT3008" s="1"/>
      <c r="FU3008" s="1"/>
      <c r="FV3008" s="1"/>
      <c r="FW3008" s="1"/>
      <c r="FX3008" s="1"/>
      <c r="FY3008" s="1"/>
      <c r="FZ3008" s="1"/>
      <c r="GA3008" s="1"/>
      <c r="GB3008" s="1"/>
      <c r="GC3008" s="1"/>
      <c r="GD3008" s="1"/>
      <c r="GE3008" s="1"/>
      <c r="GF3008" s="1"/>
      <c r="GG3008" s="1"/>
      <c r="GH3008" s="1"/>
      <c r="GI3008" s="1"/>
      <c r="GJ3008" s="1"/>
      <c r="GK3008" s="1"/>
      <c r="GL3008" s="1"/>
      <c r="GM3008" s="1"/>
      <c r="GN3008" s="1"/>
      <c r="GO3008" s="1"/>
      <c r="GP3008" s="1"/>
      <c r="GQ3008" s="1"/>
      <c r="GR3008" s="1"/>
      <c r="GS3008" s="1"/>
      <c r="GT3008" s="1"/>
      <c r="GU3008" s="1"/>
      <c r="GV3008" s="1"/>
      <c r="GW3008" s="1"/>
      <c r="GX3008" s="1"/>
      <c r="GY3008" s="1"/>
      <c r="GZ3008" s="1"/>
      <c r="HA3008" s="1"/>
      <c r="HB3008" s="1"/>
      <c r="HC3008" s="1"/>
      <c r="HD3008" s="1"/>
      <c r="HE3008" s="1"/>
      <c r="HF3008" s="1"/>
      <c r="HG3008" s="1"/>
      <c r="HH3008" s="1"/>
      <c r="HI3008" s="1"/>
      <c r="HJ3008" s="1"/>
      <c r="HK3008" s="1"/>
      <c r="HL3008" s="1"/>
      <c r="HM3008" s="1"/>
      <c r="HN3008" s="1"/>
      <c r="HO3008" s="1"/>
      <c r="HP3008" s="1"/>
      <c r="HQ3008" s="1"/>
    </row>
    <row r="3009" spans="1:225" x14ac:dyDescent="0.35">
      <c r="A3009" s="311"/>
      <c r="B3009" s="311"/>
      <c r="C3009" s="317"/>
      <c r="D3009" s="263"/>
      <c r="E3009" s="263"/>
      <c r="F3009" s="266"/>
      <c r="G3009" s="257"/>
      <c r="H3009" s="159" t="s">
        <v>74</v>
      </c>
      <c r="I3009" s="158">
        <f>K3009*D3008</f>
        <v>2768267.52</v>
      </c>
      <c r="J3009" s="158">
        <f>I3009/D3008</f>
        <v>5248</v>
      </c>
      <c r="K3009" s="158">
        <v>5248</v>
      </c>
      <c r="L3009" s="1"/>
      <c r="M3009" s="1"/>
      <c r="N3009" s="1"/>
      <c r="O3009" s="1"/>
      <c r="P3009" s="1"/>
      <c r="Q3009" s="1"/>
      <c r="R3009" s="1"/>
      <c r="S3009" s="1"/>
      <c r="T3009" s="1"/>
      <c r="U3009" s="1"/>
      <c r="V3009" s="1"/>
      <c r="W3009" s="1"/>
      <c r="X3009" s="1"/>
      <c r="Y3009" s="1"/>
      <c r="Z3009" s="1"/>
      <c r="AA3009" s="1"/>
      <c r="AB3009" s="1"/>
      <c r="AC3009" s="1"/>
      <c r="AD3009" s="1"/>
      <c r="AE3009" s="1"/>
      <c r="AF3009" s="1"/>
      <c r="AG3009" s="1"/>
      <c r="AH3009" s="1"/>
      <c r="AI3009" s="1"/>
      <c r="AJ3009" s="1"/>
      <c r="AK3009" s="1"/>
      <c r="AL3009" s="1"/>
      <c r="AM3009" s="1"/>
      <c r="AN3009" s="1"/>
      <c r="AO3009" s="1"/>
      <c r="AP3009" s="1"/>
      <c r="AQ3009" s="1"/>
      <c r="AR3009" s="1"/>
      <c r="AS3009" s="1"/>
      <c r="AT3009" s="1"/>
      <c r="AU3009" s="1"/>
      <c r="AV3009" s="1"/>
      <c r="AW3009" s="1"/>
      <c r="AX3009" s="1"/>
      <c r="AY3009" s="1"/>
      <c r="AZ3009" s="1"/>
      <c r="BA3009" s="1"/>
      <c r="BB3009" s="1"/>
      <c r="BC3009" s="1"/>
      <c r="BD3009" s="1"/>
      <c r="BE3009" s="1"/>
      <c r="BF3009" s="1"/>
      <c r="BG3009" s="1"/>
      <c r="BH3009" s="1"/>
      <c r="BI3009" s="1"/>
      <c r="BJ3009" s="1"/>
      <c r="BK3009" s="1"/>
      <c r="BL3009" s="1"/>
      <c r="BM3009" s="1"/>
      <c r="BN3009" s="1"/>
      <c r="BO3009" s="1"/>
      <c r="BP3009" s="1"/>
      <c r="BQ3009" s="1"/>
      <c r="BR3009" s="1"/>
      <c r="BS3009" s="1"/>
      <c r="BT3009" s="1"/>
      <c r="BU3009" s="1"/>
      <c r="BV3009" s="1"/>
      <c r="BW3009" s="1"/>
      <c r="BX3009" s="1"/>
      <c r="BY3009" s="1"/>
      <c r="BZ3009" s="1"/>
      <c r="CA3009" s="1"/>
      <c r="CB3009" s="1"/>
      <c r="CC3009" s="1"/>
      <c r="CD3009" s="1"/>
      <c r="CE3009" s="1"/>
      <c r="CF3009" s="1"/>
      <c r="CG3009" s="1"/>
      <c r="CH3009" s="1"/>
      <c r="CI3009" s="1"/>
      <c r="CJ3009" s="1"/>
      <c r="CK3009" s="1"/>
      <c r="CL3009" s="1"/>
      <c r="CM3009" s="1"/>
      <c r="CN3009" s="1"/>
      <c r="CO3009" s="1"/>
      <c r="CP3009" s="1"/>
      <c r="CQ3009" s="1"/>
      <c r="CR3009" s="1"/>
      <c r="CS3009" s="1"/>
      <c r="CT3009" s="1"/>
      <c r="CU3009" s="1"/>
      <c r="CV3009" s="1"/>
      <c r="CW3009" s="1"/>
      <c r="CX3009" s="1"/>
      <c r="CY3009" s="1"/>
      <c r="CZ3009" s="1"/>
      <c r="DA3009" s="1"/>
      <c r="DB3009" s="1"/>
      <c r="DC3009" s="1"/>
      <c r="DD3009" s="1"/>
      <c r="DE3009" s="1"/>
      <c r="DF3009" s="1"/>
      <c r="DG3009" s="1"/>
      <c r="DH3009" s="1"/>
      <c r="DI3009" s="1"/>
      <c r="DJ3009" s="1"/>
      <c r="DK3009" s="1"/>
      <c r="DL3009" s="1"/>
      <c r="DM3009" s="1"/>
      <c r="DN3009" s="1"/>
      <c r="DO3009" s="1"/>
      <c r="DP3009" s="1"/>
      <c r="DQ3009" s="1"/>
      <c r="DR3009" s="1"/>
      <c r="DS3009" s="1"/>
      <c r="DT3009" s="1"/>
      <c r="DU3009" s="1"/>
      <c r="DV3009" s="1"/>
      <c r="DW3009" s="1"/>
      <c r="DX3009" s="1"/>
      <c r="DY3009" s="1"/>
      <c r="DZ3009" s="1"/>
      <c r="EA3009" s="1"/>
      <c r="EB3009" s="1"/>
      <c r="EC3009" s="1"/>
      <c r="ED3009" s="1"/>
      <c r="EE3009" s="1"/>
      <c r="EF3009" s="1"/>
      <c r="EG3009" s="1"/>
      <c r="EH3009" s="1"/>
      <c r="EI3009" s="1"/>
      <c r="EJ3009" s="1"/>
      <c r="EK3009" s="1"/>
      <c r="EL3009" s="1"/>
      <c r="EM3009" s="1"/>
      <c r="EN3009" s="1"/>
      <c r="EO3009" s="1"/>
      <c r="EP3009" s="1"/>
      <c r="EQ3009" s="1"/>
      <c r="ER3009" s="1"/>
      <c r="ES3009" s="1"/>
      <c r="ET3009" s="1"/>
      <c r="EU3009" s="1"/>
      <c r="EV3009" s="1"/>
      <c r="EW3009" s="1"/>
      <c r="EX3009" s="1"/>
      <c r="EY3009" s="1"/>
      <c r="EZ3009" s="1"/>
      <c r="FA3009" s="1"/>
      <c r="FB3009" s="1"/>
      <c r="FC3009" s="1"/>
      <c r="FD3009" s="1"/>
      <c r="FE3009" s="1"/>
      <c r="FF3009" s="1"/>
      <c r="FG3009" s="1"/>
      <c r="FH3009" s="1"/>
      <c r="FI3009" s="1"/>
      <c r="FJ3009" s="1"/>
      <c r="FK3009" s="1"/>
      <c r="FL3009" s="1"/>
      <c r="FM3009" s="1"/>
      <c r="FN3009" s="1"/>
      <c r="FO3009" s="1"/>
      <c r="FP3009" s="1"/>
      <c r="FQ3009" s="1"/>
      <c r="FR3009" s="1"/>
      <c r="FS3009" s="1"/>
      <c r="FT3009" s="1"/>
      <c r="FU3009" s="1"/>
      <c r="FV3009" s="1"/>
      <c r="FW3009" s="1"/>
      <c r="FX3009" s="1"/>
      <c r="FY3009" s="1"/>
      <c r="FZ3009" s="1"/>
      <c r="GA3009" s="1"/>
      <c r="GB3009" s="1"/>
      <c r="GC3009" s="1"/>
      <c r="GD3009" s="1"/>
      <c r="GE3009" s="1"/>
      <c r="GF3009" s="1"/>
      <c r="GG3009" s="1"/>
      <c r="GH3009" s="1"/>
      <c r="GI3009" s="1"/>
      <c r="GJ3009" s="1"/>
      <c r="GK3009" s="1"/>
      <c r="GL3009" s="1"/>
      <c r="GM3009" s="1"/>
      <c r="GN3009" s="1"/>
      <c r="GO3009" s="1"/>
      <c r="GP3009" s="1"/>
      <c r="GQ3009" s="1"/>
      <c r="GR3009" s="1"/>
      <c r="GS3009" s="1"/>
      <c r="GT3009" s="1"/>
      <c r="GU3009" s="1"/>
      <c r="GV3009" s="1"/>
      <c r="GW3009" s="1"/>
      <c r="GX3009" s="1"/>
      <c r="GY3009" s="1"/>
      <c r="GZ3009" s="1"/>
      <c r="HA3009" s="1"/>
      <c r="HB3009" s="1"/>
      <c r="HC3009" s="1"/>
      <c r="HD3009" s="1"/>
      <c r="HE3009" s="1"/>
      <c r="HF3009" s="1"/>
      <c r="HG3009" s="1"/>
      <c r="HH3009" s="1"/>
      <c r="HI3009" s="1"/>
      <c r="HJ3009" s="1"/>
      <c r="HK3009" s="1"/>
      <c r="HL3009" s="1"/>
      <c r="HM3009" s="1"/>
      <c r="HN3009" s="1"/>
      <c r="HO3009" s="1"/>
      <c r="HP3009" s="1"/>
      <c r="HQ3009" s="1"/>
    </row>
    <row r="3010" spans="1:225" x14ac:dyDescent="0.35">
      <c r="A3010" s="311"/>
      <c r="B3010" s="311"/>
      <c r="C3010" s="317"/>
      <c r="D3010" s="263"/>
      <c r="E3010" s="263"/>
      <c r="F3010" s="266"/>
      <c r="G3010" s="257"/>
      <c r="H3010" s="159" t="s">
        <v>76</v>
      </c>
      <c r="I3010" s="158">
        <f>K3010*D3008</f>
        <v>59078.879999999997</v>
      </c>
      <c r="J3010" s="158">
        <f>I3010/D3008</f>
        <v>112</v>
      </c>
      <c r="K3010" s="158">
        <v>112</v>
      </c>
      <c r="L3010" s="1"/>
      <c r="M3010" s="1"/>
      <c r="N3010" s="1"/>
      <c r="O3010" s="1"/>
      <c r="P3010" s="1"/>
      <c r="Q3010" s="1"/>
      <c r="R3010" s="1"/>
      <c r="S3010" s="1"/>
      <c r="T3010" s="1"/>
      <c r="U3010" s="1"/>
      <c r="V3010" s="1"/>
      <c r="W3010" s="1"/>
      <c r="X3010" s="1"/>
      <c r="Y3010" s="1"/>
      <c r="Z3010" s="1"/>
      <c r="AA3010" s="1"/>
      <c r="AB3010" s="1"/>
      <c r="AC3010" s="1"/>
      <c r="AD3010" s="1"/>
      <c r="AE3010" s="1"/>
      <c r="AF3010" s="1"/>
      <c r="AG3010" s="1"/>
      <c r="AH3010" s="1"/>
      <c r="AI3010" s="1"/>
      <c r="AJ3010" s="1"/>
      <c r="AK3010" s="1"/>
      <c r="AL3010" s="1"/>
      <c r="AM3010" s="1"/>
      <c r="AN3010" s="1"/>
      <c r="AO3010" s="1"/>
      <c r="AP3010" s="1"/>
      <c r="AQ3010" s="1"/>
      <c r="AR3010" s="1"/>
      <c r="AS3010" s="1"/>
      <c r="AT3010" s="1"/>
      <c r="AU3010" s="1"/>
      <c r="AV3010" s="1"/>
      <c r="AW3010" s="1"/>
      <c r="AX3010" s="1"/>
      <c r="AY3010" s="1"/>
      <c r="AZ3010" s="1"/>
      <c r="BA3010" s="1"/>
      <c r="BB3010" s="1"/>
      <c r="BC3010" s="1"/>
      <c r="BD3010" s="1"/>
      <c r="BE3010" s="1"/>
      <c r="BF3010" s="1"/>
      <c r="BG3010" s="1"/>
      <c r="BH3010" s="1"/>
      <c r="BI3010" s="1"/>
      <c r="BJ3010" s="1"/>
      <c r="BK3010" s="1"/>
      <c r="BL3010" s="1"/>
      <c r="BM3010" s="1"/>
      <c r="BN3010" s="1"/>
      <c r="BO3010" s="1"/>
      <c r="BP3010" s="1"/>
      <c r="BQ3010" s="1"/>
      <c r="BR3010" s="1"/>
      <c r="BS3010" s="1"/>
      <c r="BT3010" s="1"/>
      <c r="BU3010" s="1"/>
      <c r="BV3010" s="1"/>
      <c r="BW3010" s="1"/>
      <c r="BX3010" s="1"/>
      <c r="BY3010" s="1"/>
      <c r="BZ3010" s="1"/>
      <c r="CA3010" s="1"/>
      <c r="CB3010" s="1"/>
      <c r="CC3010" s="1"/>
      <c r="CD3010" s="1"/>
      <c r="CE3010" s="1"/>
      <c r="CF3010" s="1"/>
      <c r="CG3010" s="1"/>
      <c r="CH3010" s="1"/>
      <c r="CI3010" s="1"/>
      <c r="CJ3010" s="1"/>
      <c r="CK3010" s="1"/>
      <c r="CL3010" s="1"/>
      <c r="CM3010" s="1"/>
      <c r="CN3010" s="1"/>
      <c r="CO3010" s="1"/>
      <c r="CP3010" s="1"/>
      <c r="CQ3010" s="1"/>
      <c r="CR3010" s="1"/>
      <c r="CS3010" s="1"/>
      <c r="CT3010" s="1"/>
      <c r="CU3010" s="1"/>
      <c r="CV3010" s="1"/>
      <c r="CW3010" s="1"/>
      <c r="CX3010" s="1"/>
      <c r="CY3010" s="1"/>
      <c r="CZ3010" s="1"/>
      <c r="DA3010" s="1"/>
      <c r="DB3010" s="1"/>
      <c r="DC3010" s="1"/>
      <c r="DD3010" s="1"/>
      <c r="DE3010" s="1"/>
      <c r="DF3010" s="1"/>
      <c r="DG3010" s="1"/>
      <c r="DH3010" s="1"/>
      <c r="DI3010" s="1"/>
      <c r="DJ3010" s="1"/>
      <c r="DK3010" s="1"/>
      <c r="DL3010" s="1"/>
      <c r="DM3010" s="1"/>
      <c r="DN3010" s="1"/>
      <c r="DO3010" s="1"/>
      <c r="DP3010" s="1"/>
      <c r="DQ3010" s="1"/>
      <c r="DR3010" s="1"/>
      <c r="DS3010" s="1"/>
      <c r="DT3010" s="1"/>
      <c r="DU3010" s="1"/>
      <c r="DV3010" s="1"/>
      <c r="DW3010" s="1"/>
      <c r="DX3010" s="1"/>
      <c r="DY3010" s="1"/>
      <c r="DZ3010" s="1"/>
      <c r="EA3010" s="1"/>
      <c r="EB3010" s="1"/>
      <c r="EC3010" s="1"/>
      <c r="ED3010" s="1"/>
      <c r="EE3010" s="1"/>
      <c r="EF3010" s="1"/>
      <c r="EG3010" s="1"/>
      <c r="EH3010" s="1"/>
      <c r="EI3010" s="1"/>
      <c r="EJ3010" s="1"/>
      <c r="EK3010" s="1"/>
      <c r="EL3010" s="1"/>
      <c r="EM3010" s="1"/>
      <c r="EN3010" s="1"/>
      <c r="EO3010" s="1"/>
      <c r="EP3010" s="1"/>
      <c r="EQ3010" s="1"/>
      <c r="ER3010" s="1"/>
      <c r="ES3010" s="1"/>
      <c r="ET3010" s="1"/>
      <c r="EU3010" s="1"/>
      <c r="EV3010" s="1"/>
      <c r="EW3010" s="1"/>
      <c r="EX3010" s="1"/>
      <c r="EY3010" s="1"/>
      <c r="EZ3010" s="1"/>
      <c r="FA3010" s="1"/>
      <c r="FB3010" s="1"/>
      <c r="FC3010" s="1"/>
      <c r="FD3010" s="1"/>
      <c r="FE3010" s="1"/>
      <c r="FF3010" s="1"/>
      <c r="FG3010" s="1"/>
      <c r="FH3010" s="1"/>
      <c r="FI3010" s="1"/>
      <c r="FJ3010" s="1"/>
      <c r="FK3010" s="1"/>
      <c r="FL3010" s="1"/>
      <c r="FM3010" s="1"/>
      <c r="FN3010" s="1"/>
      <c r="FO3010" s="1"/>
      <c r="FP3010" s="1"/>
      <c r="FQ3010" s="1"/>
      <c r="FR3010" s="1"/>
      <c r="FS3010" s="1"/>
      <c r="FT3010" s="1"/>
      <c r="FU3010" s="1"/>
      <c r="FV3010" s="1"/>
      <c r="FW3010" s="1"/>
      <c r="FX3010" s="1"/>
      <c r="FY3010" s="1"/>
      <c r="FZ3010" s="1"/>
      <c r="GA3010" s="1"/>
      <c r="GB3010" s="1"/>
      <c r="GC3010" s="1"/>
      <c r="GD3010" s="1"/>
      <c r="GE3010" s="1"/>
      <c r="GF3010" s="1"/>
      <c r="GG3010" s="1"/>
      <c r="GH3010" s="1"/>
      <c r="GI3010" s="1"/>
      <c r="GJ3010" s="1"/>
      <c r="GK3010" s="1"/>
      <c r="GL3010" s="1"/>
      <c r="GM3010" s="1"/>
      <c r="GN3010" s="1"/>
      <c r="GO3010" s="1"/>
      <c r="GP3010" s="1"/>
      <c r="GQ3010" s="1"/>
      <c r="GR3010" s="1"/>
      <c r="GS3010" s="1"/>
      <c r="GT3010" s="1"/>
      <c r="GU3010" s="1"/>
      <c r="GV3010" s="1"/>
      <c r="GW3010" s="1"/>
      <c r="GX3010" s="1"/>
      <c r="GY3010" s="1"/>
      <c r="GZ3010" s="1"/>
      <c r="HA3010" s="1"/>
      <c r="HB3010" s="1"/>
      <c r="HC3010" s="1"/>
      <c r="HD3010" s="1"/>
      <c r="HE3010" s="1"/>
      <c r="HF3010" s="1"/>
      <c r="HG3010" s="1"/>
      <c r="HH3010" s="1"/>
      <c r="HI3010" s="1"/>
      <c r="HJ3010" s="1"/>
      <c r="HK3010" s="1"/>
      <c r="HL3010" s="1"/>
      <c r="HM3010" s="1"/>
      <c r="HN3010" s="1"/>
      <c r="HO3010" s="1"/>
      <c r="HP3010" s="1"/>
      <c r="HQ3010" s="1"/>
    </row>
    <row r="3011" spans="1:225" x14ac:dyDescent="0.35">
      <c r="A3011" s="311"/>
      <c r="B3011" s="311"/>
      <c r="C3011" s="317"/>
      <c r="D3011" s="263"/>
      <c r="E3011" s="263"/>
      <c r="F3011" s="266"/>
      <c r="G3011" s="257"/>
      <c r="H3011" s="159" t="s">
        <v>708</v>
      </c>
      <c r="I3011" s="158">
        <f>K3011*D3008</f>
        <v>2133697.0499999998</v>
      </c>
      <c r="J3011" s="158">
        <f>I3011/D3008</f>
        <v>4045</v>
      </c>
      <c r="K3011" s="158">
        <v>4045</v>
      </c>
      <c r="L3011" s="1"/>
      <c r="M3011" s="1"/>
      <c r="N3011" s="1"/>
      <c r="O3011" s="1"/>
      <c r="P3011" s="1"/>
      <c r="Q3011" s="1"/>
      <c r="R3011" s="1"/>
      <c r="S3011" s="1"/>
      <c r="T3011" s="1"/>
      <c r="U3011" s="1"/>
      <c r="V3011" s="1"/>
      <c r="W3011" s="1"/>
      <c r="X3011" s="1"/>
      <c r="Y3011" s="1"/>
      <c r="Z3011" s="1"/>
      <c r="AA3011" s="1"/>
      <c r="AB3011" s="1"/>
      <c r="AC3011" s="1"/>
      <c r="AD3011" s="1"/>
      <c r="AE3011" s="1"/>
      <c r="AF3011" s="1"/>
      <c r="AG3011" s="1"/>
      <c r="AH3011" s="1"/>
      <c r="AI3011" s="1"/>
      <c r="AJ3011" s="1"/>
      <c r="AK3011" s="1"/>
      <c r="AL3011" s="1"/>
      <c r="AM3011" s="1"/>
      <c r="AN3011" s="1"/>
      <c r="AO3011" s="1"/>
      <c r="AP3011" s="1"/>
      <c r="AQ3011" s="1"/>
      <c r="AR3011" s="1"/>
      <c r="AS3011" s="1"/>
      <c r="AT3011" s="1"/>
      <c r="AU3011" s="1"/>
      <c r="AV3011" s="1"/>
      <c r="AW3011" s="1"/>
      <c r="AX3011" s="1"/>
      <c r="AY3011" s="1"/>
      <c r="AZ3011" s="1"/>
      <c r="BA3011" s="1"/>
      <c r="BB3011" s="1"/>
      <c r="BC3011" s="1"/>
      <c r="BD3011" s="1"/>
      <c r="BE3011" s="1"/>
      <c r="BF3011" s="1"/>
      <c r="BG3011" s="1"/>
      <c r="BH3011" s="1"/>
      <c r="BI3011" s="1"/>
      <c r="BJ3011" s="1"/>
      <c r="BK3011" s="1"/>
      <c r="BL3011" s="1"/>
      <c r="BM3011" s="1"/>
      <c r="BN3011" s="1"/>
      <c r="BO3011" s="1"/>
      <c r="BP3011" s="1"/>
      <c r="BQ3011" s="1"/>
      <c r="BR3011" s="1"/>
      <c r="BS3011" s="1"/>
      <c r="BT3011" s="1"/>
      <c r="BU3011" s="1"/>
      <c r="BV3011" s="1"/>
      <c r="BW3011" s="1"/>
      <c r="BX3011" s="1"/>
      <c r="BY3011" s="1"/>
      <c r="BZ3011" s="1"/>
      <c r="CA3011" s="1"/>
      <c r="CB3011" s="1"/>
      <c r="CC3011" s="1"/>
      <c r="CD3011" s="1"/>
      <c r="CE3011" s="1"/>
      <c r="CF3011" s="1"/>
      <c r="CG3011" s="1"/>
      <c r="CH3011" s="1"/>
      <c r="CI3011" s="1"/>
      <c r="CJ3011" s="1"/>
      <c r="CK3011" s="1"/>
      <c r="CL3011" s="1"/>
      <c r="CM3011" s="1"/>
      <c r="CN3011" s="1"/>
      <c r="CO3011" s="1"/>
      <c r="CP3011" s="1"/>
      <c r="CQ3011" s="1"/>
      <c r="CR3011" s="1"/>
      <c r="CS3011" s="1"/>
      <c r="CT3011" s="1"/>
      <c r="CU3011" s="1"/>
      <c r="CV3011" s="1"/>
      <c r="CW3011" s="1"/>
      <c r="CX3011" s="1"/>
      <c r="CY3011" s="1"/>
      <c r="CZ3011" s="1"/>
      <c r="DA3011" s="1"/>
      <c r="DB3011" s="1"/>
      <c r="DC3011" s="1"/>
      <c r="DD3011" s="1"/>
      <c r="DE3011" s="1"/>
      <c r="DF3011" s="1"/>
      <c r="DG3011" s="1"/>
      <c r="DH3011" s="1"/>
      <c r="DI3011" s="1"/>
      <c r="DJ3011" s="1"/>
      <c r="DK3011" s="1"/>
      <c r="DL3011" s="1"/>
      <c r="DM3011" s="1"/>
      <c r="DN3011" s="1"/>
      <c r="DO3011" s="1"/>
      <c r="DP3011" s="1"/>
      <c r="DQ3011" s="1"/>
      <c r="DR3011" s="1"/>
      <c r="DS3011" s="1"/>
      <c r="DT3011" s="1"/>
      <c r="DU3011" s="1"/>
      <c r="DV3011" s="1"/>
      <c r="DW3011" s="1"/>
      <c r="DX3011" s="1"/>
      <c r="DY3011" s="1"/>
      <c r="DZ3011" s="1"/>
      <c r="EA3011" s="1"/>
      <c r="EB3011" s="1"/>
      <c r="EC3011" s="1"/>
      <c r="ED3011" s="1"/>
      <c r="EE3011" s="1"/>
      <c r="EF3011" s="1"/>
      <c r="EG3011" s="1"/>
      <c r="EH3011" s="1"/>
      <c r="EI3011" s="1"/>
      <c r="EJ3011" s="1"/>
      <c r="EK3011" s="1"/>
      <c r="EL3011" s="1"/>
      <c r="EM3011" s="1"/>
      <c r="EN3011" s="1"/>
      <c r="EO3011" s="1"/>
      <c r="EP3011" s="1"/>
      <c r="EQ3011" s="1"/>
      <c r="ER3011" s="1"/>
      <c r="ES3011" s="1"/>
      <c r="ET3011" s="1"/>
      <c r="EU3011" s="1"/>
      <c r="EV3011" s="1"/>
      <c r="EW3011" s="1"/>
      <c r="EX3011" s="1"/>
      <c r="EY3011" s="1"/>
      <c r="EZ3011" s="1"/>
      <c r="FA3011" s="1"/>
      <c r="FB3011" s="1"/>
      <c r="FC3011" s="1"/>
      <c r="FD3011" s="1"/>
      <c r="FE3011" s="1"/>
      <c r="FF3011" s="1"/>
      <c r="FG3011" s="1"/>
      <c r="FH3011" s="1"/>
      <c r="FI3011" s="1"/>
      <c r="FJ3011" s="1"/>
      <c r="FK3011" s="1"/>
      <c r="FL3011" s="1"/>
      <c r="FM3011" s="1"/>
      <c r="FN3011" s="1"/>
      <c r="FO3011" s="1"/>
      <c r="FP3011" s="1"/>
      <c r="FQ3011" s="1"/>
      <c r="FR3011" s="1"/>
      <c r="FS3011" s="1"/>
      <c r="FT3011" s="1"/>
      <c r="FU3011" s="1"/>
      <c r="FV3011" s="1"/>
      <c r="FW3011" s="1"/>
      <c r="FX3011" s="1"/>
      <c r="FY3011" s="1"/>
      <c r="FZ3011" s="1"/>
      <c r="GA3011" s="1"/>
      <c r="GB3011" s="1"/>
      <c r="GC3011" s="1"/>
      <c r="GD3011" s="1"/>
      <c r="GE3011" s="1"/>
      <c r="GF3011" s="1"/>
      <c r="GG3011" s="1"/>
      <c r="GH3011" s="1"/>
      <c r="GI3011" s="1"/>
      <c r="GJ3011" s="1"/>
      <c r="GK3011" s="1"/>
      <c r="GL3011" s="1"/>
      <c r="GM3011" s="1"/>
      <c r="GN3011" s="1"/>
      <c r="GO3011" s="1"/>
      <c r="GP3011" s="1"/>
      <c r="GQ3011" s="1"/>
      <c r="GR3011" s="1"/>
      <c r="GS3011" s="1"/>
      <c r="GT3011" s="1"/>
      <c r="GU3011" s="1"/>
      <c r="GV3011" s="1"/>
      <c r="GW3011" s="1"/>
      <c r="GX3011" s="1"/>
      <c r="GY3011" s="1"/>
      <c r="GZ3011" s="1"/>
      <c r="HA3011" s="1"/>
      <c r="HB3011" s="1"/>
      <c r="HC3011" s="1"/>
      <c r="HD3011" s="1"/>
      <c r="HE3011" s="1"/>
      <c r="HF3011" s="1"/>
      <c r="HG3011" s="1"/>
      <c r="HH3011" s="1"/>
      <c r="HI3011" s="1"/>
      <c r="HJ3011" s="1"/>
      <c r="HK3011" s="1"/>
      <c r="HL3011" s="1"/>
      <c r="HM3011" s="1"/>
      <c r="HN3011" s="1"/>
      <c r="HO3011" s="1"/>
      <c r="HP3011" s="1"/>
      <c r="HQ3011" s="1"/>
    </row>
    <row r="3012" spans="1:225" x14ac:dyDescent="0.35">
      <c r="A3012" s="312"/>
      <c r="B3012" s="312"/>
      <c r="C3012" s="318"/>
      <c r="D3012" s="264"/>
      <c r="E3012" s="264"/>
      <c r="F3012" s="267"/>
      <c r="G3012" s="258"/>
      <c r="H3012" s="159" t="s">
        <v>76</v>
      </c>
      <c r="I3012" s="158">
        <f>K3012*D3008</f>
        <v>45891.63</v>
      </c>
      <c r="J3012" s="158">
        <f>I3012/D3008</f>
        <v>87</v>
      </c>
      <c r="K3012" s="158">
        <v>87</v>
      </c>
      <c r="L3012" s="1"/>
      <c r="M3012" s="1"/>
      <c r="N3012" s="1"/>
      <c r="O3012" s="1"/>
      <c r="P3012" s="1"/>
      <c r="Q3012" s="1"/>
      <c r="R3012" s="1"/>
      <c r="S3012" s="1"/>
      <c r="T3012" s="1"/>
      <c r="U3012" s="1"/>
      <c r="V3012" s="1"/>
      <c r="W3012" s="1"/>
      <c r="X3012" s="1"/>
      <c r="Y3012" s="1"/>
      <c r="Z3012" s="1"/>
      <c r="AA3012" s="1"/>
      <c r="AB3012" s="1"/>
      <c r="AC3012" s="1"/>
      <c r="AD3012" s="1"/>
      <c r="AE3012" s="1"/>
      <c r="AF3012" s="1"/>
      <c r="AG3012" s="1"/>
      <c r="AH3012" s="1"/>
      <c r="AI3012" s="1"/>
      <c r="AJ3012" s="1"/>
      <c r="AK3012" s="1"/>
      <c r="AL3012" s="1"/>
      <c r="AM3012" s="1"/>
      <c r="AN3012" s="1"/>
      <c r="AO3012" s="1"/>
      <c r="AP3012" s="1"/>
      <c r="AQ3012" s="1"/>
      <c r="AR3012" s="1"/>
      <c r="AS3012" s="1"/>
      <c r="AT3012" s="1"/>
      <c r="AU3012" s="1"/>
      <c r="AV3012" s="1"/>
      <c r="AW3012" s="1"/>
      <c r="AX3012" s="1"/>
      <c r="AY3012" s="1"/>
      <c r="AZ3012" s="1"/>
      <c r="BA3012" s="1"/>
      <c r="BB3012" s="1"/>
      <c r="BC3012" s="1"/>
      <c r="BD3012" s="1"/>
      <c r="BE3012" s="1"/>
      <c r="BF3012" s="1"/>
      <c r="BG3012" s="1"/>
      <c r="BH3012" s="1"/>
      <c r="BI3012" s="1"/>
      <c r="BJ3012" s="1"/>
      <c r="BK3012" s="1"/>
      <c r="BL3012" s="1"/>
      <c r="BM3012" s="1"/>
      <c r="BN3012" s="1"/>
      <c r="BO3012" s="1"/>
      <c r="BP3012" s="1"/>
      <c r="BQ3012" s="1"/>
      <c r="BR3012" s="1"/>
      <c r="BS3012" s="1"/>
      <c r="BT3012" s="1"/>
      <c r="BU3012" s="1"/>
      <c r="BV3012" s="1"/>
      <c r="BW3012" s="1"/>
      <c r="BX3012" s="1"/>
      <c r="BY3012" s="1"/>
      <c r="BZ3012" s="1"/>
      <c r="CA3012" s="1"/>
      <c r="CB3012" s="1"/>
      <c r="CC3012" s="1"/>
      <c r="CD3012" s="1"/>
      <c r="CE3012" s="1"/>
      <c r="CF3012" s="1"/>
      <c r="CG3012" s="1"/>
      <c r="CH3012" s="1"/>
      <c r="CI3012" s="1"/>
      <c r="CJ3012" s="1"/>
      <c r="CK3012" s="1"/>
      <c r="CL3012" s="1"/>
      <c r="CM3012" s="1"/>
      <c r="CN3012" s="1"/>
      <c r="CO3012" s="1"/>
      <c r="CP3012" s="1"/>
      <c r="CQ3012" s="1"/>
      <c r="CR3012" s="1"/>
      <c r="CS3012" s="1"/>
      <c r="CT3012" s="1"/>
      <c r="CU3012" s="1"/>
      <c r="CV3012" s="1"/>
      <c r="CW3012" s="1"/>
      <c r="CX3012" s="1"/>
      <c r="CY3012" s="1"/>
      <c r="CZ3012" s="1"/>
      <c r="DA3012" s="1"/>
      <c r="DB3012" s="1"/>
      <c r="DC3012" s="1"/>
      <c r="DD3012" s="1"/>
      <c r="DE3012" s="1"/>
      <c r="DF3012" s="1"/>
      <c r="DG3012" s="1"/>
      <c r="DH3012" s="1"/>
      <c r="DI3012" s="1"/>
      <c r="DJ3012" s="1"/>
      <c r="DK3012" s="1"/>
      <c r="DL3012" s="1"/>
      <c r="DM3012" s="1"/>
      <c r="DN3012" s="1"/>
      <c r="DO3012" s="1"/>
      <c r="DP3012" s="1"/>
      <c r="DQ3012" s="1"/>
      <c r="DR3012" s="1"/>
      <c r="DS3012" s="1"/>
      <c r="DT3012" s="1"/>
      <c r="DU3012" s="1"/>
      <c r="DV3012" s="1"/>
      <c r="DW3012" s="1"/>
      <c r="DX3012" s="1"/>
      <c r="DY3012" s="1"/>
      <c r="DZ3012" s="1"/>
      <c r="EA3012" s="1"/>
      <c r="EB3012" s="1"/>
      <c r="EC3012" s="1"/>
      <c r="ED3012" s="1"/>
      <c r="EE3012" s="1"/>
      <c r="EF3012" s="1"/>
      <c r="EG3012" s="1"/>
      <c r="EH3012" s="1"/>
      <c r="EI3012" s="1"/>
      <c r="EJ3012" s="1"/>
      <c r="EK3012" s="1"/>
      <c r="EL3012" s="1"/>
      <c r="EM3012" s="1"/>
      <c r="EN3012" s="1"/>
      <c r="EO3012" s="1"/>
      <c r="EP3012" s="1"/>
      <c r="EQ3012" s="1"/>
      <c r="ER3012" s="1"/>
      <c r="ES3012" s="1"/>
      <c r="ET3012" s="1"/>
      <c r="EU3012" s="1"/>
      <c r="EV3012" s="1"/>
      <c r="EW3012" s="1"/>
      <c r="EX3012" s="1"/>
      <c r="EY3012" s="1"/>
      <c r="EZ3012" s="1"/>
      <c r="FA3012" s="1"/>
      <c r="FB3012" s="1"/>
      <c r="FC3012" s="1"/>
      <c r="FD3012" s="1"/>
      <c r="FE3012" s="1"/>
      <c r="FF3012" s="1"/>
      <c r="FG3012" s="1"/>
      <c r="FH3012" s="1"/>
      <c r="FI3012" s="1"/>
      <c r="FJ3012" s="1"/>
      <c r="FK3012" s="1"/>
      <c r="FL3012" s="1"/>
      <c r="FM3012" s="1"/>
      <c r="FN3012" s="1"/>
      <c r="FO3012" s="1"/>
      <c r="FP3012" s="1"/>
      <c r="FQ3012" s="1"/>
      <c r="FR3012" s="1"/>
      <c r="FS3012" s="1"/>
      <c r="FT3012" s="1"/>
      <c r="FU3012" s="1"/>
      <c r="FV3012" s="1"/>
      <c r="FW3012" s="1"/>
      <c r="FX3012" s="1"/>
      <c r="FY3012" s="1"/>
      <c r="FZ3012" s="1"/>
      <c r="GA3012" s="1"/>
      <c r="GB3012" s="1"/>
      <c r="GC3012" s="1"/>
      <c r="GD3012" s="1"/>
      <c r="GE3012" s="1"/>
      <c r="GF3012" s="1"/>
      <c r="GG3012" s="1"/>
      <c r="GH3012" s="1"/>
      <c r="GI3012" s="1"/>
      <c r="GJ3012" s="1"/>
      <c r="GK3012" s="1"/>
      <c r="GL3012" s="1"/>
      <c r="GM3012" s="1"/>
      <c r="GN3012" s="1"/>
      <c r="GO3012" s="1"/>
      <c r="GP3012" s="1"/>
      <c r="GQ3012" s="1"/>
      <c r="GR3012" s="1"/>
      <c r="GS3012" s="1"/>
      <c r="GT3012" s="1"/>
      <c r="GU3012" s="1"/>
      <c r="GV3012" s="1"/>
      <c r="GW3012" s="1"/>
      <c r="GX3012" s="1"/>
      <c r="GY3012" s="1"/>
      <c r="GZ3012" s="1"/>
      <c r="HA3012" s="1"/>
      <c r="HB3012" s="1"/>
      <c r="HC3012" s="1"/>
      <c r="HD3012" s="1"/>
      <c r="HE3012" s="1"/>
      <c r="HF3012" s="1"/>
      <c r="HG3012" s="1"/>
      <c r="HH3012" s="1"/>
      <c r="HI3012" s="1"/>
      <c r="HJ3012" s="1"/>
      <c r="HK3012" s="1"/>
      <c r="HL3012" s="1"/>
      <c r="HM3012" s="1"/>
      <c r="HN3012" s="1"/>
      <c r="HO3012" s="1"/>
      <c r="HP3012" s="1"/>
      <c r="HQ3012" s="1"/>
    </row>
    <row r="3013" spans="1:225" x14ac:dyDescent="0.35">
      <c r="A3013" s="153" t="s">
        <v>39</v>
      </c>
      <c r="B3013" s="134"/>
      <c r="C3013" s="56"/>
      <c r="D3013" s="125">
        <f>D3014</f>
        <v>401.2</v>
      </c>
      <c r="E3013" s="125"/>
      <c r="F3013" s="125"/>
      <c r="G3013" s="125"/>
      <c r="H3013" s="162"/>
      <c r="I3013" s="158">
        <f>I3014</f>
        <v>2834879.2</v>
      </c>
      <c r="J3013" s="158"/>
      <c r="K3013" s="158"/>
      <c r="L3013" s="1"/>
      <c r="M3013" s="1"/>
      <c r="N3013" s="1"/>
      <c r="O3013" s="1"/>
      <c r="P3013" s="1"/>
      <c r="Q3013" s="1"/>
      <c r="R3013" s="1"/>
      <c r="S3013" s="1"/>
      <c r="T3013" s="1"/>
      <c r="U3013" s="1"/>
      <c r="V3013" s="1"/>
      <c r="W3013" s="1"/>
      <c r="X3013" s="1"/>
      <c r="Y3013" s="1"/>
      <c r="Z3013" s="1"/>
      <c r="AA3013" s="1"/>
      <c r="AB3013" s="1"/>
      <c r="AC3013" s="1"/>
      <c r="AD3013" s="1"/>
      <c r="AE3013" s="1"/>
      <c r="AF3013" s="1"/>
      <c r="AG3013" s="1"/>
      <c r="AH3013" s="1"/>
      <c r="AI3013" s="1"/>
      <c r="AJ3013" s="1"/>
      <c r="AK3013" s="1"/>
      <c r="AL3013" s="1"/>
      <c r="AM3013" s="1"/>
      <c r="AN3013" s="1"/>
      <c r="AO3013" s="1"/>
      <c r="AP3013" s="1"/>
      <c r="AQ3013" s="1"/>
      <c r="AR3013" s="1"/>
      <c r="AS3013" s="1"/>
      <c r="AT3013" s="1"/>
      <c r="AU3013" s="1"/>
      <c r="AV3013" s="1"/>
      <c r="AW3013" s="1"/>
      <c r="AX3013" s="1"/>
      <c r="AY3013" s="1"/>
      <c r="AZ3013" s="1"/>
      <c r="BA3013" s="1"/>
      <c r="BB3013" s="1"/>
      <c r="BC3013" s="1"/>
      <c r="BD3013" s="1"/>
      <c r="BE3013" s="1"/>
      <c r="BF3013" s="1"/>
      <c r="BG3013" s="1"/>
      <c r="BH3013" s="1"/>
      <c r="BI3013" s="1"/>
      <c r="BJ3013" s="1"/>
      <c r="BK3013" s="1"/>
      <c r="BL3013" s="1"/>
      <c r="BM3013" s="1"/>
      <c r="BN3013" s="1"/>
      <c r="BO3013" s="1"/>
      <c r="BP3013" s="1"/>
      <c r="BQ3013" s="1"/>
      <c r="BR3013" s="1"/>
      <c r="BS3013" s="1"/>
      <c r="BT3013" s="1"/>
      <c r="BU3013" s="1"/>
      <c r="BV3013" s="1"/>
      <c r="BW3013" s="1"/>
      <c r="BX3013" s="1"/>
      <c r="BY3013" s="1"/>
      <c r="BZ3013" s="1"/>
      <c r="CA3013" s="1"/>
      <c r="CB3013" s="1"/>
      <c r="CC3013" s="1"/>
      <c r="CD3013" s="1"/>
      <c r="CE3013" s="1"/>
      <c r="CF3013" s="1"/>
      <c r="CG3013" s="1"/>
      <c r="CH3013" s="1"/>
      <c r="CI3013" s="1"/>
      <c r="CJ3013" s="1"/>
      <c r="CK3013" s="1"/>
      <c r="CL3013" s="1"/>
      <c r="CM3013" s="1"/>
      <c r="CN3013" s="1"/>
      <c r="CO3013" s="1"/>
      <c r="CP3013" s="1"/>
      <c r="CQ3013" s="1"/>
      <c r="CR3013" s="1"/>
      <c r="CS3013" s="1"/>
      <c r="CT3013" s="1"/>
      <c r="CU3013" s="1"/>
      <c r="CV3013" s="1"/>
      <c r="CW3013" s="1"/>
      <c r="CX3013" s="1"/>
      <c r="CY3013" s="1"/>
      <c r="CZ3013" s="1"/>
      <c r="DA3013" s="1"/>
      <c r="DB3013" s="1"/>
      <c r="DC3013" s="1"/>
      <c r="DD3013" s="1"/>
      <c r="DE3013" s="1"/>
      <c r="DF3013" s="1"/>
      <c r="DG3013" s="1"/>
      <c r="DH3013" s="1"/>
      <c r="DI3013" s="1"/>
      <c r="DJ3013" s="1"/>
      <c r="DK3013" s="1"/>
      <c r="DL3013" s="1"/>
      <c r="DM3013" s="1"/>
      <c r="DN3013" s="1"/>
      <c r="DO3013" s="1"/>
      <c r="DP3013" s="1"/>
      <c r="DQ3013" s="1"/>
      <c r="DR3013" s="1"/>
      <c r="DS3013" s="1"/>
      <c r="DT3013" s="1"/>
      <c r="DU3013" s="1"/>
      <c r="DV3013" s="1"/>
      <c r="DW3013" s="1"/>
      <c r="DX3013" s="1"/>
      <c r="DY3013" s="1"/>
      <c r="DZ3013" s="1"/>
      <c r="EA3013" s="1"/>
      <c r="EB3013" s="1"/>
      <c r="EC3013" s="1"/>
      <c r="ED3013" s="1"/>
      <c r="EE3013" s="1"/>
      <c r="EF3013" s="1"/>
      <c r="EG3013" s="1"/>
      <c r="EH3013" s="1"/>
      <c r="EI3013" s="1"/>
      <c r="EJ3013" s="1"/>
      <c r="EK3013" s="1"/>
      <c r="EL3013" s="1"/>
      <c r="EM3013" s="1"/>
      <c r="EN3013" s="1"/>
      <c r="EO3013" s="1"/>
      <c r="EP3013" s="1"/>
      <c r="EQ3013" s="1"/>
      <c r="ER3013" s="1"/>
      <c r="ES3013" s="1"/>
      <c r="ET3013" s="1"/>
      <c r="EU3013" s="1"/>
      <c r="EV3013" s="1"/>
      <c r="EW3013" s="1"/>
      <c r="EX3013" s="1"/>
      <c r="EY3013" s="1"/>
      <c r="EZ3013" s="1"/>
      <c r="FA3013" s="1"/>
      <c r="FB3013" s="1"/>
      <c r="FC3013" s="1"/>
      <c r="FD3013" s="1"/>
      <c r="FE3013" s="1"/>
      <c r="FF3013" s="1"/>
      <c r="FG3013" s="1"/>
      <c r="FH3013" s="1"/>
      <c r="FI3013" s="1"/>
      <c r="FJ3013" s="1"/>
      <c r="FK3013" s="1"/>
      <c r="FL3013" s="1"/>
      <c r="FM3013" s="1"/>
      <c r="FN3013" s="1"/>
      <c r="FO3013" s="1"/>
      <c r="FP3013" s="1"/>
      <c r="FQ3013" s="1"/>
      <c r="FR3013" s="1"/>
      <c r="FS3013" s="1"/>
      <c r="FT3013" s="1"/>
      <c r="FU3013" s="1"/>
      <c r="FV3013" s="1"/>
      <c r="FW3013" s="1"/>
      <c r="FX3013" s="1"/>
      <c r="FY3013" s="1"/>
      <c r="FZ3013" s="1"/>
      <c r="GA3013" s="1"/>
      <c r="GB3013" s="1"/>
      <c r="GC3013" s="1"/>
      <c r="GD3013" s="1"/>
      <c r="GE3013" s="1"/>
      <c r="GF3013" s="1"/>
      <c r="GG3013" s="1"/>
      <c r="GH3013" s="1"/>
      <c r="GI3013" s="1"/>
      <c r="GJ3013" s="1"/>
      <c r="GK3013" s="1"/>
      <c r="GL3013" s="1"/>
      <c r="GM3013" s="1"/>
      <c r="GN3013" s="1"/>
      <c r="GO3013" s="1"/>
      <c r="GP3013" s="1"/>
      <c r="GQ3013" s="1"/>
      <c r="GR3013" s="1"/>
      <c r="GS3013" s="1"/>
      <c r="GT3013" s="1"/>
      <c r="GU3013" s="1"/>
      <c r="GV3013" s="1"/>
      <c r="GW3013" s="1"/>
      <c r="GX3013" s="1"/>
      <c r="GY3013" s="1"/>
      <c r="GZ3013" s="1"/>
      <c r="HA3013" s="1"/>
      <c r="HB3013" s="1"/>
      <c r="HC3013" s="1"/>
      <c r="HD3013" s="1"/>
      <c r="HE3013" s="1"/>
      <c r="HF3013" s="1"/>
      <c r="HG3013" s="1"/>
      <c r="HH3013" s="1"/>
      <c r="HI3013" s="1"/>
      <c r="HJ3013" s="1"/>
      <c r="HK3013" s="1"/>
      <c r="HL3013" s="1"/>
      <c r="HM3013" s="1"/>
      <c r="HN3013" s="1"/>
      <c r="HO3013" s="1"/>
      <c r="HP3013" s="1"/>
      <c r="HQ3013" s="1"/>
    </row>
    <row r="3014" spans="1:225" ht="15.75" customHeight="1" x14ac:dyDescent="0.35">
      <c r="A3014" s="256">
        <v>1</v>
      </c>
      <c r="B3014" s="256">
        <v>6736</v>
      </c>
      <c r="C3014" s="259" t="s">
        <v>622</v>
      </c>
      <c r="D3014" s="262">
        <v>401.2</v>
      </c>
      <c r="E3014" s="262" t="s">
        <v>665</v>
      </c>
      <c r="F3014" s="265">
        <v>2</v>
      </c>
      <c r="G3014" s="256" t="s">
        <v>72</v>
      </c>
      <c r="H3014" s="159" t="s">
        <v>73</v>
      </c>
      <c r="I3014" s="158">
        <f>I3015+I3016</f>
        <v>2834879.2</v>
      </c>
      <c r="J3014" s="158">
        <f>J3015+J3016</f>
        <v>7066</v>
      </c>
      <c r="K3014" s="158">
        <f>K3015+K3016</f>
        <v>7066</v>
      </c>
      <c r="L3014" s="1"/>
      <c r="M3014" s="1"/>
      <c r="N3014" s="1"/>
      <c r="O3014" s="1"/>
      <c r="P3014" s="1"/>
      <c r="Q3014" s="1"/>
      <c r="R3014" s="1"/>
      <c r="S3014" s="1"/>
      <c r="T3014" s="1"/>
      <c r="U3014" s="1"/>
      <c r="V3014" s="1"/>
      <c r="W3014" s="1"/>
      <c r="X3014" s="1"/>
      <c r="Y3014" s="1"/>
      <c r="Z3014" s="1"/>
      <c r="AA3014" s="1"/>
      <c r="AB3014" s="1"/>
      <c r="AC3014" s="1"/>
      <c r="AD3014" s="1"/>
      <c r="AE3014" s="1"/>
      <c r="AF3014" s="1"/>
      <c r="AG3014" s="1"/>
      <c r="AH3014" s="1"/>
      <c r="AI3014" s="1"/>
      <c r="AJ3014" s="1"/>
      <c r="AK3014" s="1"/>
      <c r="AL3014" s="1"/>
      <c r="AM3014" s="1"/>
      <c r="AN3014" s="1"/>
      <c r="AO3014" s="1"/>
      <c r="AP3014" s="1"/>
      <c r="AQ3014" s="1"/>
      <c r="AR3014" s="1"/>
      <c r="AS3014" s="1"/>
      <c r="AT3014" s="1"/>
      <c r="AU3014" s="1"/>
      <c r="AV3014" s="1"/>
      <c r="AW3014" s="1"/>
      <c r="AX3014" s="1"/>
      <c r="AY3014" s="1"/>
      <c r="AZ3014" s="1"/>
      <c r="BA3014" s="1"/>
      <c r="BB3014" s="1"/>
      <c r="BC3014" s="1"/>
      <c r="BD3014" s="1"/>
      <c r="BE3014" s="1"/>
      <c r="BF3014" s="1"/>
      <c r="BG3014" s="1"/>
      <c r="BH3014" s="1"/>
      <c r="BI3014" s="1"/>
      <c r="BJ3014" s="1"/>
      <c r="BK3014" s="1"/>
      <c r="BL3014" s="1"/>
      <c r="BM3014" s="1"/>
      <c r="BN3014" s="1"/>
      <c r="BO3014" s="1"/>
      <c r="BP3014" s="1"/>
      <c r="BQ3014" s="1"/>
      <c r="BR3014" s="1"/>
      <c r="BS3014" s="1"/>
      <c r="BT3014" s="1"/>
      <c r="BU3014" s="1"/>
      <c r="BV3014" s="1"/>
      <c r="BW3014" s="1"/>
      <c r="BX3014" s="1"/>
      <c r="BY3014" s="1"/>
      <c r="BZ3014" s="1"/>
      <c r="CA3014" s="1"/>
      <c r="CB3014" s="1"/>
      <c r="CC3014" s="1"/>
      <c r="CD3014" s="1"/>
      <c r="CE3014" s="1"/>
      <c r="CF3014" s="1"/>
      <c r="CG3014" s="1"/>
      <c r="CH3014" s="1"/>
      <c r="CI3014" s="1"/>
      <c r="CJ3014" s="1"/>
      <c r="CK3014" s="1"/>
      <c r="CL3014" s="1"/>
      <c r="CM3014" s="1"/>
      <c r="CN3014" s="1"/>
      <c r="CO3014" s="1"/>
      <c r="CP3014" s="1"/>
      <c r="CQ3014" s="1"/>
      <c r="CR3014" s="1"/>
      <c r="CS3014" s="1"/>
      <c r="CT3014" s="1"/>
      <c r="CU3014" s="1"/>
      <c r="CV3014" s="1"/>
      <c r="CW3014" s="1"/>
      <c r="CX3014" s="1"/>
      <c r="CY3014" s="1"/>
      <c r="CZ3014" s="1"/>
      <c r="DA3014" s="1"/>
      <c r="DB3014" s="1"/>
      <c r="DC3014" s="1"/>
      <c r="DD3014" s="1"/>
      <c r="DE3014" s="1"/>
      <c r="DF3014" s="1"/>
      <c r="DG3014" s="1"/>
      <c r="DH3014" s="1"/>
      <c r="DI3014" s="1"/>
      <c r="DJ3014" s="1"/>
      <c r="DK3014" s="1"/>
      <c r="DL3014" s="1"/>
      <c r="DM3014" s="1"/>
      <c r="DN3014" s="1"/>
      <c r="DO3014" s="1"/>
      <c r="DP3014" s="1"/>
      <c r="DQ3014" s="1"/>
      <c r="DR3014" s="1"/>
      <c r="DS3014" s="1"/>
      <c r="DT3014" s="1"/>
      <c r="DU3014" s="1"/>
      <c r="DV3014" s="1"/>
      <c r="DW3014" s="1"/>
      <c r="DX3014" s="1"/>
      <c r="DY3014" s="1"/>
      <c r="DZ3014" s="1"/>
      <c r="EA3014" s="1"/>
      <c r="EB3014" s="1"/>
      <c r="EC3014" s="1"/>
      <c r="ED3014" s="1"/>
      <c r="EE3014" s="1"/>
      <c r="EF3014" s="1"/>
      <c r="EG3014" s="1"/>
      <c r="EH3014" s="1"/>
      <c r="EI3014" s="1"/>
      <c r="EJ3014" s="1"/>
      <c r="EK3014" s="1"/>
      <c r="EL3014" s="1"/>
      <c r="EM3014" s="1"/>
      <c r="EN3014" s="1"/>
      <c r="EO3014" s="1"/>
      <c r="EP3014" s="1"/>
      <c r="EQ3014" s="1"/>
      <c r="ER3014" s="1"/>
      <c r="ES3014" s="1"/>
      <c r="ET3014" s="1"/>
      <c r="EU3014" s="1"/>
      <c r="EV3014" s="1"/>
      <c r="EW3014" s="1"/>
      <c r="EX3014" s="1"/>
      <c r="EY3014" s="1"/>
      <c r="EZ3014" s="1"/>
      <c r="FA3014" s="1"/>
      <c r="FB3014" s="1"/>
      <c r="FC3014" s="1"/>
      <c r="FD3014" s="1"/>
      <c r="FE3014" s="1"/>
      <c r="FF3014" s="1"/>
      <c r="FG3014" s="1"/>
      <c r="FH3014" s="1"/>
      <c r="FI3014" s="1"/>
      <c r="FJ3014" s="1"/>
      <c r="FK3014" s="1"/>
      <c r="FL3014" s="1"/>
      <c r="FM3014" s="1"/>
      <c r="FN3014" s="1"/>
      <c r="FO3014" s="1"/>
      <c r="FP3014" s="1"/>
      <c r="FQ3014" s="1"/>
      <c r="FR3014" s="1"/>
      <c r="FS3014" s="1"/>
      <c r="FT3014" s="1"/>
      <c r="FU3014" s="1"/>
      <c r="FV3014" s="1"/>
      <c r="FW3014" s="1"/>
      <c r="FX3014" s="1"/>
      <c r="FY3014" s="1"/>
      <c r="FZ3014" s="1"/>
      <c r="GA3014" s="1"/>
      <c r="GB3014" s="1"/>
      <c r="GC3014" s="1"/>
      <c r="GD3014" s="1"/>
      <c r="GE3014" s="1"/>
      <c r="GF3014" s="1"/>
      <c r="GG3014" s="1"/>
      <c r="GH3014" s="1"/>
      <c r="GI3014" s="1"/>
      <c r="GJ3014" s="1"/>
      <c r="GK3014" s="1"/>
      <c r="GL3014" s="1"/>
      <c r="GM3014" s="1"/>
      <c r="GN3014" s="1"/>
      <c r="GO3014" s="1"/>
      <c r="GP3014" s="1"/>
      <c r="GQ3014" s="1"/>
      <c r="GR3014" s="1"/>
      <c r="GS3014" s="1"/>
      <c r="GT3014" s="1"/>
      <c r="GU3014" s="1"/>
      <c r="GV3014" s="1"/>
      <c r="GW3014" s="1"/>
      <c r="GX3014" s="1"/>
      <c r="GY3014" s="1"/>
      <c r="GZ3014" s="1"/>
      <c r="HA3014" s="1"/>
      <c r="HB3014" s="1"/>
      <c r="HC3014" s="1"/>
      <c r="HD3014" s="1"/>
      <c r="HE3014" s="1"/>
      <c r="HF3014" s="1"/>
      <c r="HG3014" s="1"/>
      <c r="HH3014" s="1"/>
      <c r="HI3014" s="1"/>
      <c r="HJ3014" s="1"/>
      <c r="HK3014" s="1"/>
      <c r="HL3014" s="1"/>
      <c r="HM3014" s="1"/>
      <c r="HN3014" s="1"/>
      <c r="HO3014" s="1"/>
      <c r="HP3014" s="1"/>
      <c r="HQ3014" s="1"/>
    </row>
    <row r="3015" spans="1:225" x14ac:dyDescent="0.35">
      <c r="A3015" s="257">
        <v>1036</v>
      </c>
      <c r="B3015" s="257"/>
      <c r="C3015" s="260"/>
      <c r="D3015" s="263"/>
      <c r="E3015" s="263"/>
      <c r="F3015" s="266"/>
      <c r="G3015" s="257"/>
      <c r="H3015" s="159" t="s">
        <v>74</v>
      </c>
      <c r="I3015" s="158">
        <f>K3015*D3014</f>
        <v>2775501.6</v>
      </c>
      <c r="J3015" s="158">
        <f>I3015/D3014</f>
        <v>6918</v>
      </c>
      <c r="K3015" s="158">
        <v>6918</v>
      </c>
      <c r="L3015" s="1"/>
      <c r="M3015" s="1"/>
      <c r="N3015" s="1"/>
      <c r="O3015" s="1"/>
      <c r="P3015" s="1"/>
      <c r="Q3015" s="1"/>
      <c r="R3015" s="1"/>
      <c r="S3015" s="1"/>
      <c r="T3015" s="1"/>
      <c r="U3015" s="1"/>
      <c r="V3015" s="1"/>
      <c r="W3015" s="1"/>
      <c r="X3015" s="1"/>
      <c r="Y3015" s="1"/>
      <c r="Z3015" s="1"/>
      <c r="AA3015" s="1"/>
      <c r="AB3015" s="1"/>
      <c r="AC3015" s="1"/>
      <c r="AD3015" s="1"/>
      <c r="AE3015" s="1"/>
      <c r="AF3015" s="1"/>
      <c r="AG3015" s="1"/>
      <c r="AH3015" s="1"/>
      <c r="AI3015" s="1"/>
      <c r="AJ3015" s="1"/>
      <c r="AK3015" s="1"/>
      <c r="AL3015" s="1"/>
      <c r="AM3015" s="1"/>
      <c r="AN3015" s="1"/>
      <c r="AO3015" s="1"/>
      <c r="AP3015" s="1"/>
      <c r="AQ3015" s="1"/>
      <c r="AR3015" s="1"/>
      <c r="AS3015" s="1"/>
      <c r="AT3015" s="1"/>
      <c r="AU3015" s="1"/>
      <c r="AV3015" s="1"/>
      <c r="AW3015" s="1"/>
      <c r="AX3015" s="1"/>
      <c r="AY3015" s="1"/>
      <c r="AZ3015" s="1"/>
      <c r="BA3015" s="1"/>
      <c r="BB3015" s="1"/>
      <c r="BC3015" s="1"/>
      <c r="BD3015" s="1"/>
      <c r="BE3015" s="1"/>
      <c r="BF3015" s="1"/>
      <c r="BG3015" s="1"/>
      <c r="BH3015" s="1"/>
      <c r="BI3015" s="1"/>
      <c r="BJ3015" s="1"/>
      <c r="BK3015" s="1"/>
      <c r="BL3015" s="1"/>
      <c r="BM3015" s="1"/>
      <c r="BN3015" s="1"/>
      <c r="BO3015" s="1"/>
      <c r="BP3015" s="1"/>
      <c r="BQ3015" s="1"/>
      <c r="BR3015" s="1"/>
      <c r="BS3015" s="1"/>
      <c r="BT3015" s="1"/>
      <c r="BU3015" s="1"/>
      <c r="BV3015" s="1"/>
      <c r="BW3015" s="1"/>
      <c r="BX3015" s="1"/>
      <c r="BY3015" s="1"/>
      <c r="BZ3015" s="1"/>
      <c r="CA3015" s="1"/>
      <c r="CB3015" s="1"/>
      <c r="CC3015" s="1"/>
      <c r="CD3015" s="1"/>
      <c r="CE3015" s="1"/>
      <c r="CF3015" s="1"/>
      <c r="CG3015" s="1"/>
      <c r="CH3015" s="1"/>
      <c r="CI3015" s="1"/>
      <c r="CJ3015" s="1"/>
      <c r="CK3015" s="1"/>
      <c r="CL3015" s="1"/>
      <c r="CM3015" s="1"/>
      <c r="CN3015" s="1"/>
      <c r="CO3015" s="1"/>
      <c r="CP3015" s="1"/>
      <c r="CQ3015" s="1"/>
      <c r="CR3015" s="1"/>
      <c r="CS3015" s="1"/>
      <c r="CT3015" s="1"/>
      <c r="CU3015" s="1"/>
      <c r="CV3015" s="1"/>
      <c r="CW3015" s="1"/>
      <c r="CX3015" s="1"/>
      <c r="CY3015" s="1"/>
      <c r="CZ3015" s="1"/>
      <c r="DA3015" s="1"/>
      <c r="DB3015" s="1"/>
      <c r="DC3015" s="1"/>
      <c r="DD3015" s="1"/>
      <c r="DE3015" s="1"/>
      <c r="DF3015" s="1"/>
      <c r="DG3015" s="1"/>
      <c r="DH3015" s="1"/>
      <c r="DI3015" s="1"/>
      <c r="DJ3015" s="1"/>
      <c r="DK3015" s="1"/>
      <c r="DL3015" s="1"/>
      <c r="DM3015" s="1"/>
      <c r="DN3015" s="1"/>
      <c r="DO3015" s="1"/>
      <c r="DP3015" s="1"/>
      <c r="DQ3015" s="1"/>
      <c r="DR3015" s="1"/>
      <c r="DS3015" s="1"/>
      <c r="DT3015" s="1"/>
      <c r="DU3015" s="1"/>
      <c r="DV3015" s="1"/>
      <c r="DW3015" s="1"/>
      <c r="DX3015" s="1"/>
      <c r="DY3015" s="1"/>
      <c r="DZ3015" s="1"/>
      <c r="EA3015" s="1"/>
      <c r="EB3015" s="1"/>
      <c r="EC3015" s="1"/>
      <c r="ED3015" s="1"/>
      <c r="EE3015" s="1"/>
      <c r="EF3015" s="1"/>
      <c r="EG3015" s="1"/>
      <c r="EH3015" s="1"/>
      <c r="EI3015" s="1"/>
      <c r="EJ3015" s="1"/>
      <c r="EK3015" s="1"/>
      <c r="EL3015" s="1"/>
      <c r="EM3015" s="1"/>
      <c r="EN3015" s="1"/>
      <c r="EO3015" s="1"/>
      <c r="EP3015" s="1"/>
      <c r="EQ3015" s="1"/>
      <c r="ER3015" s="1"/>
      <c r="ES3015" s="1"/>
      <c r="ET3015" s="1"/>
      <c r="EU3015" s="1"/>
      <c r="EV3015" s="1"/>
      <c r="EW3015" s="1"/>
      <c r="EX3015" s="1"/>
      <c r="EY3015" s="1"/>
      <c r="EZ3015" s="1"/>
      <c r="FA3015" s="1"/>
      <c r="FB3015" s="1"/>
      <c r="FC3015" s="1"/>
      <c r="FD3015" s="1"/>
      <c r="FE3015" s="1"/>
      <c r="FF3015" s="1"/>
      <c r="FG3015" s="1"/>
      <c r="FH3015" s="1"/>
      <c r="FI3015" s="1"/>
      <c r="FJ3015" s="1"/>
      <c r="FK3015" s="1"/>
      <c r="FL3015" s="1"/>
      <c r="FM3015" s="1"/>
      <c r="FN3015" s="1"/>
      <c r="FO3015" s="1"/>
      <c r="FP3015" s="1"/>
      <c r="FQ3015" s="1"/>
      <c r="FR3015" s="1"/>
      <c r="FS3015" s="1"/>
      <c r="FT3015" s="1"/>
      <c r="FU3015" s="1"/>
      <c r="FV3015" s="1"/>
      <c r="FW3015" s="1"/>
      <c r="FX3015" s="1"/>
      <c r="FY3015" s="1"/>
      <c r="FZ3015" s="1"/>
      <c r="GA3015" s="1"/>
      <c r="GB3015" s="1"/>
      <c r="GC3015" s="1"/>
      <c r="GD3015" s="1"/>
      <c r="GE3015" s="1"/>
      <c r="GF3015" s="1"/>
      <c r="GG3015" s="1"/>
      <c r="GH3015" s="1"/>
      <c r="GI3015" s="1"/>
      <c r="GJ3015" s="1"/>
      <c r="GK3015" s="1"/>
      <c r="GL3015" s="1"/>
      <c r="GM3015" s="1"/>
      <c r="GN3015" s="1"/>
      <c r="GO3015" s="1"/>
      <c r="GP3015" s="1"/>
      <c r="GQ3015" s="1"/>
      <c r="GR3015" s="1"/>
      <c r="GS3015" s="1"/>
      <c r="GT3015" s="1"/>
      <c r="GU3015" s="1"/>
      <c r="GV3015" s="1"/>
      <c r="GW3015" s="1"/>
      <c r="GX3015" s="1"/>
      <c r="GY3015" s="1"/>
      <c r="GZ3015" s="1"/>
      <c r="HA3015" s="1"/>
      <c r="HB3015" s="1"/>
      <c r="HC3015" s="1"/>
      <c r="HD3015" s="1"/>
      <c r="HE3015" s="1"/>
      <c r="HF3015" s="1"/>
      <c r="HG3015" s="1"/>
      <c r="HH3015" s="1"/>
      <c r="HI3015" s="1"/>
      <c r="HJ3015" s="1"/>
      <c r="HK3015" s="1"/>
      <c r="HL3015" s="1"/>
      <c r="HM3015" s="1"/>
      <c r="HN3015" s="1"/>
      <c r="HO3015" s="1"/>
      <c r="HP3015" s="1"/>
      <c r="HQ3015" s="1"/>
    </row>
    <row r="3016" spans="1:225" x14ac:dyDescent="0.35">
      <c r="A3016" s="258">
        <v>1037</v>
      </c>
      <c r="B3016" s="258"/>
      <c r="C3016" s="261"/>
      <c r="D3016" s="264"/>
      <c r="E3016" s="264"/>
      <c r="F3016" s="267"/>
      <c r="G3016" s="258"/>
      <c r="H3016" s="159" t="s">
        <v>76</v>
      </c>
      <c r="I3016" s="158">
        <f>K3016*D3014</f>
        <v>59377.599999999999</v>
      </c>
      <c r="J3016" s="158">
        <f>I3016/D3014</f>
        <v>148</v>
      </c>
      <c r="K3016" s="158">
        <v>148</v>
      </c>
      <c r="L3016" s="1"/>
      <c r="M3016" s="1"/>
      <c r="N3016" s="1"/>
      <c r="O3016" s="1"/>
      <c r="P3016" s="1"/>
      <c r="Q3016" s="1"/>
      <c r="R3016" s="1"/>
      <c r="S3016" s="1"/>
      <c r="T3016" s="1"/>
      <c r="U3016" s="1"/>
      <c r="V3016" s="1"/>
      <c r="W3016" s="1"/>
      <c r="X3016" s="1"/>
      <c r="Y3016" s="1"/>
      <c r="Z3016" s="1"/>
      <c r="AA3016" s="1"/>
      <c r="AB3016" s="1"/>
      <c r="AC3016" s="1"/>
      <c r="AD3016" s="1"/>
      <c r="AE3016" s="1"/>
      <c r="AF3016" s="1"/>
      <c r="AG3016" s="1"/>
      <c r="AH3016" s="1"/>
      <c r="AI3016" s="1"/>
      <c r="AJ3016" s="1"/>
      <c r="AK3016" s="1"/>
      <c r="AL3016" s="1"/>
      <c r="AM3016" s="1"/>
      <c r="AN3016" s="1"/>
      <c r="AO3016" s="1"/>
      <c r="AP3016" s="1"/>
      <c r="AQ3016" s="1"/>
      <c r="AR3016" s="1"/>
      <c r="AS3016" s="1"/>
      <c r="AT3016" s="1"/>
      <c r="AU3016" s="1"/>
      <c r="AV3016" s="1"/>
      <c r="AW3016" s="1"/>
      <c r="AX3016" s="1"/>
      <c r="AY3016" s="1"/>
      <c r="AZ3016" s="1"/>
      <c r="BA3016" s="1"/>
      <c r="BB3016" s="1"/>
      <c r="BC3016" s="1"/>
      <c r="BD3016" s="1"/>
      <c r="BE3016" s="1"/>
      <c r="BF3016" s="1"/>
      <c r="BG3016" s="1"/>
      <c r="BH3016" s="1"/>
      <c r="BI3016" s="1"/>
      <c r="BJ3016" s="1"/>
      <c r="BK3016" s="1"/>
      <c r="BL3016" s="1"/>
      <c r="BM3016" s="1"/>
      <c r="BN3016" s="1"/>
      <c r="BO3016" s="1"/>
      <c r="BP3016" s="1"/>
      <c r="BQ3016" s="1"/>
      <c r="BR3016" s="1"/>
      <c r="BS3016" s="1"/>
      <c r="BT3016" s="1"/>
      <c r="BU3016" s="1"/>
      <c r="BV3016" s="1"/>
      <c r="BW3016" s="1"/>
      <c r="BX3016" s="1"/>
      <c r="BY3016" s="1"/>
      <c r="BZ3016" s="1"/>
      <c r="CA3016" s="1"/>
      <c r="CB3016" s="1"/>
      <c r="CC3016" s="1"/>
      <c r="CD3016" s="1"/>
      <c r="CE3016" s="1"/>
      <c r="CF3016" s="1"/>
      <c r="CG3016" s="1"/>
      <c r="CH3016" s="1"/>
      <c r="CI3016" s="1"/>
      <c r="CJ3016" s="1"/>
      <c r="CK3016" s="1"/>
      <c r="CL3016" s="1"/>
      <c r="CM3016" s="1"/>
      <c r="CN3016" s="1"/>
      <c r="CO3016" s="1"/>
      <c r="CP3016" s="1"/>
      <c r="CQ3016" s="1"/>
      <c r="CR3016" s="1"/>
      <c r="CS3016" s="1"/>
      <c r="CT3016" s="1"/>
      <c r="CU3016" s="1"/>
      <c r="CV3016" s="1"/>
      <c r="CW3016" s="1"/>
      <c r="CX3016" s="1"/>
      <c r="CY3016" s="1"/>
      <c r="CZ3016" s="1"/>
      <c r="DA3016" s="1"/>
      <c r="DB3016" s="1"/>
      <c r="DC3016" s="1"/>
      <c r="DD3016" s="1"/>
      <c r="DE3016" s="1"/>
      <c r="DF3016" s="1"/>
      <c r="DG3016" s="1"/>
      <c r="DH3016" s="1"/>
      <c r="DI3016" s="1"/>
      <c r="DJ3016" s="1"/>
      <c r="DK3016" s="1"/>
      <c r="DL3016" s="1"/>
      <c r="DM3016" s="1"/>
      <c r="DN3016" s="1"/>
      <c r="DO3016" s="1"/>
      <c r="DP3016" s="1"/>
      <c r="DQ3016" s="1"/>
      <c r="DR3016" s="1"/>
      <c r="DS3016" s="1"/>
      <c r="DT3016" s="1"/>
      <c r="DU3016" s="1"/>
      <c r="DV3016" s="1"/>
      <c r="DW3016" s="1"/>
      <c r="DX3016" s="1"/>
      <c r="DY3016" s="1"/>
      <c r="DZ3016" s="1"/>
      <c r="EA3016" s="1"/>
      <c r="EB3016" s="1"/>
      <c r="EC3016" s="1"/>
      <c r="ED3016" s="1"/>
      <c r="EE3016" s="1"/>
      <c r="EF3016" s="1"/>
      <c r="EG3016" s="1"/>
      <c r="EH3016" s="1"/>
      <c r="EI3016" s="1"/>
      <c r="EJ3016" s="1"/>
      <c r="EK3016" s="1"/>
      <c r="EL3016" s="1"/>
      <c r="EM3016" s="1"/>
      <c r="EN3016" s="1"/>
      <c r="EO3016" s="1"/>
      <c r="EP3016" s="1"/>
      <c r="EQ3016" s="1"/>
      <c r="ER3016" s="1"/>
      <c r="ES3016" s="1"/>
      <c r="ET3016" s="1"/>
      <c r="EU3016" s="1"/>
      <c r="EV3016" s="1"/>
      <c r="EW3016" s="1"/>
      <c r="EX3016" s="1"/>
      <c r="EY3016" s="1"/>
      <c r="EZ3016" s="1"/>
      <c r="FA3016" s="1"/>
      <c r="FB3016" s="1"/>
      <c r="FC3016" s="1"/>
      <c r="FD3016" s="1"/>
      <c r="FE3016" s="1"/>
      <c r="FF3016" s="1"/>
      <c r="FG3016" s="1"/>
      <c r="FH3016" s="1"/>
      <c r="FI3016" s="1"/>
      <c r="FJ3016" s="1"/>
      <c r="FK3016" s="1"/>
      <c r="FL3016" s="1"/>
      <c r="FM3016" s="1"/>
      <c r="FN3016" s="1"/>
      <c r="FO3016" s="1"/>
      <c r="FP3016" s="1"/>
      <c r="FQ3016" s="1"/>
      <c r="FR3016" s="1"/>
      <c r="FS3016" s="1"/>
      <c r="FT3016" s="1"/>
      <c r="FU3016" s="1"/>
      <c r="FV3016" s="1"/>
      <c r="FW3016" s="1"/>
      <c r="FX3016" s="1"/>
      <c r="FY3016" s="1"/>
      <c r="FZ3016" s="1"/>
      <c r="GA3016" s="1"/>
      <c r="GB3016" s="1"/>
      <c r="GC3016" s="1"/>
      <c r="GD3016" s="1"/>
      <c r="GE3016" s="1"/>
      <c r="GF3016" s="1"/>
      <c r="GG3016" s="1"/>
      <c r="GH3016" s="1"/>
      <c r="GI3016" s="1"/>
      <c r="GJ3016" s="1"/>
      <c r="GK3016" s="1"/>
      <c r="GL3016" s="1"/>
      <c r="GM3016" s="1"/>
      <c r="GN3016" s="1"/>
      <c r="GO3016" s="1"/>
      <c r="GP3016" s="1"/>
      <c r="GQ3016" s="1"/>
      <c r="GR3016" s="1"/>
      <c r="GS3016" s="1"/>
      <c r="GT3016" s="1"/>
      <c r="GU3016" s="1"/>
      <c r="GV3016" s="1"/>
      <c r="GW3016" s="1"/>
      <c r="GX3016" s="1"/>
      <c r="GY3016" s="1"/>
      <c r="GZ3016" s="1"/>
      <c r="HA3016" s="1"/>
      <c r="HB3016" s="1"/>
      <c r="HC3016" s="1"/>
      <c r="HD3016" s="1"/>
      <c r="HE3016" s="1"/>
      <c r="HF3016" s="1"/>
      <c r="HG3016" s="1"/>
      <c r="HH3016" s="1"/>
      <c r="HI3016" s="1"/>
      <c r="HJ3016" s="1"/>
      <c r="HK3016" s="1"/>
      <c r="HL3016" s="1"/>
      <c r="HM3016" s="1"/>
      <c r="HN3016" s="1"/>
      <c r="HO3016" s="1"/>
      <c r="HP3016" s="1"/>
      <c r="HQ3016" s="1"/>
    </row>
    <row r="3017" spans="1:225" x14ac:dyDescent="0.35">
      <c r="A3017" s="153" t="s">
        <v>40</v>
      </c>
      <c r="B3017" s="147"/>
      <c r="C3017" s="73"/>
      <c r="D3017" s="142">
        <f>D3018+D3021+D3024+D3027+D3030+D3033+D3036</f>
        <v>7537.6</v>
      </c>
      <c r="E3017" s="142"/>
      <c r="F3017" s="142"/>
      <c r="G3017" s="125"/>
      <c r="H3017" s="162"/>
      <c r="I3017" s="158">
        <f>I3018+I3021+I3024+I3027+I3030+I3033+I3036</f>
        <v>28631492.379999999</v>
      </c>
      <c r="J3017" s="158"/>
      <c r="K3017" s="158"/>
      <c r="HP3017" s="16"/>
      <c r="HQ3017" s="16"/>
    </row>
    <row r="3018" spans="1:225" ht="15.75" customHeight="1" x14ac:dyDescent="0.35">
      <c r="A3018" s="256">
        <v>1</v>
      </c>
      <c r="B3018" s="251">
        <v>5598</v>
      </c>
      <c r="C3018" s="259" t="s">
        <v>624</v>
      </c>
      <c r="D3018" s="262">
        <v>430.4</v>
      </c>
      <c r="E3018" s="262" t="s">
        <v>665</v>
      </c>
      <c r="F3018" s="265">
        <v>2</v>
      </c>
      <c r="G3018" s="256" t="s">
        <v>72</v>
      </c>
      <c r="H3018" s="159" t="s">
        <v>73</v>
      </c>
      <c r="I3018" s="158">
        <f>I3019+I3020</f>
        <v>2291750.88</v>
      </c>
      <c r="J3018" s="158">
        <f>J3019+J3020</f>
        <v>5324.7</v>
      </c>
      <c r="K3018" s="158">
        <f>K3019+K3020</f>
        <v>7539</v>
      </c>
      <c r="L3018" s="1"/>
      <c r="M3018" s="1"/>
      <c r="N3018" s="1"/>
      <c r="O3018" s="1"/>
      <c r="P3018" s="1"/>
      <c r="Q3018" s="1"/>
      <c r="R3018" s="1"/>
      <c r="S3018" s="1"/>
      <c r="T3018" s="1"/>
      <c r="U3018" s="1"/>
      <c r="V3018" s="1"/>
      <c r="W3018" s="1"/>
      <c r="X3018" s="1"/>
      <c r="Y3018" s="1"/>
      <c r="Z3018" s="1"/>
      <c r="AA3018" s="1"/>
      <c r="AB3018" s="1"/>
      <c r="AC3018" s="1"/>
      <c r="AD3018" s="1"/>
      <c r="AE3018" s="1"/>
      <c r="AF3018" s="1"/>
      <c r="AG3018" s="1"/>
      <c r="AH3018" s="1"/>
      <c r="AI3018" s="1"/>
      <c r="AJ3018" s="1"/>
      <c r="AK3018" s="1"/>
      <c r="AL3018" s="1"/>
      <c r="AM3018" s="1"/>
      <c r="AN3018" s="1"/>
      <c r="AO3018" s="1"/>
      <c r="AP3018" s="1"/>
      <c r="AQ3018" s="1"/>
      <c r="AR3018" s="1"/>
      <c r="AS3018" s="1"/>
      <c r="AT3018" s="1"/>
      <c r="AU3018" s="1"/>
      <c r="AV3018" s="1"/>
      <c r="AW3018" s="1"/>
      <c r="AX3018" s="1"/>
      <c r="AY3018" s="1"/>
      <c r="AZ3018" s="1"/>
      <c r="BA3018" s="1"/>
      <c r="BB3018" s="1"/>
      <c r="BC3018" s="1"/>
      <c r="BD3018" s="1"/>
      <c r="BE3018" s="1"/>
      <c r="BF3018" s="1"/>
      <c r="BG3018" s="1"/>
      <c r="BH3018" s="1"/>
      <c r="BI3018" s="1"/>
      <c r="BJ3018" s="1"/>
      <c r="BK3018" s="1"/>
      <c r="BL3018" s="1"/>
      <c r="BM3018" s="1"/>
      <c r="BN3018" s="1"/>
      <c r="BO3018" s="1"/>
      <c r="BP3018" s="1"/>
      <c r="BQ3018" s="1"/>
      <c r="BR3018" s="1"/>
      <c r="BS3018" s="1"/>
      <c r="BT3018" s="1"/>
      <c r="BU3018" s="1"/>
      <c r="BV3018" s="1"/>
      <c r="BW3018" s="1"/>
      <c r="BX3018" s="1"/>
      <c r="BY3018" s="1"/>
      <c r="BZ3018" s="1"/>
      <c r="CA3018" s="1"/>
      <c r="CB3018" s="1"/>
      <c r="CC3018" s="1"/>
      <c r="CD3018" s="1"/>
      <c r="CE3018" s="1"/>
      <c r="CF3018" s="1"/>
      <c r="CG3018" s="1"/>
      <c r="CH3018" s="1"/>
      <c r="CI3018" s="1"/>
      <c r="CJ3018" s="1"/>
      <c r="CK3018" s="1"/>
      <c r="CL3018" s="1"/>
      <c r="CM3018" s="1"/>
      <c r="CN3018" s="1"/>
      <c r="CO3018" s="1"/>
      <c r="CP3018" s="1"/>
      <c r="CQ3018" s="1"/>
      <c r="CR3018" s="1"/>
      <c r="CS3018" s="1"/>
      <c r="CT3018" s="1"/>
      <c r="CU3018" s="1"/>
      <c r="CV3018" s="1"/>
      <c r="CW3018" s="1"/>
      <c r="CX3018" s="1"/>
      <c r="CY3018" s="1"/>
      <c r="CZ3018" s="1"/>
      <c r="DA3018" s="1"/>
      <c r="DB3018" s="1"/>
      <c r="DC3018" s="1"/>
      <c r="DD3018" s="1"/>
      <c r="DE3018" s="1"/>
      <c r="DF3018" s="1"/>
      <c r="DG3018" s="1"/>
      <c r="DH3018" s="1"/>
      <c r="DI3018" s="1"/>
      <c r="DJ3018" s="1"/>
      <c r="DK3018" s="1"/>
      <c r="DL3018" s="1"/>
      <c r="DM3018" s="1"/>
      <c r="DN3018" s="1"/>
      <c r="DO3018" s="1"/>
      <c r="DP3018" s="1"/>
      <c r="DQ3018" s="1"/>
      <c r="DR3018" s="1"/>
      <c r="DS3018" s="1"/>
      <c r="DT3018" s="1"/>
      <c r="DU3018" s="1"/>
      <c r="DV3018" s="1"/>
      <c r="DW3018" s="1"/>
      <c r="DX3018" s="1"/>
      <c r="DY3018" s="1"/>
      <c r="DZ3018" s="1"/>
      <c r="EA3018" s="1"/>
      <c r="EB3018" s="1"/>
      <c r="EC3018" s="1"/>
      <c r="ED3018" s="1"/>
      <c r="EE3018" s="1"/>
      <c r="EF3018" s="1"/>
      <c r="EG3018" s="1"/>
      <c r="EH3018" s="1"/>
      <c r="EI3018" s="1"/>
      <c r="EJ3018" s="1"/>
      <c r="EK3018" s="1"/>
      <c r="EL3018" s="1"/>
      <c r="EM3018" s="1"/>
      <c r="EN3018" s="1"/>
      <c r="EO3018" s="1"/>
      <c r="EP3018" s="1"/>
      <c r="EQ3018" s="1"/>
      <c r="ER3018" s="1"/>
      <c r="ES3018" s="1"/>
      <c r="ET3018" s="1"/>
      <c r="EU3018" s="1"/>
      <c r="EV3018" s="1"/>
      <c r="EW3018" s="1"/>
      <c r="EX3018" s="1"/>
      <c r="EY3018" s="1"/>
      <c r="EZ3018" s="1"/>
      <c r="FA3018" s="1"/>
      <c r="FB3018" s="1"/>
      <c r="FC3018" s="1"/>
      <c r="FD3018" s="1"/>
      <c r="FE3018" s="1"/>
      <c r="FF3018" s="1"/>
      <c r="FG3018" s="1"/>
      <c r="FH3018" s="1"/>
      <c r="FI3018" s="1"/>
      <c r="FJ3018" s="1"/>
      <c r="FK3018" s="1"/>
      <c r="FL3018" s="1"/>
      <c r="FM3018" s="1"/>
      <c r="FN3018" s="1"/>
      <c r="FO3018" s="1"/>
      <c r="FP3018" s="1"/>
      <c r="FQ3018" s="1"/>
      <c r="FR3018" s="1"/>
      <c r="FS3018" s="1"/>
      <c r="FT3018" s="1"/>
      <c r="FU3018" s="1"/>
      <c r="FV3018" s="1"/>
      <c r="FW3018" s="1"/>
      <c r="FX3018" s="1"/>
      <c r="FY3018" s="1"/>
      <c r="FZ3018" s="1"/>
      <c r="GA3018" s="1"/>
      <c r="GB3018" s="1"/>
      <c r="GC3018" s="1"/>
      <c r="GD3018" s="1"/>
      <c r="GE3018" s="1"/>
      <c r="GF3018" s="1"/>
      <c r="GG3018" s="1"/>
      <c r="GH3018" s="1"/>
      <c r="GI3018" s="1"/>
      <c r="GJ3018" s="1"/>
      <c r="GK3018" s="1"/>
      <c r="GL3018" s="1"/>
      <c r="GM3018" s="1"/>
      <c r="GN3018" s="1"/>
      <c r="GO3018" s="1"/>
      <c r="GP3018" s="1"/>
      <c r="GQ3018" s="1"/>
      <c r="GR3018" s="1"/>
      <c r="GS3018" s="1"/>
      <c r="GT3018" s="1"/>
      <c r="GU3018" s="1"/>
      <c r="GV3018" s="1"/>
      <c r="GW3018" s="1"/>
      <c r="GX3018" s="1"/>
      <c r="GY3018" s="1"/>
      <c r="GZ3018" s="1"/>
      <c r="HA3018" s="1"/>
      <c r="HB3018" s="1"/>
      <c r="HC3018" s="1"/>
      <c r="HD3018" s="1"/>
      <c r="HE3018" s="1"/>
      <c r="HF3018" s="1"/>
      <c r="HG3018" s="1"/>
      <c r="HH3018" s="1"/>
      <c r="HI3018" s="1"/>
      <c r="HJ3018" s="1"/>
      <c r="HK3018" s="1"/>
      <c r="HL3018" s="1"/>
      <c r="HM3018" s="1"/>
      <c r="HN3018" s="1"/>
      <c r="HO3018" s="1"/>
      <c r="HP3018" s="1"/>
      <c r="HQ3018" s="1"/>
    </row>
    <row r="3019" spans="1:225" x14ac:dyDescent="0.35">
      <c r="A3019" s="257"/>
      <c r="B3019" s="251"/>
      <c r="C3019" s="260"/>
      <c r="D3019" s="263"/>
      <c r="E3019" s="263"/>
      <c r="F3019" s="266"/>
      <c r="G3019" s="257"/>
      <c r="H3019" s="159" t="s">
        <v>74</v>
      </c>
      <c r="I3019" s="158">
        <f>K3019*D3018*0.7</f>
        <v>2223747.6800000002</v>
      </c>
      <c r="J3019" s="158">
        <f>I3019/D3018</f>
        <v>5166.7</v>
      </c>
      <c r="K3019" s="158">
        <v>7381</v>
      </c>
      <c r="L3019" s="1"/>
      <c r="M3019" s="1"/>
      <c r="N3019" s="1"/>
      <c r="O3019" s="1"/>
      <c r="P3019" s="1"/>
      <c r="Q3019" s="1"/>
      <c r="R3019" s="1"/>
      <c r="S3019" s="1"/>
      <c r="T3019" s="1"/>
      <c r="U3019" s="1"/>
      <c r="V3019" s="1"/>
      <c r="W3019" s="1"/>
      <c r="X3019" s="1"/>
      <c r="Y3019" s="1"/>
      <c r="Z3019" s="1"/>
      <c r="AA3019" s="1"/>
      <c r="AB3019" s="1"/>
      <c r="AC3019" s="1"/>
      <c r="AD3019" s="1"/>
      <c r="AE3019" s="1"/>
      <c r="AF3019" s="1"/>
      <c r="AG3019" s="1"/>
      <c r="AH3019" s="1"/>
      <c r="AI3019" s="1"/>
      <c r="AJ3019" s="1"/>
      <c r="AK3019" s="1"/>
      <c r="AL3019" s="1"/>
      <c r="AM3019" s="1"/>
      <c r="AN3019" s="1"/>
      <c r="AO3019" s="1"/>
      <c r="AP3019" s="1"/>
      <c r="AQ3019" s="1"/>
      <c r="AR3019" s="1"/>
      <c r="AS3019" s="1"/>
      <c r="AT3019" s="1"/>
      <c r="AU3019" s="1"/>
      <c r="AV3019" s="1"/>
      <c r="AW3019" s="1"/>
      <c r="AX3019" s="1"/>
      <c r="AY3019" s="1"/>
      <c r="AZ3019" s="1"/>
      <c r="BA3019" s="1"/>
      <c r="BB3019" s="1"/>
      <c r="BC3019" s="1"/>
      <c r="BD3019" s="1"/>
      <c r="BE3019" s="1"/>
      <c r="BF3019" s="1"/>
      <c r="BG3019" s="1"/>
      <c r="BH3019" s="1"/>
      <c r="BI3019" s="1"/>
      <c r="BJ3019" s="1"/>
      <c r="BK3019" s="1"/>
      <c r="BL3019" s="1"/>
      <c r="BM3019" s="1"/>
      <c r="BN3019" s="1"/>
      <c r="BO3019" s="1"/>
      <c r="BP3019" s="1"/>
      <c r="BQ3019" s="1"/>
      <c r="BR3019" s="1"/>
      <c r="BS3019" s="1"/>
      <c r="BT3019" s="1"/>
      <c r="BU3019" s="1"/>
      <c r="BV3019" s="1"/>
      <c r="BW3019" s="1"/>
      <c r="BX3019" s="1"/>
      <c r="BY3019" s="1"/>
      <c r="BZ3019" s="1"/>
      <c r="CA3019" s="1"/>
      <c r="CB3019" s="1"/>
      <c r="CC3019" s="1"/>
      <c r="CD3019" s="1"/>
      <c r="CE3019" s="1"/>
      <c r="CF3019" s="1"/>
      <c r="CG3019" s="1"/>
      <c r="CH3019" s="1"/>
      <c r="CI3019" s="1"/>
      <c r="CJ3019" s="1"/>
      <c r="CK3019" s="1"/>
      <c r="CL3019" s="1"/>
      <c r="CM3019" s="1"/>
      <c r="CN3019" s="1"/>
      <c r="CO3019" s="1"/>
      <c r="CP3019" s="1"/>
      <c r="CQ3019" s="1"/>
      <c r="CR3019" s="1"/>
      <c r="CS3019" s="1"/>
      <c r="CT3019" s="1"/>
      <c r="CU3019" s="1"/>
      <c r="CV3019" s="1"/>
      <c r="CW3019" s="1"/>
      <c r="CX3019" s="1"/>
      <c r="CY3019" s="1"/>
      <c r="CZ3019" s="1"/>
      <c r="DA3019" s="1"/>
      <c r="DB3019" s="1"/>
      <c r="DC3019" s="1"/>
      <c r="DD3019" s="1"/>
      <c r="DE3019" s="1"/>
      <c r="DF3019" s="1"/>
      <c r="DG3019" s="1"/>
      <c r="DH3019" s="1"/>
      <c r="DI3019" s="1"/>
      <c r="DJ3019" s="1"/>
      <c r="DK3019" s="1"/>
      <c r="DL3019" s="1"/>
      <c r="DM3019" s="1"/>
      <c r="DN3019" s="1"/>
      <c r="DO3019" s="1"/>
      <c r="DP3019" s="1"/>
      <c r="DQ3019" s="1"/>
      <c r="DR3019" s="1"/>
      <c r="DS3019" s="1"/>
      <c r="DT3019" s="1"/>
      <c r="DU3019" s="1"/>
      <c r="DV3019" s="1"/>
      <c r="DW3019" s="1"/>
      <c r="DX3019" s="1"/>
      <c r="DY3019" s="1"/>
      <c r="DZ3019" s="1"/>
      <c r="EA3019" s="1"/>
      <c r="EB3019" s="1"/>
      <c r="EC3019" s="1"/>
      <c r="ED3019" s="1"/>
      <c r="EE3019" s="1"/>
      <c r="EF3019" s="1"/>
      <c r="EG3019" s="1"/>
      <c r="EH3019" s="1"/>
      <c r="EI3019" s="1"/>
      <c r="EJ3019" s="1"/>
      <c r="EK3019" s="1"/>
      <c r="EL3019" s="1"/>
      <c r="EM3019" s="1"/>
      <c r="EN3019" s="1"/>
      <c r="EO3019" s="1"/>
      <c r="EP3019" s="1"/>
      <c r="EQ3019" s="1"/>
      <c r="ER3019" s="1"/>
      <c r="ES3019" s="1"/>
      <c r="ET3019" s="1"/>
      <c r="EU3019" s="1"/>
      <c r="EV3019" s="1"/>
      <c r="EW3019" s="1"/>
      <c r="EX3019" s="1"/>
      <c r="EY3019" s="1"/>
      <c r="EZ3019" s="1"/>
      <c r="FA3019" s="1"/>
      <c r="FB3019" s="1"/>
      <c r="FC3019" s="1"/>
      <c r="FD3019" s="1"/>
      <c r="FE3019" s="1"/>
      <c r="FF3019" s="1"/>
      <c r="FG3019" s="1"/>
      <c r="FH3019" s="1"/>
      <c r="FI3019" s="1"/>
      <c r="FJ3019" s="1"/>
      <c r="FK3019" s="1"/>
      <c r="FL3019" s="1"/>
      <c r="FM3019" s="1"/>
      <c r="FN3019" s="1"/>
      <c r="FO3019" s="1"/>
      <c r="FP3019" s="1"/>
      <c r="FQ3019" s="1"/>
      <c r="FR3019" s="1"/>
      <c r="FS3019" s="1"/>
      <c r="FT3019" s="1"/>
      <c r="FU3019" s="1"/>
      <c r="FV3019" s="1"/>
      <c r="FW3019" s="1"/>
      <c r="FX3019" s="1"/>
      <c r="FY3019" s="1"/>
      <c r="FZ3019" s="1"/>
      <c r="GA3019" s="1"/>
      <c r="GB3019" s="1"/>
      <c r="GC3019" s="1"/>
      <c r="GD3019" s="1"/>
      <c r="GE3019" s="1"/>
      <c r="GF3019" s="1"/>
      <c r="GG3019" s="1"/>
      <c r="GH3019" s="1"/>
      <c r="GI3019" s="1"/>
      <c r="GJ3019" s="1"/>
      <c r="GK3019" s="1"/>
      <c r="GL3019" s="1"/>
      <c r="GM3019" s="1"/>
      <c r="GN3019" s="1"/>
      <c r="GO3019" s="1"/>
      <c r="GP3019" s="1"/>
      <c r="GQ3019" s="1"/>
      <c r="GR3019" s="1"/>
      <c r="GS3019" s="1"/>
      <c r="GT3019" s="1"/>
      <c r="GU3019" s="1"/>
      <c r="GV3019" s="1"/>
      <c r="GW3019" s="1"/>
      <c r="GX3019" s="1"/>
      <c r="GY3019" s="1"/>
      <c r="GZ3019" s="1"/>
      <c r="HA3019" s="1"/>
      <c r="HB3019" s="1"/>
      <c r="HC3019" s="1"/>
      <c r="HD3019" s="1"/>
      <c r="HE3019" s="1"/>
      <c r="HF3019" s="1"/>
      <c r="HG3019" s="1"/>
      <c r="HH3019" s="1"/>
      <c r="HI3019" s="1"/>
      <c r="HJ3019" s="1"/>
      <c r="HK3019" s="1"/>
      <c r="HL3019" s="1"/>
      <c r="HM3019" s="1"/>
      <c r="HN3019" s="1"/>
      <c r="HO3019" s="1"/>
      <c r="HP3019" s="1"/>
      <c r="HQ3019" s="1"/>
    </row>
    <row r="3020" spans="1:225" x14ac:dyDescent="0.35">
      <c r="A3020" s="258"/>
      <c r="B3020" s="251"/>
      <c r="C3020" s="261"/>
      <c r="D3020" s="264"/>
      <c r="E3020" s="264"/>
      <c r="F3020" s="267"/>
      <c r="G3020" s="258"/>
      <c r="H3020" s="159" t="s">
        <v>76</v>
      </c>
      <c r="I3020" s="158">
        <f>K3020*D3018</f>
        <v>68003.199999999997</v>
      </c>
      <c r="J3020" s="158">
        <f>I3020/D3018</f>
        <v>158</v>
      </c>
      <c r="K3020" s="158">
        <v>158</v>
      </c>
      <c r="L3020" s="1"/>
      <c r="M3020" s="1"/>
      <c r="N3020" s="1"/>
      <c r="O3020" s="1"/>
      <c r="P3020" s="1"/>
      <c r="Q3020" s="1"/>
      <c r="R3020" s="1"/>
      <c r="S3020" s="1"/>
      <c r="T3020" s="1"/>
      <c r="U3020" s="1"/>
      <c r="V3020" s="1"/>
      <c r="W3020" s="1"/>
      <c r="X3020" s="1"/>
      <c r="Y3020" s="1"/>
      <c r="Z3020" s="1"/>
      <c r="AA3020" s="1"/>
      <c r="AB3020" s="1"/>
      <c r="AC3020" s="1"/>
      <c r="AD3020" s="1"/>
      <c r="AE3020" s="1"/>
      <c r="AF3020" s="1"/>
      <c r="AG3020" s="1"/>
      <c r="AH3020" s="1"/>
      <c r="AI3020" s="1"/>
      <c r="AJ3020" s="1"/>
      <c r="AK3020" s="1"/>
      <c r="AL3020" s="1"/>
      <c r="AM3020" s="1"/>
      <c r="AN3020" s="1"/>
      <c r="AO3020" s="1"/>
      <c r="AP3020" s="1"/>
      <c r="AQ3020" s="1"/>
      <c r="AR3020" s="1"/>
      <c r="AS3020" s="1"/>
      <c r="AT3020" s="1"/>
      <c r="AU3020" s="1"/>
      <c r="AV3020" s="1"/>
      <c r="AW3020" s="1"/>
      <c r="AX3020" s="1"/>
      <c r="AY3020" s="1"/>
      <c r="AZ3020" s="1"/>
      <c r="BA3020" s="1"/>
      <c r="BB3020" s="1"/>
      <c r="BC3020" s="1"/>
      <c r="BD3020" s="1"/>
      <c r="BE3020" s="1"/>
      <c r="BF3020" s="1"/>
      <c r="BG3020" s="1"/>
      <c r="BH3020" s="1"/>
      <c r="BI3020" s="1"/>
      <c r="BJ3020" s="1"/>
      <c r="BK3020" s="1"/>
      <c r="BL3020" s="1"/>
      <c r="BM3020" s="1"/>
      <c r="BN3020" s="1"/>
      <c r="BO3020" s="1"/>
      <c r="BP3020" s="1"/>
      <c r="BQ3020" s="1"/>
      <c r="BR3020" s="1"/>
      <c r="BS3020" s="1"/>
      <c r="BT3020" s="1"/>
      <c r="BU3020" s="1"/>
      <c r="BV3020" s="1"/>
      <c r="BW3020" s="1"/>
      <c r="BX3020" s="1"/>
      <c r="BY3020" s="1"/>
      <c r="BZ3020" s="1"/>
      <c r="CA3020" s="1"/>
      <c r="CB3020" s="1"/>
      <c r="CC3020" s="1"/>
      <c r="CD3020" s="1"/>
      <c r="CE3020" s="1"/>
      <c r="CF3020" s="1"/>
      <c r="CG3020" s="1"/>
      <c r="CH3020" s="1"/>
      <c r="CI3020" s="1"/>
      <c r="CJ3020" s="1"/>
      <c r="CK3020" s="1"/>
      <c r="CL3020" s="1"/>
      <c r="CM3020" s="1"/>
      <c r="CN3020" s="1"/>
      <c r="CO3020" s="1"/>
      <c r="CP3020" s="1"/>
      <c r="CQ3020" s="1"/>
      <c r="CR3020" s="1"/>
      <c r="CS3020" s="1"/>
      <c r="CT3020" s="1"/>
      <c r="CU3020" s="1"/>
      <c r="CV3020" s="1"/>
      <c r="CW3020" s="1"/>
      <c r="CX3020" s="1"/>
      <c r="CY3020" s="1"/>
      <c r="CZ3020" s="1"/>
      <c r="DA3020" s="1"/>
      <c r="DB3020" s="1"/>
      <c r="DC3020" s="1"/>
      <c r="DD3020" s="1"/>
      <c r="DE3020" s="1"/>
      <c r="DF3020" s="1"/>
      <c r="DG3020" s="1"/>
      <c r="DH3020" s="1"/>
      <c r="DI3020" s="1"/>
      <c r="DJ3020" s="1"/>
      <c r="DK3020" s="1"/>
      <c r="DL3020" s="1"/>
      <c r="DM3020" s="1"/>
      <c r="DN3020" s="1"/>
      <c r="DO3020" s="1"/>
      <c r="DP3020" s="1"/>
      <c r="DQ3020" s="1"/>
      <c r="DR3020" s="1"/>
      <c r="DS3020" s="1"/>
      <c r="DT3020" s="1"/>
      <c r="DU3020" s="1"/>
      <c r="DV3020" s="1"/>
      <c r="DW3020" s="1"/>
      <c r="DX3020" s="1"/>
      <c r="DY3020" s="1"/>
      <c r="DZ3020" s="1"/>
      <c r="EA3020" s="1"/>
      <c r="EB3020" s="1"/>
      <c r="EC3020" s="1"/>
      <c r="ED3020" s="1"/>
      <c r="EE3020" s="1"/>
      <c r="EF3020" s="1"/>
      <c r="EG3020" s="1"/>
      <c r="EH3020" s="1"/>
      <c r="EI3020" s="1"/>
      <c r="EJ3020" s="1"/>
      <c r="EK3020" s="1"/>
      <c r="EL3020" s="1"/>
      <c r="EM3020" s="1"/>
      <c r="EN3020" s="1"/>
      <c r="EO3020" s="1"/>
      <c r="EP3020" s="1"/>
      <c r="EQ3020" s="1"/>
      <c r="ER3020" s="1"/>
      <c r="ES3020" s="1"/>
      <c r="ET3020" s="1"/>
      <c r="EU3020" s="1"/>
      <c r="EV3020" s="1"/>
      <c r="EW3020" s="1"/>
      <c r="EX3020" s="1"/>
      <c r="EY3020" s="1"/>
      <c r="EZ3020" s="1"/>
      <c r="FA3020" s="1"/>
      <c r="FB3020" s="1"/>
      <c r="FC3020" s="1"/>
      <c r="FD3020" s="1"/>
      <c r="FE3020" s="1"/>
      <c r="FF3020" s="1"/>
      <c r="FG3020" s="1"/>
      <c r="FH3020" s="1"/>
      <c r="FI3020" s="1"/>
      <c r="FJ3020" s="1"/>
      <c r="FK3020" s="1"/>
      <c r="FL3020" s="1"/>
      <c r="FM3020" s="1"/>
      <c r="FN3020" s="1"/>
      <c r="FO3020" s="1"/>
      <c r="FP3020" s="1"/>
      <c r="FQ3020" s="1"/>
      <c r="FR3020" s="1"/>
      <c r="FS3020" s="1"/>
      <c r="FT3020" s="1"/>
      <c r="FU3020" s="1"/>
      <c r="FV3020" s="1"/>
      <c r="FW3020" s="1"/>
      <c r="FX3020" s="1"/>
      <c r="FY3020" s="1"/>
      <c r="FZ3020" s="1"/>
      <c r="GA3020" s="1"/>
      <c r="GB3020" s="1"/>
      <c r="GC3020" s="1"/>
      <c r="GD3020" s="1"/>
      <c r="GE3020" s="1"/>
      <c r="GF3020" s="1"/>
      <c r="GG3020" s="1"/>
      <c r="GH3020" s="1"/>
      <c r="GI3020" s="1"/>
      <c r="GJ3020" s="1"/>
      <c r="GK3020" s="1"/>
      <c r="GL3020" s="1"/>
      <c r="GM3020" s="1"/>
      <c r="GN3020" s="1"/>
      <c r="GO3020" s="1"/>
      <c r="GP3020" s="1"/>
      <c r="GQ3020" s="1"/>
      <c r="GR3020" s="1"/>
      <c r="GS3020" s="1"/>
      <c r="GT3020" s="1"/>
      <c r="GU3020" s="1"/>
      <c r="GV3020" s="1"/>
      <c r="GW3020" s="1"/>
      <c r="GX3020" s="1"/>
      <c r="GY3020" s="1"/>
      <c r="GZ3020" s="1"/>
      <c r="HA3020" s="1"/>
      <c r="HB3020" s="1"/>
      <c r="HC3020" s="1"/>
      <c r="HD3020" s="1"/>
      <c r="HE3020" s="1"/>
      <c r="HF3020" s="1"/>
      <c r="HG3020" s="1"/>
      <c r="HH3020" s="1"/>
      <c r="HI3020" s="1"/>
      <c r="HJ3020" s="1"/>
      <c r="HK3020" s="1"/>
      <c r="HL3020" s="1"/>
      <c r="HM3020" s="1"/>
      <c r="HN3020" s="1"/>
      <c r="HO3020" s="1"/>
      <c r="HP3020" s="1"/>
      <c r="HQ3020" s="1"/>
    </row>
    <row r="3021" spans="1:225" ht="15.75" customHeight="1" x14ac:dyDescent="0.35">
      <c r="A3021" s="256">
        <f>A3018+1</f>
        <v>2</v>
      </c>
      <c r="B3021" s="251">
        <v>5398</v>
      </c>
      <c r="C3021" s="259" t="s">
        <v>625</v>
      </c>
      <c r="D3021" s="262">
        <v>474.6</v>
      </c>
      <c r="E3021" s="262" t="s">
        <v>665</v>
      </c>
      <c r="F3021" s="265">
        <v>2</v>
      </c>
      <c r="G3021" s="256" t="s">
        <v>72</v>
      </c>
      <c r="H3021" s="159" t="s">
        <v>73</v>
      </c>
      <c r="I3021" s="158">
        <f>I3022+I3023</f>
        <v>3578009.4</v>
      </c>
      <c r="J3021" s="158">
        <f>J3022+J3023</f>
        <v>7539</v>
      </c>
      <c r="K3021" s="158">
        <f>K3022+K3023</f>
        <v>7539</v>
      </c>
      <c r="L3021" s="1"/>
      <c r="M3021" s="1"/>
      <c r="N3021" s="1"/>
      <c r="O3021" s="1"/>
      <c r="P3021" s="1"/>
      <c r="Q3021" s="1"/>
      <c r="R3021" s="1"/>
      <c r="S3021" s="1"/>
      <c r="T3021" s="1"/>
      <c r="U3021" s="1"/>
      <c r="V3021" s="1"/>
      <c r="W3021" s="1"/>
      <c r="X3021" s="1"/>
      <c r="Y3021" s="1"/>
      <c r="Z3021" s="1"/>
      <c r="AA3021" s="1"/>
      <c r="AB3021" s="1"/>
      <c r="AC3021" s="1"/>
      <c r="AD3021" s="1"/>
      <c r="AE3021" s="1"/>
      <c r="AF3021" s="1"/>
      <c r="AG3021" s="1"/>
      <c r="AH3021" s="1"/>
      <c r="AI3021" s="1"/>
      <c r="AJ3021" s="1"/>
      <c r="AK3021" s="1"/>
      <c r="AL3021" s="1"/>
      <c r="AM3021" s="1"/>
      <c r="AN3021" s="1"/>
      <c r="AO3021" s="1"/>
      <c r="AP3021" s="1"/>
      <c r="AQ3021" s="1"/>
      <c r="AR3021" s="1"/>
      <c r="AS3021" s="1"/>
      <c r="AT3021" s="1"/>
      <c r="AU3021" s="1"/>
      <c r="AV3021" s="1"/>
      <c r="AW3021" s="1"/>
      <c r="AX3021" s="1"/>
      <c r="AY3021" s="1"/>
      <c r="AZ3021" s="1"/>
      <c r="BA3021" s="1"/>
      <c r="BB3021" s="1"/>
      <c r="BC3021" s="1"/>
      <c r="BD3021" s="1"/>
      <c r="BE3021" s="1"/>
      <c r="BF3021" s="1"/>
      <c r="BG3021" s="1"/>
      <c r="BH3021" s="1"/>
      <c r="BI3021" s="1"/>
      <c r="BJ3021" s="1"/>
      <c r="BK3021" s="1"/>
      <c r="BL3021" s="1"/>
      <c r="BM3021" s="1"/>
      <c r="BN3021" s="1"/>
      <c r="BO3021" s="1"/>
      <c r="BP3021" s="1"/>
      <c r="BQ3021" s="1"/>
      <c r="BR3021" s="1"/>
      <c r="BS3021" s="1"/>
      <c r="BT3021" s="1"/>
      <c r="BU3021" s="1"/>
      <c r="BV3021" s="1"/>
      <c r="BW3021" s="1"/>
      <c r="BX3021" s="1"/>
      <c r="BY3021" s="1"/>
      <c r="BZ3021" s="1"/>
      <c r="CA3021" s="1"/>
      <c r="CB3021" s="1"/>
      <c r="CC3021" s="1"/>
      <c r="CD3021" s="1"/>
      <c r="CE3021" s="1"/>
      <c r="CF3021" s="1"/>
      <c r="CG3021" s="1"/>
      <c r="CH3021" s="1"/>
      <c r="CI3021" s="1"/>
      <c r="CJ3021" s="1"/>
      <c r="CK3021" s="1"/>
      <c r="CL3021" s="1"/>
      <c r="CM3021" s="1"/>
      <c r="CN3021" s="1"/>
      <c r="CO3021" s="1"/>
      <c r="CP3021" s="1"/>
      <c r="CQ3021" s="1"/>
      <c r="CR3021" s="1"/>
      <c r="CS3021" s="1"/>
      <c r="CT3021" s="1"/>
      <c r="CU3021" s="1"/>
      <c r="CV3021" s="1"/>
      <c r="CW3021" s="1"/>
      <c r="CX3021" s="1"/>
      <c r="CY3021" s="1"/>
      <c r="CZ3021" s="1"/>
      <c r="DA3021" s="1"/>
      <c r="DB3021" s="1"/>
      <c r="DC3021" s="1"/>
      <c r="DD3021" s="1"/>
      <c r="DE3021" s="1"/>
      <c r="DF3021" s="1"/>
      <c r="DG3021" s="1"/>
      <c r="DH3021" s="1"/>
      <c r="DI3021" s="1"/>
      <c r="DJ3021" s="1"/>
      <c r="DK3021" s="1"/>
      <c r="DL3021" s="1"/>
      <c r="DM3021" s="1"/>
      <c r="DN3021" s="1"/>
      <c r="DO3021" s="1"/>
      <c r="DP3021" s="1"/>
      <c r="DQ3021" s="1"/>
      <c r="DR3021" s="1"/>
      <c r="DS3021" s="1"/>
      <c r="DT3021" s="1"/>
      <c r="DU3021" s="1"/>
      <c r="DV3021" s="1"/>
      <c r="DW3021" s="1"/>
      <c r="DX3021" s="1"/>
      <c r="DY3021" s="1"/>
      <c r="DZ3021" s="1"/>
      <c r="EA3021" s="1"/>
      <c r="EB3021" s="1"/>
      <c r="EC3021" s="1"/>
      <c r="ED3021" s="1"/>
      <c r="EE3021" s="1"/>
      <c r="EF3021" s="1"/>
      <c r="EG3021" s="1"/>
      <c r="EH3021" s="1"/>
      <c r="EI3021" s="1"/>
      <c r="EJ3021" s="1"/>
      <c r="EK3021" s="1"/>
      <c r="EL3021" s="1"/>
      <c r="EM3021" s="1"/>
      <c r="EN3021" s="1"/>
      <c r="EO3021" s="1"/>
      <c r="EP3021" s="1"/>
      <c r="EQ3021" s="1"/>
      <c r="ER3021" s="1"/>
      <c r="ES3021" s="1"/>
      <c r="ET3021" s="1"/>
      <c r="EU3021" s="1"/>
      <c r="EV3021" s="1"/>
      <c r="EW3021" s="1"/>
      <c r="EX3021" s="1"/>
      <c r="EY3021" s="1"/>
      <c r="EZ3021" s="1"/>
      <c r="FA3021" s="1"/>
      <c r="FB3021" s="1"/>
      <c r="FC3021" s="1"/>
      <c r="FD3021" s="1"/>
      <c r="FE3021" s="1"/>
      <c r="FF3021" s="1"/>
      <c r="FG3021" s="1"/>
      <c r="FH3021" s="1"/>
      <c r="FI3021" s="1"/>
      <c r="FJ3021" s="1"/>
      <c r="FK3021" s="1"/>
      <c r="FL3021" s="1"/>
      <c r="FM3021" s="1"/>
      <c r="FN3021" s="1"/>
      <c r="FO3021" s="1"/>
      <c r="FP3021" s="1"/>
      <c r="FQ3021" s="1"/>
      <c r="FR3021" s="1"/>
      <c r="FS3021" s="1"/>
      <c r="FT3021" s="1"/>
      <c r="FU3021" s="1"/>
      <c r="FV3021" s="1"/>
      <c r="FW3021" s="1"/>
      <c r="FX3021" s="1"/>
      <c r="FY3021" s="1"/>
      <c r="FZ3021" s="1"/>
      <c r="GA3021" s="1"/>
      <c r="GB3021" s="1"/>
      <c r="GC3021" s="1"/>
      <c r="GD3021" s="1"/>
      <c r="GE3021" s="1"/>
      <c r="GF3021" s="1"/>
      <c r="GG3021" s="1"/>
      <c r="GH3021" s="1"/>
      <c r="GI3021" s="1"/>
      <c r="GJ3021" s="1"/>
      <c r="GK3021" s="1"/>
      <c r="GL3021" s="1"/>
      <c r="GM3021" s="1"/>
      <c r="GN3021" s="1"/>
      <c r="GO3021" s="1"/>
      <c r="GP3021" s="1"/>
      <c r="GQ3021" s="1"/>
      <c r="GR3021" s="1"/>
      <c r="GS3021" s="1"/>
      <c r="GT3021" s="1"/>
      <c r="GU3021" s="1"/>
      <c r="GV3021" s="1"/>
      <c r="GW3021" s="1"/>
      <c r="GX3021" s="1"/>
      <c r="GY3021" s="1"/>
      <c r="GZ3021" s="1"/>
      <c r="HA3021" s="1"/>
      <c r="HB3021" s="1"/>
      <c r="HC3021" s="1"/>
      <c r="HD3021" s="1"/>
      <c r="HE3021" s="1"/>
      <c r="HF3021" s="1"/>
      <c r="HG3021" s="1"/>
      <c r="HH3021" s="1"/>
      <c r="HI3021" s="1"/>
      <c r="HJ3021" s="1"/>
      <c r="HK3021" s="1"/>
      <c r="HL3021" s="1"/>
      <c r="HM3021" s="1"/>
      <c r="HN3021" s="1"/>
      <c r="HO3021" s="1"/>
      <c r="HP3021" s="1"/>
      <c r="HQ3021" s="1"/>
    </row>
    <row r="3022" spans="1:225" x14ac:dyDescent="0.35">
      <c r="A3022" s="257"/>
      <c r="B3022" s="251"/>
      <c r="C3022" s="260"/>
      <c r="D3022" s="263"/>
      <c r="E3022" s="263"/>
      <c r="F3022" s="266"/>
      <c r="G3022" s="257"/>
      <c r="H3022" s="159" t="s">
        <v>74</v>
      </c>
      <c r="I3022" s="158">
        <f>K3022*D3021</f>
        <v>3503022.6</v>
      </c>
      <c r="J3022" s="158">
        <f>I3022/D3021</f>
        <v>7381</v>
      </c>
      <c r="K3022" s="158">
        <v>7381</v>
      </c>
      <c r="L3022" s="1"/>
      <c r="M3022" s="1"/>
      <c r="N3022" s="1"/>
      <c r="O3022" s="1"/>
      <c r="P3022" s="1"/>
      <c r="Q3022" s="1"/>
      <c r="R3022" s="1"/>
      <c r="S3022" s="1"/>
      <c r="T3022" s="1"/>
      <c r="U3022" s="1"/>
      <c r="V3022" s="1"/>
      <c r="W3022" s="1"/>
      <c r="X3022" s="1"/>
      <c r="Y3022" s="1"/>
      <c r="Z3022" s="1"/>
      <c r="AA3022" s="1"/>
      <c r="AB3022" s="1"/>
      <c r="AC3022" s="1"/>
      <c r="AD3022" s="1"/>
      <c r="AE3022" s="1"/>
      <c r="AF3022" s="1"/>
      <c r="AG3022" s="1"/>
      <c r="AH3022" s="1"/>
      <c r="AI3022" s="1"/>
      <c r="AJ3022" s="1"/>
      <c r="AK3022" s="1"/>
      <c r="AL3022" s="1"/>
      <c r="AM3022" s="1"/>
      <c r="AN3022" s="1"/>
      <c r="AO3022" s="1"/>
      <c r="AP3022" s="1"/>
      <c r="AQ3022" s="1"/>
      <c r="AR3022" s="1"/>
      <c r="AS3022" s="1"/>
      <c r="AT3022" s="1"/>
      <c r="AU3022" s="1"/>
      <c r="AV3022" s="1"/>
      <c r="AW3022" s="1"/>
      <c r="AX3022" s="1"/>
      <c r="AY3022" s="1"/>
      <c r="AZ3022" s="1"/>
      <c r="BA3022" s="1"/>
      <c r="BB3022" s="1"/>
      <c r="BC3022" s="1"/>
      <c r="BD3022" s="1"/>
      <c r="BE3022" s="1"/>
      <c r="BF3022" s="1"/>
      <c r="BG3022" s="1"/>
      <c r="BH3022" s="1"/>
      <c r="BI3022" s="1"/>
      <c r="BJ3022" s="1"/>
      <c r="BK3022" s="1"/>
      <c r="BL3022" s="1"/>
      <c r="BM3022" s="1"/>
      <c r="BN3022" s="1"/>
      <c r="BO3022" s="1"/>
      <c r="BP3022" s="1"/>
      <c r="BQ3022" s="1"/>
      <c r="BR3022" s="1"/>
      <c r="BS3022" s="1"/>
      <c r="BT3022" s="1"/>
      <c r="BU3022" s="1"/>
      <c r="BV3022" s="1"/>
      <c r="BW3022" s="1"/>
      <c r="BX3022" s="1"/>
      <c r="BY3022" s="1"/>
      <c r="BZ3022" s="1"/>
      <c r="CA3022" s="1"/>
      <c r="CB3022" s="1"/>
      <c r="CC3022" s="1"/>
      <c r="CD3022" s="1"/>
      <c r="CE3022" s="1"/>
      <c r="CF3022" s="1"/>
      <c r="CG3022" s="1"/>
      <c r="CH3022" s="1"/>
      <c r="CI3022" s="1"/>
      <c r="CJ3022" s="1"/>
      <c r="CK3022" s="1"/>
      <c r="CL3022" s="1"/>
      <c r="CM3022" s="1"/>
      <c r="CN3022" s="1"/>
      <c r="CO3022" s="1"/>
      <c r="CP3022" s="1"/>
      <c r="CQ3022" s="1"/>
      <c r="CR3022" s="1"/>
      <c r="CS3022" s="1"/>
      <c r="CT3022" s="1"/>
      <c r="CU3022" s="1"/>
      <c r="CV3022" s="1"/>
      <c r="CW3022" s="1"/>
      <c r="CX3022" s="1"/>
      <c r="CY3022" s="1"/>
      <c r="CZ3022" s="1"/>
      <c r="DA3022" s="1"/>
      <c r="DB3022" s="1"/>
      <c r="DC3022" s="1"/>
      <c r="DD3022" s="1"/>
      <c r="DE3022" s="1"/>
      <c r="DF3022" s="1"/>
      <c r="DG3022" s="1"/>
      <c r="DH3022" s="1"/>
      <c r="DI3022" s="1"/>
      <c r="DJ3022" s="1"/>
      <c r="DK3022" s="1"/>
      <c r="DL3022" s="1"/>
      <c r="DM3022" s="1"/>
      <c r="DN3022" s="1"/>
      <c r="DO3022" s="1"/>
      <c r="DP3022" s="1"/>
      <c r="DQ3022" s="1"/>
      <c r="DR3022" s="1"/>
      <c r="DS3022" s="1"/>
      <c r="DT3022" s="1"/>
      <c r="DU3022" s="1"/>
      <c r="DV3022" s="1"/>
      <c r="DW3022" s="1"/>
      <c r="DX3022" s="1"/>
      <c r="DY3022" s="1"/>
      <c r="DZ3022" s="1"/>
      <c r="EA3022" s="1"/>
      <c r="EB3022" s="1"/>
      <c r="EC3022" s="1"/>
      <c r="ED3022" s="1"/>
      <c r="EE3022" s="1"/>
      <c r="EF3022" s="1"/>
      <c r="EG3022" s="1"/>
      <c r="EH3022" s="1"/>
      <c r="EI3022" s="1"/>
      <c r="EJ3022" s="1"/>
      <c r="EK3022" s="1"/>
      <c r="EL3022" s="1"/>
      <c r="EM3022" s="1"/>
      <c r="EN3022" s="1"/>
      <c r="EO3022" s="1"/>
      <c r="EP3022" s="1"/>
      <c r="EQ3022" s="1"/>
      <c r="ER3022" s="1"/>
      <c r="ES3022" s="1"/>
      <c r="ET3022" s="1"/>
      <c r="EU3022" s="1"/>
      <c r="EV3022" s="1"/>
      <c r="EW3022" s="1"/>
      <c r="EX3022" s="1"/>
      <c r="EY3022" s="1"/>
      <c r="EZ3022" s="1"/>
      <c r="FA3022" s="1"/>
      <c r="FB3022" s="1"/>
      <c r="FC3022" s="1"/>
      <c r="FD3022" s="1"/>
      <c r="FE3022" s="1"/>
      <c r="FF3022" s="1"/>
      <c r="FG3022" s="1"/>
      <c r="FH3022" s="1"/>
      <c r="FI3022" s="1"/>
      <c r="FJ3022" s="1"/>
      <c r="FK3022" s="1"/>
      <c r="FL3022" s="1"/>
      <c r="FM3022" s="1"/>
      <c r="FN3022" s="1"/>
      <c r="FO3022" s="1"/>
      <c r="FP3022" s="1"/>
      <c r="FQ3022" s="1"/>
      <c r="FR3022" s="1"/>
      <c r="FS3022" s="1"/>
      <c r="FT3022" s="1"/>
      <c r="FU3022" s="1"/>
      <c r="FV3022" s="1"/>
      <c r="FW3022" s="1"/>
      <c r="FX3022" s="1"/>
      <c r="FY3022" s="1"/>
      <c r="FZ3022" s="1"/>
      <c r="GA3022" s="1"/>
      <c r="GB3022" s="1"/>
      <c r="GC3022" s="1"/>
      <c r="GD3022" s="1"/>
      <c r="GE3022" s="1"/>
      <c r="GF3022" s="1"/>
      <c r="GG3022" s="1"/>
      <c r="GH3022" s="1"/>
      <c r="GI3022" s="1"/>
      <c r="GJ3022" s="1"/>
      <c r="GK3022" s="1"/>
      <c r="GL3022" s="1"/>
      <c r="GM3022" s="1"/>
      <c r="GN3022" s="1"/>
      <c r="GO3022" s="1"/>
      <c r="GP3022" s="1"/>
      <c r="GQ3022" s="1"/>
      <c r="GR3022" s="1"/>
      <c r="GS3022" s="1"/>
      <c r="GT3022" s="1"/>
      <c r="GU3022" s="1"/>
      <c r="GV3022" s="1"/>
      <c r="GW3022" s="1"/>
      <c r="GX3022" s="1"/>
      <c r="GY3022" s="1"/>
      <c r="GZ3022" s="1"/>
      <c r="HA3022" s="1"/>
      <c r="HB3022" s="1"/>
      <c r="HC3022" s="1"/>
      <c r="HD3022" s="1"/>
      <c r="HE3022" s="1"/>
      <c r="HF3022" s="1"/>
      <c r="HG3022" s="1"/>
      <c r="HH3022" s="1"/>
      <c r="HI3022" s="1"/>
      <c r="HJ3022" s="1"/>
      <c r="HK3022" s="1"/>
      <c r="HL3022" s="1"/>
      <c r="HM3022" s="1"/>
      <c r="HN3022" s="1"/>
      <c r="HO3022" s="1"/>
      <c r="HP3022" s="1"/>
      <c r="HQ3022" s="1"/>
    </row>
    <row r="3023" spans="1:225" x14ac:dyDescent="0.35">
      <c r="A3023" s="258"/>
      <c r="B3023" s="251"/>
      <c r="C3023" s="261"/>
      <c r="D3023" s="264"/>
      <c r="E3023" s="264"/>
      <c r="F3023" s="267"/>
      <c r="G3023" s="258"/>
      <c r="H3023" s="159" t="s">
        <v>76</v>
      </c>
      <c r="I3023" s="158">
        <f>K3023*D3021</f>
        <v>74986.8</v>
      </c>
      <c r="J3023" s="158">
        <f>I3023/D3021</f>
        <v>158</v>
      </c>
      <c r="K3023" s="158">
        <v>158</v>
      </c>
      <c r="L3023" s="1"/>
      <c r="M3023" s="1"/>
      <c r="N3023" s="1"/>
      <c r="O3023" s="1"/>
      <c r="P3023" s="1"/>
      <c r="Q3023" s="1"/>
      <c r="R3023" s="1"/>
      <c r="S3023" s="1"/>
      <c r="T3023" s="1"/>
      <c r="U3023" s="1"/>
      <c r="V3023" s="1"/>
      <c r="W3023" s="1"/>
      <c r="X3023" s="1"/>
      <c r="Y3023" s="1"/>
      <c r="Z3023" s="1"/>
      <c r="AA3023" s="1"/>
      <c r="AB3023" s="1"/>
      <c r="AC3023" s="1"/>
      <c r="AD3023" s="1"/>
      <c r="AE3023" s="1"/>
      <c r="AF3023" s="1"/>
      <c r="AG3023" s="1"/>
      <c r="AH3023" s="1"/>
      <c r="AI3023" s="1"/>
      <c r="AJ3023" s="1"/>
      <c r="AK3023" s="1"/>
      <c r="AL3023" s="1"/>
      <c r="AM3023" s="1"/>
      <c r="AN3023" s="1"/>
      <c r="AO3023" s="1"/>
      <c r="AP3023" s="1"/>
      <c r="AQ3023" s="1"/>
      <c r="AR3023" s="1"/>
      <c r="AS3023" s="1"/>
      <c r="AT3023" s="1"/>
      <c r="AU3023" s="1"/>
      <c r="AV3023" s="1"/>
      <c r="AW3023" s="1"/>
      <c r="AX3023" s="1"/>
      <c r="AY3023" s="1"/>
      <c r="AZ3023" s="1"/>
      <c r="BA3023" s="1"/>
      <c r="BB3023" s="1"/>
      <c r="BC3023" s="1"/>
      <c r="BD3023" s="1"/>
      <c r="BE3023" s="1"/>
      <c r="BF3023" s="1"/>
      <c r="BG3023" s="1"/>
      <c r="BH3023" s="1"/>
      <c r="BI3023" s="1"/>
      <c r="BJ3023" s="1"/>
      <c r="BK3023" s="1"/>
      <c r="BL3023" s="1"/>
      <c r="BM3023" s="1"/>
      <c r="BN3023" s="1"/>
      <c r="BO3023" s="1"/>
      <c r="BP3023" s="1"/>
      <c r="BQ3023" s="1"/>
      <c r="BR3023" s="1"/>
      <c r="BS3023" s="1"/>
      <c r="BT3023" s="1"/>
      <c r="BU3023" s="1"/>
      <c r="BV3023" s="1"/>
      <c r="BW3023" s="1"/>
      <c r="BX3023" s="1"/>
      <c r="BY3023" s="1"/>
      <c r="BZ3023" s="1"/>
      <c r="CA3023" s="1"/>
      <c r="CB3023" s="1"/>
      <c r="CC3023" s="1"/>
      <c r="CD3023" s="1"/>
      <c r="CE3023" s="1"/>
      <c r="CF3023" s="1"/>
      <c r="CG3023" s="1"/>
      <c r="CH3023" s="1"/>
      <c r="CI3023" s="1"/>
      <c r="CJ3023" s="1"/>
      <c r="CK3023" s="1"/>
      <c r="CL3023" s="1"/>
      <c r="CM3023" s="1"/>
      <c r="CN3023" s="1"/>
      <c r="CO3023" s="1"/>
      <c r="CP3023" s="1"/>
      <c r="CQ3023" s="1"/>
      <c r="CR3023" s="1"/>
      <c r="CS3023" s="1"/>
      <c r="CT3023" s="1"/>
      <c r="CU3023" s="1"/>
      <c r="CV3023" s="1"/>
      <c r="CW3023" s="1"/>
      <c r="CX3023" s="1"/>
      <c r="CY3023" s="1"/>
      <c r="CZ3023" s="1"/>
      <c r="DA3023" s="1"/>
      <c r="DB3023" s="1"/>
      <c r="DC3023" s="1"/>
      <c r="DD3023" s="1"/>
      <c r="DE3023" s="1"/>
      <c r="DF3023" s="1"/>
      <c r="DG3023" s="1"/>
      <c r="DH3023" s="1"/>
      <c r="DI3023" s="1"/>
      <c r="DJ3023" s="1"/>
      <c r="DK3023" s="1"/>
      <c r="DL3023" s="1"/>
      <c r="DM3023" s="1"/>
      <c r="DN3023" s="1"/>
      <c r="DO3023" s="1"/>
      <c r="DP3023" s="1"/>
      <c r="DQ3023" s="1"/>
      <c r="DR3023" s="1"/>
      <c r="DS3023" s="1"/>
      <c r="DT3023" s="1"/>
      <c r="DU3023" s="1"/>
      <c r="DV3023" s="1"/>
      <c r="DW3023" s="1"/>
      <c r="DX3023" s="1"/>
      <c r="DY3023" s="1"/>
      <c r="DZ3023" s="1"/>
      <c r="EA3023" s="1"/>
      <c r="EB3023" s="1"/>
      <c r="EC3023" s="1"/>
      <c r="ED3023" s="1"/>
      <c r="EE3023" s="1"/>
      <c r="EF3023" s="1"/>
      <c r="EG3023" s="1"/>
      <c r="EH3023" s="1"/>
      <c r="EI3023" s="1"/>
      <c r="EJ3023" s="1"/>
      <c r="EK3023" s="1"/>
      <c r="EL3023" s="1"/>
      <c r="EM3023" s="1"/>
      <c r="EN3023" s="1"/>
      <c r="EO3023" s="1"/>
      <c r="EP3023" s="1"/>
      <c r="EQ3023" s="1"/>
      <c r="ER3023" s="1"/>
      <c r="ES3023" s="1"/>
      <c r="ET3023" s="1"/>
      <c r="EU3023" s="1"/>
      <c r="EV3023" s="1"/>
      <c r="EW3023" s="1"/>
      <c r="EX3023" s="1"/>
      <c r="EY3023" s="1"/>
      <c r="EZ3023" s="1"/>
      <c r="FA3023" s="1"/>
      <c r="FB3023" s="1"/>
      <c r="FC3023" s="1"/>
      <c r="FD3023" s="1"/>
      <c r="FE3023" s="1"/>
      <c r="FF3023" s="1"/>
      <c r="FG3023" s="1"/>
      <c r="FH3023" s="1"/>
      <c r="FI3023" s="1"/>
      <c r="FJ3023" s="1"/>
      <c r="FK3023" s="1"/>
      <c r="FL3023" s="1"/>
      <c r="FM3023" s="1"/>
      <c r="FN3023" s="1"/>
      <c r="FO3023" s="1"/>
      <c r="FP3023" s="1"/>
      <c r="FQ3023" s="1"/>
      <c r="FR3023" s="1"/>
      <c r="FS3023" s="1"/>
      <c r="FT3023" s="1"/>
      <c r="FU3023" s="1"/>
      <c r="FV3023" s="1"/>
      <c r="FW3023" s="1"/>
      <c r="FX3023" s="1"/>
      <c r="FY3023" s="1"/>
      <c r="FZ3023" s="1"/>
      <c r="GA3023" s="1"/>
      <c r="GB3023" s="1"/>
      <c r="GC3023" s="1"/>
      <c r="GD3023" s="1"/>
      <c r="GE3023" s="1"/>
      <c r="GF3023" s="1"/>
      <c r="GG3023" s="1"/>
      <c r="GH3023" s="1"/>
      <c r="GI3023" s="1"/>
      <c r="GJ3023" s="1"/>
      <c r="GK3023" s="1"/>
      <c r="GL3023" s="1"/>
      <c r="GM3023" s="1"/>
      <c r="GN3023" s="1"/>
      <c r="GO3023" s="1"/>
      <c r="GP3023" s="1"/>
      <c r="GQ3023" s="1"/>
      <c r="GR3023" s="1"/>
      <c r="GS3023" s="1"/>
      <c r="GT3023" s="1"/>
      <c r="GU3023" s="1"/>
      <c r="GV3023" s="1"/>
      <c r="GW3023" s="1"/>
      <c r="GX3023" s="1"/>
      <c r="GY3023" s="1"/>
      <c r="GZ3023" s="1"/>
      <c r="HA3023" s="1"/>
      <c r="HB3023" s="1"/>
      <c r="HC3023" s="1"/>
      <c r="HD3023" s="1"/>
      <c r="HE3023" s="1"/>
      <c r="HF3023" s="1"/>
      <c r="HG3023" s="1"/>
      <c r="HH3023" s="1"/>
      <c r="HI3023" s="1"/>
      <c r="HJ3023" s="1"/>
      <c r="HK3023" s="1"/>
      <c r="HL3023" s="1"/>
      <c r="HM3023" s="1"/>
      <c r="HN3023" s="1"/>
      <c r="HO3023" s="1"/>
      <c r="HP3023" s="1"/>
      <c r="HQ3023" s="1"/>
    </row>
    <row r="3024" spans="1:225" ht="15.75" customHeight="1" x14ac:dyDescent="0.35">
      <c r="A3024" s="256">
        <f>A3021+1</f>
        <v>3</v>
      </c>
      <c r="B3024" s="256">
        <v>5399</v>
      </c>
      <c r="C3024" s="259" t="s">
        <v>626</v>
      </c>
      <c r="D3024" s="262">
        <v>413</v>
      </c>
      <c r="E3024" s="256" t="s">
        <v>665</v>
      </c>
      <c r="F3024" s="256">
        <v>2</v>
      </c>
      <c r="G3024" s="256" t="s">
        <v>72</v>
      </c>
      <c r="H3024" s="159" t="s">
        <v>73</v>
      </c>
      <c r="I3024" s="158">
        <f>I3025+I3026</f>
        <v>2199101.1</v>
      </c>
      <c r="J3024" s="158">
        <f>J3025+J3026</f>
        <v>5324.7</v>
      </c>
      <c r="K3024" s="158">
        <f>K3025+K3026</f>
        <v>7539</v>
      </c>
      <c r="L3024" s="1"/>
      <c r="M3024" s="1"/>
      <c r="N3024" s="1"/>
      <c r="O3024" s="1"/>
      <c r="P3024" s="1"/>
      <c r="Q3024" s="1"/>
      <c r="R3024" s="1"/>
      <c r="S3024" s="1"/>
      <c r="T3024" s="1"/>
      <c r="U3024" s="1"/>
      <c r="V3024" s="1"/>
      <c r="W3024" s="1"/>
      <c r="X3024" s="1"/>
      <c r="Y3024" s="1"/>
      <c r="Z3024" s="1"/>
      <c r="AA3024" s="1"/>
      <c r="AB3024" s="1"/>
      <c r="AC3024" s="1"/>
      <c r="AD3024" s="1"/>
      <c r="AE3024" s="1"/>
      <c r="AF3024" s="1"/>
      <c r="AG3024" s="1"/>
      <c r="AH3024" s="1"/>
      <c r="AI3024" s="1"/>
      <c r="AJ3024" s="1"/>
      <c r="AK3024" s="1"/>
      <c r="AL3024" s="1"/>
      <c r="AM3024" s="1"/>
      <c r="AN3024" s="1"/>
      <c r="AO3024" s="1"/>
      <c r="AP3024" s="1"/>
      <c r="AQ3024" s="1"/>
      <c r="AR3024" s="1"/>
      <c r="AS3024" s="1"/>
      <c r="AT3024" s="1"/>
      <c r="AU3024" s="1"/>
      <c r="AV3024" s="1"/>
      <c r="AW3024" s="1"/>
      <c r="AX3024" s="1"/>
      <c r="AY3024" s="1"/>
      <c r="AZ3024" s="1"/>
      <c r="BA3024" s="1"/>
      <c r="BB3024" s="1"/>
      <c r="BC3024" s="1"/>
      <c r="BD3024" s="1"/>
      <c r="BE3024" s="1"/>
      <c r="BF3024" s="1"/>
      <c r="BG3024" s="1"/>
      <c r="BH3024" s="1"/>
      <c r="BI3024" s="1"/>
      <c r="BJ3024" s="1"/>
      <c r="BK3024" s="1"/>
      <c r="BL3024" s="1"/>
      <c r="BM3024" s="1"/>
      <c r="BN3024" s="1"/>
      <c r="BO3024" s="1"/>
      <c r="BP3024" s="1"/>
      <c r="BQ3024" s="1"/>
      <c r="BR3024" s="1"/>
      <c r="BS3024" s="1"/>
      <c r="BT3024" s="1"/>
      <c r="BU3024" s="1"/>
      <c r="BV3024" s="1"/>
      <c r="BW3024" s="1"/>
      <c r="BX3024" s="1"/>
      <c r="BY3024" s="1"/>
      <c r="BZ3024" s="1"/>
      <c r="CA3024" s="1"/>
      <c r="CB3024" s="1"/>
      <c r="CC3024" s="1"/>
      <c r="CD3024" s="1"/>
      <c r="CE3024" s="1"/>
      <c r="CF3024" s="1"/>
      <c r="CG3024" s="1"/>
      <c r="CH3024" s="1"/>
      <c r="CI3024" s="1"/>
      <c r="CJ3024" s="1"/>
      <c r="CK3024" s="1"/>
      <c r="CL3024" s="1"/>
      <c r="CM3024" s="1"/>
      <c r="CN3024" s="1"/>
      <c r="CO3024" s="1"/>
      <c r="CP3024" s="1"/>
      <c r="CQ3024" s="1"/>
      <c r="CR3024" s="1"/>
      <c r="CS3024" s="1"/>
      <c r="CT3024" s="1"/>
      <c r="CU3024" s="1"/>
      <c r="CV3024" s="1"/>
      <c r="CW3024" s="1"/>
      <c r="CX3024" s="1"/>
      <c r="CY3024" s="1"/>
      <c r="CZ3024" s="1"/>
      <c r="DA3024" s="1"/>
      <c r="DB3024" s="1"/>
      <c r="DC3024" s="1"/>
      <c r="DD3024" s="1"/>
      <c r="DE3024" s="1"/>
      <c r="DF3024" s="1"/>
      <c r="DG3024" s="1"/>
      <c r="DH3024" s="1"/>
      <c r="DI3024" s="1"/>
      <c r="DJ3024" s="1"/>
      <c r="DK3024" s="1"/>
      <c r="DL3024" s="1"/>
      <c r="DM3024" s="1"/>
      <c r="DN3024" s="1"/>
      <c r="DO3024" s="1"/>
      <c r="DP3024" s="1"/>
      <c r="DQ3024" s="1"/>
      <c r="DR3024" s="1"/>
      <c r="DS3024" s="1"/>
      <c r="DT3024" s="1"/>
      <c r="DU3024" s="1"/>
      <c r="DV3024" s="1"/>
      <c r="DW3024" s="1"/>
      <c r="DX3024" s="1"/>
      <c r="DY3024" s="1"/>
      <c r="DZ3024" s="1"/>
      <c r="EA3024" s="1"/>
      <c r="EB3024" s="1"/>
      <c r="EC3024" s="1"/>
      <c r="ED3024" s="1"/>
      <c r="EE3024" s="1"/>
      <c r="EF3024" s="1"/>
      <c r="EG3024" s="1"/>
      <c r="EH3024" s="1"/>
      <c r="EI3024" s="1"/>
      <c r="EJ3024" s="1"/>
      <c r="EK3024" s="1"/>
      <c r="EL3024" s="1"/>
      <c r="EM3024" s="1"/>
      <c r="EN3024" s="1"/>
      <c r="EO3024" s="1"/>
      <c r="EP3024" s="1"/>
      <c r="EQ3024" s="1"/>
      <c r="ER3024" s="1"/>
      <c r="ES3024" s="1"/>
      <c r="ET3024" s="1"/>
      <c r="EU3024" s="1"/>
      <c r="EV3024" s="1"/>
      <c r="EW3024" s="1"/>
      <c r="EX3024" s="1"/>
      <c r="EY3024" s="1"/>
      <c r="EZ3024" s="1"/>
      <c r="FA3024" s="1"/>
      <c r="FB3024" s="1"/>
      <c r="FC3024" s="1"/>
      <c r="FD3024" s="1"/>
      <c r="FE3024" s="1"/>
      <c r="FF3024" s="1"/>
      <c r="FG3024" s="1"/>
      <c r="FH3024" s="1"/>
      <c r="FI3024" s="1"/>
      <c r="FJ3024" s="1"/>
      <c r="FK3024" s="1"/>
      <c r="FL3024" s="1"/>
      <c r="FM3024" s="1"/>
      <c r="FN3024" s="1"/>
      <c r="FO3024" s="1"/>
      <c r="FP3024" s="1"/>
      <c r="FQ3024" s="1"/>
      <c r="FR3024" s="1"/>
      <c r="FS3024" s="1"/>
      <c r="FT3024" s="1"/>
      <c r="FU3024" s="1"/>
      <c r="FV3024" s="1"/>
      <c r="FW3024" s="1"/>
      <c r="FX3024" s="1"/>
      <c r="FY3024" s="1"/>
      <c r="FZ3024" s="1"/>
      <c r="GA3024" s="1"/>
      <c r="GB3024" s="1"/>
      <c r="GC3024" s="1"/>
      <c r="GD3024" s="1"/>
      <c r="GE3024" s="1"/>
      <c r="GF3024" s="1"/>
      <c r="GG3024" s="1"/>
      <c r="GH3024" s="1"/>
      <c r="GI3024" s="1"/>
      <c r="GJ3024" s="1"/>
      <c r="GK3024" s="1"/>
      <c r="GL3024" s="1"/>
      <c r="GM3024" s="1"/>
      <c r="GN3024" s="1"/>
      <c r="GO3024" s="1"/>
      <c r="GP3024" s="1"/>
      <c r="GQ3024" s="1"/>
      <c r="GR3024" s="1"/>
      <c r="GS3024" s="1"/>
      <c r="GT3024" s="1"/>
      <c r="GU3024" s="1"/>
      <c r="GV3024" s="1"/>
      <c r="GW3024" s="1"/>
      <c r="GX3024" s="1"/>
      <c r="GY3024" s="1"/>
      <c r="GZ3024" s="1"/>
      <c r="HA3024" s="1"/>
      <c r="HB3024" s="1"/>
      <c r="HC3024" s="1"/>
      <c r="HD3024" s="1"/>
      <c r="HE3024" s="1"/>
      <c r="HF3024" s="1"/>
      <c r="HG3024" s="1"/>
      <c r="HH3024" s="1"/>
      <c r="HI3024" s="1"/>
      <c r="HJ3024" s="1"/>
      <c r="HK3024" s="1"/>
      <c r="HL3024" s="1"/>
      <c r="HM3024" s="1"/>
      <c r="HN3024" s="1"/>
      <c r="HO3024" s="1"/>
      <c r="HP3024" s="1"/>
      <c r="HQ3024" s="1"/>
    </row>
    <row r="3025" spans="1:225" x14ac:dyDescent="0.35">
      <c r="A3025" s="257"/>
      <c r="B3025" s="257"/>
      <c r="C3025" s="260"/>
      <c r="D3025" s="263"/>
      <c r="E3025" s="257"/>
      <c r="F3025" s="257"/>
      <c r="G3025" s="257"/>
      <c r="H3025" s="159" t="s">
        <v>74</v>
      </c>
      <c r="I3025" s="158">
        <f>K3025*D3024*0.7</f>
        <v>2133847.1</v>
      </c>
      <c r="J3025" s="158">
        <f>I3025/D3024</f>
        <v>5166.7</v>
      </c>
      <c r="K3025" s="158">
        <v>7381</v>
      </c>
      <c r="L3025" s="1"/>
      <c r="M3025" s="1"/>
      <c r="N3025" s="1"/>
      <c r="O3025" s="1"/>
      <c r="P3025" s="1"/>
      <c r="Q3025" s="1"/>
      <c r="R3025" s="1"/>
      <c r="S3025" s="1"/>
      <c r="T3025" s="1"/>
      <c r="U3025" s="1"/>
      <c r="V3025" s="1"/>
      <c r="W3025" s="1"/>
      <c r="X3025" s="1"/>
      <c r="Y3025" s="1"/>
      <c r="Z3025" s="1"/>
      <c r="AA3025" s="1"/>
      <c r="AB3025" s="1"/>
      <c r="AC3025" s="1"/>
      <c r="AD3025" s="1"/>
      <c r="AE3025" s="1"/>
      <c r="AF3025" s="1"/>
      <c r="AG3025" s="1"/>
      <c r="AH3025" s="1"/>
      <c r="AI3025" s="1"/>
      <c r="AJ3025" s="1"/>
      <c r="AK3025" s="1"/>
      <c r="AL3025" s="1"/>
      <c r="AM3025" s="1"/>
      <c r="AN3025" s="1"/>
      <c r="AO3025" s="1"/>
      <c r="AP3025" s="1"/>
      <c r="AQ3025" s="1"/>
      <c r="AR3025" s="1"/>
      <c r="AS3025" s="1"/>
      <c r="AT3025" s="1"/>
      <c r="AU3025" s="1"/>
      <c r="AV3025" s="1"/>
      <c r="AW3025" s="1"/>
      <c r="AX3025" s="1"/>
      <c r="AY3025" s="1"/>
      <c r="AZ3025" s="1"/>
      <c r="BA3025" s="1"/>
      <c r="BB3025" s="1"/>
      <c r="BC3025" s="1"/>
      <c r="BD3025" s="1"/>
      <c r="BE3025" s="1"/>
      <c r="BF3025" s="1"/>
      <c r="BG3025" s="1"/>
      <c r="BH3025" s="1"/>
      <c r="BI3025" s="1"/>
      <c r="BJ3025" s="1"/>
      <c r="BK3025" s="1"/>
      <c r="BL3025" s="1"/>
      <c r="BM3025" s="1"/>
      <c r="BN3025" s="1"/>
      <c r="BO3025" s="1"/>
      <c r="BP3025" s="1"/>
      <c r="BQ3025" s="1"/>
      <c r="BR3025" s="1"/>
      <c r="BS3025" s="1"/>
      <c r="BT3025" s="1"/>
      <c r="BU3025" s="1"/>
      <c r="BV3025" s="1"/>
      <c r="BW3025" s="1"/>
      <c r="BX3025" s="1"/>
      <c r="BY3025" s="1"/>
      <c r="BZ3025" s="1"/>
      <c r="CA3025" s="1"/>
      <c r="CB3025" s="1"/>
      <c r="CC3025" s="1"/>
      <c r="CD3025" s="1"/>
      <c r="CE3025" s="1"/>
      <c r="CF3025" s="1"/>
      <c r="CG3025" s="1"/>
      <c r="CH3025" s="1"/>
      <c r="CI3025" s="1"/>
      <c r="CJ3025" s="1"/>
      <c r="CK3025" s="1"/>
      <c r="CL3025" s="1"/>
      <c r="CM3025" s="1"/>
      <c r="CN3025" s="1"/>
      <c r="CO3025" s="1"/>
      <c r="CP3025" s="1"/>
      <c r="CQ3025" s="1"/>
      <c r="CR3025" s="1"/>
      <c r="CS3025" s="1"/>
      <c r="CT3025" s="1"/>
      <c r="CU3025" s="1"/>
      <c r="CV3025" s="1"/>
      <c r="CW3025" s="1"/>
      <c r="CX3025" s="1"/>
      <c r="CY3025" s="1"/>
      <c r="CZ3025" s="1"/>
      <c r="DA3025" s="1"/>
      <c r="DB3025" s="1"/>
      <c r="DC3025" s="1"/>
      <c r="DD3025" s="1"/>
      <c r="DE3025" s="1"/>
      <c r="DF3025" s="1"/>
      <c r="DG3025" s="1"/>
      <c r="DH3025" s="1"/>
      <c r="DI3025" s="1"/>
      <c r="DJ3025" s="1"/>
      <c r="DK3025" s="1"/>
      <c r="DL3025" s="1"/>
      <c r="DM3025" s="1"/>
      <c r="DN3025" s="1"/>
      <c r="DO3025" s="1"/>
      <c r="DP3025" s="1"/>
      <c r="DQ3025" s="1"/>
      <c r="DR3025" s="1"/>
      <c r="DS3025" s="1"/>
      <c r="DT3025" s="1"/>
      <c r="DU3025" s="1"/>
      <c r="DV3025" s="1"/>
      <c r="DW3025" s="1"/>
      <c r="DX3025" s="1"/>
      <c r="DY3025" s="1"/>
      <c r="DZ3025" s="1"/>
      <c r="EA3025" s="1"/>
      <c r="EB3025" s="1"/>
      <c r="EC3025" s="1"/>
      <c r="ED3025" s="1"/>
      <c r="EE3025" s="1"/>
      <c r="EF3025" s="1"/>
      <c r="EG3025" s="1"/>
      <c r="EH3025" s="1"/>
      <c r="EI3025" s="1"/>
      <c r="EJ3025" s="1"/>
      <c r="EK3025" s="1"/>
      <c r="EL3025" s="1"/>
      <c r="EM3025" s="1"/>
      <c r="EN3025" s="1"/>
      <c r="EO3025" s="1"/>
      <c r="EP3025" s="1"/>
      <c r="EQ3025" s="1"/>
      <c r="ER3025" s="1"/>
      <c r="ES3025" s="1"/>
      <c r="ET3025" s="1"/>
      <c r="EU3025" s="1"/>
      <c r="EV3025" s="1"/>
      <c r="EW3025" s="1"/>
      <c r="EX3025" s="1"/>
      <c r="EY3025" s="1"/>
      <c r="EZ3025" s="1"/>
      <c r="FA3025" s="1"/>
      <c r="FB3025" s="1"/>
      <c r="FC3025" s="1"/>
      <c r="FD3025" s="1"/>
      <c r="FE3025" s="1"/>
      <c r="FF3025" s="1"/>
      <c r="FG3025" s="1"/>
      <c r="FH3025" s="1"/>
      <c r="FI3025" s="1"/>
      <c r="FJ3025" s="1"/>
      <c r="FK3025" s="1"/>
      <c r="FL3025" s="1"/>
      <c r="FM3025" s="1"/>
      <c r="FN3025" s="1"/>
      <c r="FO3025" s="1"/>
      <c r="FP3025" s="1"/>
      <c r="FQ3025" s="1"/>
      <c r="FR3025" s="1"/>
      <c r="FS3025" s="1"/>
      <c r="FT3025" s="1"/>
      <c r="FU3025" s="1"/>
      <c r="FV3025" s="1"/>
      <c r="FW3025" s="1"/>
      <c r="FX3025" s="1"/>
      <c r="FY3025" s="1"/>
      <c r="FZ3025" s="1"/>
      <c r="GA3025" s="1"/>
      <c r="GB3025" s="1"/>
      <c r="GC3025" s="1"/>
      <c r="GD3025" s="1"/>
      <c r="GE3025" s="1"/>
      <c r="GF3025" s="1"/>
      <c r="GG3025" s="1"/>
      <c r="GH3025" s="1"/>
      <c r="GI3025" s="1"/>
      <c r="GJ3025" s="1"/>
      <c r="GK3025" s="1"/>
      <c r="GL3025" s="1"/>
      <c r="GM3025" s="1"/>
      <c r="GN3025" s="1"/>
      <c r="GO3025" s="1"/>
      <c r="GP3025" s="1"/>
      <c r="GQ3025" s="1"/>
      <c r="GR3025" s="1"/>
      <c r="GS3025" s="1"/>
      <c r="GT3025" s="1"/>
      <c r="GU3025" s="1"/>
      <c r="GV3025" s="1"/>
      <c r="GW3025" s="1"/>
      <c r="GX3025" s="1"/>
      <c r="GY3025" s="1"/>
      <c r="GZ3025" s="1"/>
      <c r="HA3025" s="1"/>
      <c r="HB3025" s="1"/>
      <c r="HC3025" s="1"/>
      <c r="HD3025" s="1"/>
      <c r="HE3025" s="1"/>
      <c r="HF3025" s="1"/>
      <c r="HG3025" s="1"/>
      <c r="HH3025" s="1"/>
      <c r="HI3025" s="1"/>
      <c r="HJ3025" s="1"/>
      <c r="HK3025" s="1"/>
      <c r="HL3025" s="1"/>
      <c r="HM3025" s="1"/>
      <c r="HN3025" s="1"/>
      <c r="HO3025" s="1"/>
      <c r="HP3025" s="1"/>
      <c r="HQ3025" s="1"/>
    </row>
    <row r="3026" spans="1:225" x14ac:dyDescent="0.35">
      <c r="A3026" s="258"/>
      <c r="B3026" s="258"/>
      <c r="C3026" s="261"/>
      <c r="D3026" s="264"/>
      <c r="E3026" s="258"/>
      <c r="F3026" s="258"/>
      <c r="G3026" s="258"/>
      <c r="H3026" s="159" t="s">
        <v>76</v>
      </c>
      <c r="I3026" s="158">
        <f>K3026*D3024</f>
        <v>65254</v>
      </c>
      <c r="J3026" s="158">
        <f>I3026/D3024</f>
        <v>158</v>
      </c>
      <c r="K3026" s="158">
        <v>158</v>
      </c>
      <c r="L3026" s="1"/>
      <c r="M3026" s="1"/>
      <c r="N3026" s="1"/>
      <c r="O3026" s="1"/>
      <c r="P3026" s="1"/>
      <c r="Q3026" s="1"/>
      <c r="R3026" s="1"/>
      <c r="S3026" s="1"/>
      <c r="T3026" s="1"/>
      <c r="U3026" s="1"/>
      <c r="V3026" s="1"/>
      <c r="W3026" s="1"/>
      <c r="X3026" s="1"/>
      <c r="Y3026" s="1"/>
      <c r="Z3026" s="1"/>
      <c r="AA3026" s="1"/>
      <c r="AB3026" s="1"/>
      <c r="AC3026" s="1"/>
      <c r="AD3026" s="1"/>
      <c r="AE3026" s="1"/>
      <c r="AF3026" s="1"/>
      <c r="AG3026" s="1"/>
      <c r="AH3026" s="1"/>
      <c r="AI3026" s="1"/>
      <c r="AJ3026" s="1"/>
      <c r="AK3026" s="1"/>
      <c r="AL3026" s="1"/>
      <c r="AM3026" s="1"/>
      <c r="AN3026" s="1"/>
      <c r="AO3026" s="1"/>
      <c r="AP3026" s="1"/>
      <c r="AQ3026" s="1"/>
      <c r="AR3026" s="1"/>
      <c r="AS3026" s="1"/>
      <c r="AT3026" s="1"/>
      <c r="AU3026" s="1"/>
      <c r="AV3026" s="1"/>
      <c r="AW3026" s="1"/>
      <c r="AX3026" s="1"/>
      <c r="AY3026" s="1"/>
      <c r="AZ3026" s="1"/>
      <c r="BA3026" s="1"/>
      <c r="BB3026" s="1"/>
      <c r="BC3026" s="1"/>
      <c r="BD3026" s="1"/>
      <c r="BE3026" s="1"/>
      <c r="BF3026" s="1"/>
      <c r="BG3026" s="1"/>
      <c r="BH3026" s="1"/>
      <c r="BI3026" s="1"/>
      <c r="BJ3026" s="1"/>
      <c r="BK3026" s="1"/>
      <c r="BL3026" s="1"/>
      <c r="BM3026" s="1"/>
      <c r="BN3026" s="1"/>
      <c r="BO3026" s="1"/>
      <c r="BP3026" s="1"/>
      <c r="BQ3026" s="1"/>
      <c r="BR3026" s="1"/>
      <c r="BS3026" s="1"/>
      <c r="BT3026" s="1"/>
      <c r="BU3026" s="1"/>
      <c r="BV3026" s="1"/>
      <c r="BW3026" s="1"/>
      <c r="BX3026" s="1"/>
      <c r="BY3026" s="1"/>
      <c r="BZ3026" s="1"/>
      <c r="CA3026" s="1"/>
      <c r="CB3026" s="1"/>
      <c r="CC3026" s="1"/>
      <c r="CD3026" s="1"/>
      <c r="CE3026" s="1"/>
      <c r="CF3026" s="1"/>
      <c r="CG3026" s="1"/>
      <c r="CH3026" s="1"/>
      <c r="CI3026" s="1"/>
      <c r="CJ3026" s="1"/>
      <c r="CK3026" s="1"/>
      <c r="CL3026" s="1"/>
      <c r="CM3026" s="1"/>
      <c r="CN3026" s="1"/>
      <c r="CO3026" s="1"/>
      <c r="CP3026" s="1"/>
      <c r="CQ3026" s="1"/>
      <c r="CR3026" s="1"/>
      <c r="CS3026" s="1"/>
      <c r="CT3026" s="1"/>
      <c r="CU3026" s="1"/>
      <c r="CV3026" s="1"/>
      <c r="CW3026" s="1"/>
      <c r="CX3026" s="1"/>
      <c r="CY3026" s="1"/>
      <c r="CZ3026" s="1"/>
      <c r="DA3026" s="1"/>
      <c r="DB3026" s="1"/>
      <c r="DC3026" s="1"/>
      <c r="DD3026" s="1"/>
      <c r="DE3026" s="1"/>
      <c r="DF3026" s="1"/>
      <c r="DG3026" s="1"/>
      <c r="DH3026" s="1"/>
      <c r="DI3026" s="1"/>
      <c r="DJ3026" s="1"/>
      <c r="DK3026" s="1"/>
      <c r="DL3026" s="1"/>
      <c r="DM3026" s="1"/>
      <c r="DN3026" s="1"/>
      <c r="DO3026" s="1"/>
      <c r="DP3026" s="1"/>
      <c r="DQ3026" s="1"/>
      <c r="DR3026" s="1"/>
      <c r="DS3026" s="1"/>
      <c r="DT3026" s="1"/>
      <c r="DU3026" s="1"/>
      <c r="DV3026" s="1"/>
      <c r="DW3026" s="1"/>
      <c r="DX3026" s="1"/>
      <c r="DY3026" s="1"/>
      <c r="DZ3026" s="1"/>
      <c r="EA3026" s="1"/>
      <c r="EB3026" s="1"/>
      <c r="EC3026" s="1"/>
      <c r="ED3026" s="1"/>
      <c r="EE3026" s="1"/>
      <c r="EF3026" s="1"/>
      <c r="EG3026" s="1"/>
      <c r="EH3026" s="1"/>
      <c r="EI3026" s="1"/>
      <c r="EJ3026" s="1"/>
      <c r="EK3026" s="1"/>
      <c r="EL3026" s="1"/>
      <c r="EM3026" s="1"/>
      <c r="EN3026" s="1"/>
      <c r="EO3026" s="1"/>
      <c r="EP3026" s="1"/>
      <c r="EQ3026" s="1"/>
      <c r="ER3026" s="1"/>
      <c r="ES3026" s="1"/>
      <c r="ET3026" s="1"/>
      <c r="EU3026" s="1"/>
      <c r="EV3026" s="1"/>
      <c r="EW3026" s="1"/>
      <c r="EX3026" s="1"/>
      <c r="EY3026" s="1"/>
      <c r="EZ3026" s="1"/>
      <c r="FA3026" s="1"/>
      <c r="FB3026" s="1"/>
      <c r="FC3026" s="1"/>
      <c r="FD3026" s="1"/>
      <c r="FE3026" s="1"/>
      <c r="FF3026" s="1"/>
      <c r="FG3026" s="1"/>
      <c r="FH3026" s="1"/>
      <c r="FI3026" s="1"/>
      <c r="FJ3026" s="1"/>
      <c r="FK3026" s="1"/>
      <c r="FL3026" s="1"/>
      <c r="FM3026" s="1"/>
      <c r="FN3026" s="1"/>
      <c r="FO3026" s="1"/>
      <c r="FP3026" s="1"/>
      <c r="FQ3026" s="1"/>
      <c r="FR3026" s="1"/>
      <c r="FS3026" s="1"/>
      <c r="FT3026" s="1"/>
      <c r="FU3026" s="1"/>
      <c r="FV3026" s="1"/>
      <c r="FW3026" s="1"/>
      <c r="FX3026" s="1"/>
      <c r="FY3026" s="1"/>
      <c r="FZ3026" s="1"/>
      <c r="GA3026" s="1"/>
      <c r="GB3026" s="1"/>
      <c r="GC3026" s="1"/>
      <c r="GD3026" s="1"/>
      <c r="GE3026" s="1"/>
      <c r="GF3026" s="1"/>
      <c r="GG3026" s="1"/>
      <c r="GH3026" s="1"/>
      <c r="GI3026" s="1"/>
      <c r="GJ3026" s="1"/>
      <c r="GK3026" s="1"/>
      <c r="GL3026" s="1"/>
      <c r="GM3026" s="1"/>
      <c r="GN3026" s="1"/>
      <c r="GO3026" s="1"/>
      <c r="GP3026" s="1"/>
      <c r="GQ3026" s="1"/>
      <c r="GR3026" s="1"/>
      <c r="GS3026" s="1"/>
      <c r="GT3026" s="1"/>
      <c r="GU3026" s="1"/>
      <c r="GV3026" s="1"/>
      <c r="GW3026" s="1"/>
      <c r="GX3026" s="1"/>
      <c r="GY3026" s="1"/>
      <c r="GZ3026" s="1"/>
      <c r="HA3026" s="1"/>
      <c r="HB3026" s="1"/>
      <c r="HC3026" s="1"/>
      <c r="HD3026" s="1"/>
      <c r="HE3026" s="1"/>
      <c r="HF3026" s="1"/>
      <c r="HG3026" s="1"/>
      <c r="HH3026" s="1"/>
      <c r="HI3026" s="1"/>
      <c r="HJ3026" s="1"/>
      <c r="HK3026" s="1"/>
      <c r="HL3026" s="1"/>
      <c r="HM3026" s="1"/>
      <c r="HN3026" s="1"/>
      <c r="HO3026" s="1"/>
      <c r="HP3026" s="1"/>
      <c r="HQ3026" s="1"/>
    </row>
    <row r="3027" spans="1:225" ht="15.75" customHeight="1" x14ac:dyDescent="0.35">
      <c r="A3027" s="256">
        <f>A3024+1</f>
        <v>4</v>
      </c>
      <c r="B3027" s="251">
        <v>5412</v>
      </c>
      <c r="C3027" s="259" t="s">
        <v>627</v>
      </c>
      <c r="D3027" s="262">
        <v>442</v>
      </c>
      <c r="E3027" s="262" t="s">
        <v>665</v>
      </c>
      <c r="F3027" s="265">
        <v>2</v>
      </c>
      <c r="G3027" s="256" t="s">
        <v>72</v>
      </c>
      <c r="H3027" s="159" t="s">
        <v>73</v>
      </c>
      <c r="I3027" s="158">
        <f>I3028+I3029</f>
        <v>3332238</v>
      </c>
      <c r="J3027" s="158">
        <f>J3028+J3029</f>
        <v>7539</v>
      </c>
      <c r="K3027" s="158">
        <f>K3028+K3029</f>
        <v>7539</v>
      </c>
      <c r="L3027" s="1"/>
      <c r="M3027" s="1"/>
      <c r="N3027" s="1"/>
      <c r="O3027" s="1"/>
      <c r="P3027" s="1"/>
      <c r="Q3027" s="1"/>
      <c r="R3027" s="1"/>
      <c r="S3027" s="1"/>
      <c r="T3027" s="1"/>
      <c r="U3027" s="1"/>
      <c r="V3027" s="1"/>
      <c r="W3027" s="1"/>
      <c r="X3027" s="1"/>
      <c r="Y3027" s="1"/>
      <c r="Z3027" s="1"/>
      <c r="AA3027" s="1"/>
      <c r="AB3027" s="1"/>
      <c r="AC3027" s="1"/>
      <c r="AD3027" s="1"/>
      <c r="AE3027" s="1"/>
      <c r="AF3027" s="1"/>
      <c r="AG3027" s="1"/>
      <c r="AH3027" s="1"/>
      <c r="AI3027" s="1"/>
      <c r="AJ3027" s="1"/>
      <c r="AK3027" s="1"/>
      <c r="AL3027" s="1"/>
      <c r="AM3027" s="1"/>
      <c r="AN3027" s="1"/>
      <c r="AO3027" s="1"/>
      <c r="AP3027" s="1"/>
      <c r="AQ3027" s="1"/>
      <c r="AR3027" s="1"/>
      <c r="AS3027" s="1"/>
      <c r="AT3027" s="1"/>
      <c r="AU3027" s="1"/>
      <c r="AV3027" s="1"/>
      <c r="AW3027" s="1"/>
      <c r="AX3027" s="1"/>
      <c r="AY3027" s="1"/>
      <c r="AZ3027" s="1"/>
      <c r="BA3027" s="1"/>
      <c r="BB3027" s="1"/>
      <c r="BC3027" s="1"/>
      <c r="BD3027" s="1"/>
      <c r="BE3027" s="1"/>
      <c r="BF3027" s="1"/>
      <c r="BG3027" s="1"/>
      <c r="BH3027" s="1"/>
      <c r="BI3027" s="1"/>
      <c r="BJ3027" s="1"/>
      <c r="BK3027" s="1"/>
      <c r="BL3027" s="1"/>
      <c r="BM3027" s="1"/>
      <c r="BN3027" s="1"/>
      <c r="BO3027" s="1"/>
      <c r="BP3027" s="1"/>
      <c r="BQ3027" s="1"/>
      <c r="BR3027" s="1"/>
      <c r="BS3027" s="1"/>
      <c r="BT3027" s="1"/>
      <c r="BU3027" s="1"/>
      <c r="BV3027" s="1"/>
      <c r="BW3027" s="1"/>
      <c r="BX3027" s="1"/>
      <c r="BY3027" s="1"/>
      <c r="BZ3027" s="1"/>
      <c r="CA3027" s="1"/>
      <c r="CB3027" s="1"/>
      <c r="CC3027" s="1"/>
      <c r="CD3027" s="1"/>
      <c r="CE3027" s="1"/>
      <c r="CF3027" s="1"/>
      <c r="CG3027" s="1"/>
      <c r="CH3027" s="1"/>
      <c r="CI3027" s="1"/>
      <c r="CJ3027" s="1"/>
      <c r="CK3027" s="1"/>
      <c r="CL3027" s="1"/>
      <c r="CM3027" s="1"/>
      <c r="CN3027" s="1"/>
      <c r="CO3027" s="1"/>
      <c r="CP3027" s="1"/>
      <c r="CQ3027" s="1"/>
      <c r="CR3027" s="1"/>
      <c r="CS3027" s="1"/>
      <c r="CT3027" s="1"/>
      <c r="CU3027" s="1"/>
      <c r="CV3027" s="1"/>
      <c r="CW3027" s="1"/>
      <c r="CX3027" s="1"/>
      <c r="CY3027" s="1"/>
      <c r="CZ3027" s="1"/>
      <c r="DA3027" s="1"/>
      <c r="DB3027" s="1"/>
      <c r="DC3027" s="1"/>
      <c r="DD3027" s="1"/>
      <c r="DE3027" s="1"/>
      <c r="DF3027" s="1"/>
      <c r="DG3027" s="1"/>
      <c r="DH3027" s="1"/>
      <c r="DI3027" s="1"/>
      <c r="DJ3027" s="1"/>
      <c r="DK3027" s="1"/>
      <c r="DL3027" s="1"/>
      <c r="DM3027" s="1"/>
      <c r="DN3027" s="1"/>
      <c r="DO3027" s="1"/>
      <c r="DP3027" s="1"/>
      <c r="DQ3027" s="1"/>
      <c r="DR3027" s="1"/>
      <c r="DS3027" s="1"/>
      <c r="DT3027" s="1"/>
      <c r="DU3027" s="1"/>
      <c r="DV3027" s="1"/>
      <c r="DW3027" s="1"/>
      <c r="DX3027" s="1"/>
      <c r="DY3027" s="1"/>
      <c r="DZ3027" s="1"/>
      <c r="EA3027" s="1"/>
      <c r="EB3027" s="1"/>
      <c r="EC3027" s="1"/>
      <c r="ED3027" s="1"/>
      <c r="EE3027" s="1"/>
      <c r="EF3027" s="1"/>
      <c r="EG3027" s="1"/>
      <c r="EH3027" s="1"/>
      <c r="EI3027" s="1"/>
      <c r="EJ3027" s="1"/>
      <c r="EK3027" s="1"/>
      <c r="EL3027" s="1"/>
      <c r="EM3027" s="1"/>
      <c r="EN3027" s="1"/>
      <c r="EO3027" s="1"/>
      <c r="EP3027" s="1"/>
      <c r="EQ3027" s="1"/>
      <c r="ER3027" s="1"/>
      <c r="ES3027" s="1"/>
      <c r="ET3027" s="1"/>
      <c r="EU3027" s="1"/>
      <c r="EV3027" s="1"/>
      <c r="EW3027" s="1"/>
      <c r="EX3027" s="1"/>
      <c r="EY3027" s="1"/>
      <c r="EZ3027" s="1"/>
      <c r="FA3027" s="1"/>
      <c r="FB3027" s="1"/>
      <c r="FC3027" s="1"/>
      <c r="FD3027" s="1"/>
      <c r="FE3027" s="1"/>
      <c r="FF3027" s="1"/>
      <c r="FG3027" s="1"/>
      <c r="FH3027" s="1"/>
      <c r="FI3027" s="1"/>
      <c r="FJ3027" s="1"/>
      <c r="FK3027" s="1"/>
      <c r="FL3027" s="1"/>
      <c r="FM3027" s="1"/>
      <c r="FN3027" s="1"/>
      <c r="FO3027" s="1"/>
      <c r="FP3027" s="1"/>
      <c r="FQ3027" s="1"/>
      <c r="FR3027" s="1"/>
      <c r="FS3027" s="1"/>
      <c r="FT3027" s="1"/>
      <c r="FU3027" s="1"/>
      <c r="FV3027" s="1"/>
      <c r="FW3027" s="1"/>
      <c r="FX3027" s="1"/>
      <c r="FY3027" s="1"/>
      <c r="FZ3027" s="1"/>
      <c r="GA3027" s="1"/>
      <c r="GB3027" s="1"/>
      <c r="GC3027" s="1"/>
      <c r="GD3027" s="1"/>
      <c r="GE3027" s="1"/>
      <c r="GF3027" s="1"/>
      <c r="GG3027" s="1"/>
      <c r="GH3027" s="1"/>
      <c r="GI3027" s="1"/>
      <c r="GJ3027" s="1"/>
      <c r="GK3027" s="1"/>
      <c r="GL3027" s="1"/>
      <c r="GM3027" s="1"/>
      <c r="GN3027" s="1"/>
      <c r="GO3027" s="1"/>
      <c r="GP3027" s="1"/>
      <c r="GQ3027" s="1"/>
      <c r="GR3027" s="1"/>
      <c r="GS3027" s="1"/>
      <c r="GT3027" s="1"/>
      <c r="GU3027" s="1"/>
      <c r="GV3027" s="1"/>
      <c r="GW3027" s="1"/>
      <c r="GX3027" s="1"/>
      <c r="GY3027" s="1"/>
      <c r="GZ3027" s="1"/>
      <c r="HA3027" s="1"/>
      <c r="HB3027" s="1"/>
      <c r="HC3027" s="1"/>
      <c r="HD3027" s="1"/>
      <c r="HE3027" s="1"/>
      <c r="HF3027" s="1"/>
      <c r="HG3027" s="1"/>
      <c r="HH3027" s="1"/>
      <c r="HI3027" s="1"/>
      <c r="HJ3027" s="1"/>
      <c r="HK3027" s="1"/>
      <c r="HL3027" s="1"/>
      <c r="HM3027" s="1"/>
      <c r="HN3027" s="1"/>
      <c r="HO3027" s="1"/>
      <c r="HP3027" s="1"/>
      <c r="HQ3027" s="1"/>
    </row>
    <row r="3028" spans="1:225" x14ac:dyDescent="0.35">
      <c r="A3028" s="257"/>
      <c r="B3028" s="251"/>
      <c r="C3028" s="260"/>
      <c r="D3028" s="263"/>
      <c r="E3028" s="263"/>
      <c r="F3028" s="266"/>
      <c r="G3028" s="257"/>
      <c r="H3028" s="159" t="s">
        <v>74</v>
      </c>
      <c r="I3028" s="158">
        <f>K3028*D3027</f>
        <v>3262402</v>
      </c>
      <c r="J3028" s="158">
        <f>I3028/D3027</f>
        <v>7381</v>
      </c>
      <c r="K3028" s="158">
        <v>7381</v>
      </c>
      <c r="L3028" s="1"/>
      <c r="M3028" s="1"/>
      <c r="N3028" s="1"/>
      <c r="O3028" s="1"/>
      <c r="P3028" s="1"/>
      <c r="Q3028" s="1"/>
      <c r="R3028" s="1"/>
      <c r="S3028" s="1"/>
      <c r="T3028" s="1"/>
      <c r="U3028" s="1"/>
      <c r="V3028" s="1"/>
      <c r="W3028" s="1"/>
      <c r="X3028" s="1"/>
      <c r="Y3028" s="1"/>
      <c r="Z3028" s="1"/>
      <c r="AA3028" s="1"/>
      <c r="AB3028" s="1"/>
      <c r="AC3028" s="1"/>
      <c r="AD3028" s="1"/>
      <c r="AE3028" s="1"/>
      <c r="AF3028" s="1"/>
      <c r="AG3028" s="1"/>
      <c r="AH3028" s="1"/>
      <c r="AI3028" s="1"/>
      <c r="AJ3028" s="1"/>
      <c r="AK3028" s="1"/>
      <c r="AL3028" s="1"/>
      <c r="AM3028" s="1"/>
      <c r="AN3028" s="1"/>
      <c r="AO3028" s="1"/>
      <c r="AP3028" s="1"/>
      <c r="AQ3028" s="1"/>
      <c r="AR3028" s="1"/>
      <c r="AS3028" s="1"/>
      <c r="AT3028" s="1"/>
      <c r="AU3028" s="1"/>
      <c r="AV3028" s="1"/>
      <c r="AW3028" s="1"/>
      <c r="AX3028" s="1"/>
      <c r="AY3028" s="1"/>
      <c r="AZ3028" s="1"/>
      <c r="BA3028" s="1"/>
      <c r="BB3028" s="1"/>
      <c r="BC3028" s="1"/>
      <c r="BD3028" s="1"/>
      <c r="BE3028" s="1"/>
      <c r="BF3028" s="1"/>
      <c r="BG3028" s="1"/>
      <c r="BH3028" s="1"/>
      <c r="BI3028" s="1"/>
      <c r="BJ3028" s="1"/>
      <c r="BK3028" s="1"/>
      <c r="BL3028" s="1"/>
      <c r="BM3028" s="1"/>
      <c r="BN3028" s="1"/>
      <c r="BO3028" s="1"/>
      <c r="BP3028" s="1"/>
      <c r="BQ3028" s="1"/>
      <c r="BR3028" s="1"/>
      <c r="BS3028" s="1"/>
      <c r="BT3028" s="1"/>
      <c r="BU3028" s="1"/>
      <c r="BV3028" s="1"/>
      <c r="BW3028" s="1"/>
      <c r="BX3028" s="1"/>
      <c r="BY3028" s="1"/>
      <c r="BZ3028" s="1"/>
      <c r="CA3028" s="1"/>
      <c r="CB3028" s="1"/>
      <c r="CC3028" s="1"/>
      <c r="CD3028" s="1"/>
      <c r="CE3028" s="1"/>
      <c r="CF3028" s="1"/>
      <c r="CG3028" s="1"/>
      <c r="CH3028" s="1"/>
      <c r="CI3028" s="1"/>
      <c r="CJ3028" s="1"/>
      <c r="CK3028" s="1"/>
      <c r="CL3028" s="1"/>
      <c r="CM3028" s="1"/>
      <c r="CN3028" s="1"/>
      <c r="CO3028" s="1"/>
      <c r="CP3028" s="1"/>
      <c r="CQ3028" s="1"/>
      <c r="CR3028" s="1"/>
      <c r="CS3028" s="1"/>
      <c r="CT3028" s="1"/>
      <c r="CU3028" s="1"/>
      <c r="CV3028" s="1"/>
      <c r="CW3028" s="1"/>
      <c r="CX3028" s="1"/>
      <c r="CY3028" s="1"/>
      <c r="CZ3028" s="1"/>
      <c r="DA3028" s="1"/>
      <c r="DB3028" s="1"/>
      <c r="DC3028" s="1"/>
      <c r="DD3028" s="1"/>
      <c r="DE3028" s="1"/>
      <c r="DF3028" s="1"/>
      <c r="DG3028" s="1"/>
      <c r="DH3028" s="1"/>
      <c r="DI3028" s="1"/>
      <c r="DJ3028" s="1"/>
      <c r="DK3028" s="1"/>
      <c r="DL3028" s="1"/>
      <c r="DM3028" s="1"/>
      <c r="DN3028" s="1"/>
      <c r="DO3028" s="1"/>
      <c r="DP3028" s="1"/>
      <c r="DQ3028" s="1"/>
      <c r="DR3028" s="1"/>
      <c r="DS3028" s="1"/>
      <c r="DT3028" s="1"/>
      <c r="DU3028" s="1"/>
      <c r="DV3028" s="1"/>
      <c r="DW3028" s="1"/>
      <c r="DX3028" s="1"/>
      <c r="DY3028" s="1"/>
      <c r="DZ3028" s="1"/>
      <c r="EA3028" s="1"/>
      <c r="EB3028" s="1"/>
      <c r="EC3028" s="1"/>
      <c r="ED3028" s="1"/>
      <c r="EE3028" s="1"/>
      <c r="EF3028" s="1"/>
      <c r="EG3028" s="1"/>
      <c r="EH3028" s="1"/>
      <c r="EI3028" s="1"/>
      <c r="EJ3028" s="1"/>
      <c r="EK3028" s="1"/>
      <c r="EL3028" s="1"/>
      <c r="EM3028" s="1"/>
      <c r="EN3028" s="1"/>
      <c r="EO3028" s="1"/>
      <c r="EP3028" s="1"/>
      <c r="EQ3028" s="1"/>
      <c r="ER3028" s="1"/>
      <c r="ES3028" s="1"/>
      <c r="ET3028" s="1"/>
      <c r="EU3028" s="1"/>
      <c r="EV3028" s="1"/>
      <c r="EW3028" s="1"/>
      <c r="EX3028" s="1"/>
      <c r="EY3028" s="1"/>
      <c r="EZ3028" s="1"/>
      <c r="FA3028" s="1"/>
      <c r="FB3028" s="1"/>
      <c r="FC3028" s="1"/>
      <c r="FD3028" s="1"/>
      <c r="FE3028" s="1"/>
      <c r="FF3028" s="1"/>
      <c r="FG3028" s="1"/>
      <c r="FH3028" s="1"/>
      <c r="FI3028" s="1"/>
      <c r="FJ3028" s="1"/>
      <c r="FK3028" s="1"/>
      <c r="FL3028" s="1"/>
      <c r="FM3028" s="1"/>
      <c r="FN3028" s="1"/>
      <c r="FO3028" s="1"/>
      <c r="FP3028" s="1"/>
      <c r="FQ3028" s="1"/>
      <c r="FR3028" s="1"/>
      <c r="FS3028" s="1"/>
      <c r="FT3028" s="1"/>
      <c r="FU3028" s="1"/>
      <c r="FV3028" s="1"/>
      <c r="FW3028" s="1"/>
      <c r="FX3028" s="1"/>
      <c r="FY3028" s="1"/>
      <c r="FZ3028" s="1"/>
      <c r="GA3028" s="1"/>
      <c r="GB3028" s="1"/>
      <c r="GC3028" s="1"/>
      <c r="GD3028" s="1"/>
      <c r="GE3028" s="1"/>
      <c r="GF3028" s="1"/>
      <c r="GG3028" s="1"/>
      <c r="GH3028" s="1"/>
      <c r="GI3028" s="1"/>
      <c r="GJ3028" s="1"/>
      <c r="GK3028" s="1"/>
      <c r="GL3028" s="1"/>
      <c r="GM3028" s="1"/>
      <c r="GN3028" s="1"/>
      <c r="GO3028" s="1"/>
      <c r="GP3028" s="1"/>
      <c r="GQ3028" s="1"/>
      <c r="GR3028" s="1"/>
      <c r="GS3028" s="1"/>
      <c r="GT3028" s="1"/>
      <c r="GU3028" s="1"/>
      <c r="GV3028" s="1"/>
      <c r="GW3028" s="1"/>
      <c r="GX3028" s="1"/>
      <c r="GY3028" s="1"/>
      <c r="GZ3028" s="1"/>
      <c r="HA3028" s="1"/>
      <c r="HB3028" s="1"/>
      <c r="HC3028" s="1"/>
      <c r="HD3028" s="1"/>
      <c r="HE3028" s="1"/>
      <c r="HF3028" s="1"/>
      <c r="HG3028" s="1"/>
      <c r="HH3028" s="1"/>
      <c r="HI3028" s="1"/>
      <c r="HJ3028" s="1"/>
      <c r="HK3028" s="1"/>
      <c r="HL3028" s="1"/>
      <c r="HM3028" s="1"/>
      <c r="HN3028" s="1"/>
      <c r="HO3028" s="1"/>
      <c r="HP3028" s="1"/>
      <c r="HQ3028" s="1"/>
    </row>
    <row r="3029" spans="1:225" x14ac:dyDescent="0.35">
      <c r="A3029" s="258"/>
      <c r="B3029" s="251"/>
      <c r="C3029" s="261"/>
      <c r="D3029" s="264"/>
      <c r="E3029" s="264"/>
      <c r="F3029" s="267"/>
      <c r="G3029" s="258"/>
      <c r="H3029" s="159" t="s">
        <v>76</v>
      </c>
      <c r="I3029" s="158">
        <f>K3029*D3027</f>
        <v>69836</v>
      </c>
      <c r="J3029" s="158">
        <f>I3029/D3027</f>
        <v>158</v>
      </c>
      <c r="K3029" s="158">
        <v>158</v>
      </c>
      <c r="L3029" s="1"/>
      <c r="M3029" s="1"/>
      <c r="N3029" s="1"/>
      <c r="O3029" s="1"/>
      <c r="P3029" s="1"/>
      <c r="Q3029" s="1"/>
      <c r="R3029" s="1"/>
      <c r="S3029" s="1"/>
      <c r="T3029" s="1"/>
      <c r="U3029" s="1"/>
      <c r="V3029" s="1"/>
      <c r="W3029" s="1"/>
      <c r="X3029" s="1"/>
      <c r="Y3029" s="1"/>
      <c r="Z3029" s="1"/>
      <c r="AA3029" s="1"/>
      <c r="AB3029" s="1"/>
      <c r="AC3029" s="1"/>
      <c r="AD3029" s="1"/>
      <c r="AE3029" s="1"/>
      <c r="AF3029" s="1"/>
      <c r="AG3029" s="1"/>
      <c r="AH3029" s="1"/>
      <c r="AI3029" s="1"/>
      <c r="AJ3029" s="1"/>
      <c r="AK3029" s="1"/>
      <c r="AL3029" s="1"/>
      <c r="AM3029" s="1"/>
      <c r="AN3029" s="1"/>
      <c r="AO3029" s="1"/>
      <c r="AP3029" s="1"/>
      <c r="AQ3029" s="1"/>
      <c r="AR3029" s="1"/>
      <c r="AS3029" s="1"/>
      <c r="AT3029" s="1"/>
      <c r="AU3029" s="1"/>
      <c r="AV3029" s="1"/>
      <c r="AW3029" s="1"/>
      <c r="AX3029" s="1"/>
      <c r="AY3029" s="1"/>
      <c r="AZ3029" s="1"/>
      <c r="BA3029" s="1"/>
      <c r="BB3029" s="1"/>
      <c r="BC3029" s="1"/>
      <c r="BD3029" s="1"/>
      <c r="BE3029" s="1"/>
      <c r="BF3029" s="1"/>
      <c r="BG3029" s="1"/>
      <c r="BH3029" s="1"/>
      <c r="BI3029" s="1"/>
      <c r="BJ3029" s="1"/>
      <c r="BK3029" s="1"/>
      <c r="BL3029" s="1"/>
      <c r="BM3029" s="1"/>
      <c r="BN3029" s="1"/>
      <c r="BO3029" s="1"/>
      <c r="BP3029" s="1"/>
      <c r="BQ3029" s="1"/>
      <c r="BR3029" s="1"/>
      <c r="BS3029" s="1"/>
      <c r="BT3029" s="1"/>
      <c r="BU3029" s="1"/>
      <c r="BV3029" s="1"/>
      <c r="BW3029" s="1"/>
      <c r="BX3029" s="1"/>
      <c r="BY3029" s="1"/>
      <c r="BZ3029" s="1"/>
      <c r="CA3029" s="1"/>
      <c r="CB3029" s="1"/>
      <c r="CC3029" s="1"/>
      <c r="CD3029" s="1"/>
      <c r="CE3029" s="1"/>
      <c r="CF3029" s="1"/>
      <c r="CG3029" s="1"/>
      <c r="CH3029" s="1"/>
      <c r="CI3029" s="1"/>
      <c r="CJ3029" s="1"/>
      <c r="CK3029" s="1"/>
      <c r="CL3029" s="1"/>
      <c r="CM3029" s="1"/>
      <c r="CN3029" s="1"/>
      <c r="CO3029" s="1"/>
      <c r="CP3029" s="1"/>
      <c r="CQ3029" s="1"/>
      <c r="CR3029" s="1"/>
      <c r="CS3029" s="1"/>
      <c r="CT3029" s="1"/>
      <c r="CU3029" s="1"/>
      <c r="CV3029" s="1"/>
      <c r="CW3029" s="1"/>
      <c r="CX3029" s="1"/>
      <c r="CY3029" s="1"/>
      <c r="CZ3029" s="1"/>
      <c r="DA3029" s="1"/>
      <c r="DB3029" s="1"/>
      <c r="DC3029" s="1"/>
      <c r="DD3029" s="1"/>
      <c r="DE3029" s="1"/>
      <c r="DF3029" s="1"/>
      <c r="DG3029" s="1"/>
      <c r="DH3029" s="1"/>
      <c r="DI3029" s="1"/>
      <c r="DJ3029" s="1"/>
      <c r="DK3029" s="1"/>
      <c r="DL3029" s="1"/>
      <c r="DM3029" s="1"/>
      <c r="DN3029" s="1"/>
      <c r="DO3029" s="1"/>
      <c r="DP3029" s="1"/>
      <c r="DQ3029" s="1"/>
      <c r="DR3029" s="1"/>
      <c r="DS3029" s="1"/>
      <c r="DT3029" s="1"/>
      <c r="DU3029" s="1"/>
      <c r="DV3029" s="1"/>
      <c r="DW3029" s="1"/>
      <c r="DX3029" s="1"/>
      <c r="DY3029" s="1"/>
      <c r="DZ3029" s="1"/>
      <c r="EA3029" s="1"/>
      <c r="EB3029" s="1"/>
      <c r="EC3029" s="1"/>
      <c r="ED3029" s="1"/>
      <c r="EE3029" s="1"/>
      <c r="EF3029" s="1"/>
      <c r="EG3029" s="1"/>
      <c r="EH3029" s="1"/>
      <c r="EI3029" s="1"/>
      <c r="EJ3029" s="1"/>
      <c r="EK3029" s="1"/>
      <c r="EL3029" s="1"/>
      <c r="EM3029" s="1"/>
      <c r="EN3029" s="1"/>
      <c r="EO3029" s="1"/>
      <c r="EP3029" s="1"/>
      <c r="EQ3029" s="1"/>
      <c r="ER3029" s="1"/>
      <c r="ES3029" s="1"/>
      <c r="ET3029" s="1"/>
      <c r="EU3029" s="1"/>
      <c r="EV3029" s="1"/>
      <c r="EW3029" s="1"/>
      <c r="EX3029" s="1"/>
      <c r="EY3029" s="1"/>
      <c r="EZ3029" s="1"/>
      <c r="FA3029" s="1"/>
      <c r="FB3029" s="1"/>
      <c r="FC3029" s="1"/>
      <c r="FD3029" s="1"/>
      <c r="FE3029" s="1"/>
      <c r="FF3029" s="1"/>
      <c r="FG3029" s="1"/>
      <c r="FH3029" s="1"/>
      <c r="FI3029" s="1"/>
      <c r="FJ3029" s="1"/>
      <c r="FK3029" s="1"/>
      <c r="FL3029" s="1"/>
      <c r="FM3029" s="1"/>
      <c r="FN3029" s="1"/>
      <c r="FO3029" s="1"/>
      <c r="FP3029" s="1"/>
      <c r="FQ3029" s="1"/>
      <c r="FR3029" s="1"/>
      <c r="FS3029" s="1"/>
      <c r="FT3029" s="1"/>
      <c r="FU3029" s="1"/>
      <c r="FV3029" s="1"/>
      <c r="FW3029" s="1"/>
      <c r="FX3029" s="1"/>
      <c r="FY3029" s="1"/>
      <c r="FZ3029" s="1"/>
      <c r="GA3029" s="1"/>
      <c r="GB3029" s="1"/>
      <c r="GC3029" s="1"/>
      <c r="GD3029" s="1"/>
      <c r="GE3029" s="1"/>
      <c r="GF3029" s="1"/>
      <c r="GG3029" s="1"/>
      <c r="GH3029" s="1"/>
      <c r="GI3029" s="1"/>
      <c r="GJ3029" s="1"/>
      <c r="GK3029" s="1"/>
      <c r="GL3029" s="1"/>
      <c r="GM3029" s="1"/>
      <c r="GN3029" s="1"/>
      <c r="GO3029" s="1"/>
      <c r="GP3029" s="1"/>
      <c r="GQ3029" s="1"/>
      <c r="GR3029" s="1"/>
      <c r="GS3029" s="1"/>
      <c r="GT3029" s="1"/>
      <c r="GU3029" s="1"/>
      <c r="GV3029" s="1"/>
      <c r="GW3029" s="1"/>
      <c r="GX3029" s="1"/>
      <c r="GY3029" s="1"/>
      <c r="GZ3029" s="1"/>
      <c r="HA3029" s="1"/>
      <c r="HB3029" s="1"/>
      <c r="HC3029" s="1"/>
      <c r="HD3029" s="1"/>
      <c r="HE3029" s="1"/>
      <c r="HF3029" s="1"/>
      <c r="HG3029" s="1"/>
      <c r="HH3029" s="1"/>
      <c r="HI3029" s="1"/>
      <c r="HJ3029" s="1"/>
      <c r="HK3029" s="1"/>
      <c r="HL3029" s="1"/>
      <c r="HM3029" s="1"/>
      <c r="HN3029" s="1"/>
      <c r="HO3029" s="1"/>
      <c r="HP3029" s="1"/>
      <c r="HQ3029" s="1"/>
    </row>
    <row r="3030" spans="1:225" ht="15.75" customHeight="1" x14ac:dyDescent="0.35">
      <c r="A3030" s="256">
        <f>A3027+1</f>
        <v>5</v>
      </c>
      <c r="B3030" s="251">
        <v>5423</v>
      </c>
      <c r="C3030" s="259" t="s">
        <v>628</v>
      </c>
      <c r="D3030" s="262">
        <v>2954.3</v>
      </c>
      <c r="E3030" s="262" t="s">
        <v>75</v>
      </c>
      <c r="F3030" s="265">
        <v>5</v>
      </c>
      <c r="G3030" s="256" t="s">
        <v>72</v>
      </c>
      <c r="H3030" s="159" t="s">
        <v>73</v>
      </c>
      <c r="I3030" s="158">
        <f>I3031+I3032</f>
        <v>9060838.0999999996</v>
      </c>
      <c r="J3030" s="158">
        <f>J3031+J3032</f>
        <v>3067</v>
      </c>
      <c r="K3030" s="158">
        <f>K3031+K3032</f>
        <v>3067</v>
      </c>
      <c r="L3030" s="1"/>
      <c r="M3030" s="1"/>
      <c r="N3030" s="1"/>
      <c r="O3030" s="1"/>
      <c r="P3030" s="1"/>
      <c r="Q3030" s="1"/>
      <c r="R3030" s="1"/>
      <c r="S3030" s="1"/>
      <c r="T3030" s="1"/>
      <c r="U3030" s="1"/>
      <c r="V3030" s="1"/>
      <c r="W3030" s="1"/>
      <c r="X3030" s="1"/>
      <c r="Y3030" s="1"/>
      <c r="Z3030" s="1"/>
      <c r="AA3030" s="1"/>
      <c r="AB3030" s="1"/>
      <c r="AC3030" s="1"/>
      <c r="AD3030" s="1"/>
      <c r="AE3030" s="1"/>
      <c r="AF3030" s="1"/>
      <c r="AG3030" s="1"/>
      <c r="AH3030" s="1"/>
      <c r="AI3030" s="1"/>
      <c r="AJ3030" s="1"/>
      <c r="AK3030" s="1"/>
      <c r="AL3030" s="1"/>
      <c r="AM3030" s="1"/>
      <c r="AN3030" s="1"/>
      <c r="AO3030" s="1"/>
      <c r="AP3030" s="1"/>
      <c r="AQ3030" s="1"/>
      <c r="AR3030" s="1"/>
      <c r="AS3030" s="1"/>
      <c r="AT3030" s="1"/>
      <c r="AU3030" s="1"/>
      <c r="AV3030" s="1"/>
      <c r="AW3030" s="1"/>
      <c r="AX3030" s="1"/>
      <c r="AY3030" s="1"/>
      <c r="AZ3030" s="1"/>
      <c r="BA3030" s="1"/>
      <c r="BB3030" s="1"/>
      <c r="BC3030" s="1"/>
      <c r="BD3030" s="1"/>
      <c r="BE3030" s="1"/>
      <c r="BF3030" s="1"/>
      <c r="BG3030" s="1"/>
      <c r="BH3030" s="1"/>
      <c r="BI3030" s="1"/>
      <c r="BJ3030" s="1"/>
      <c r="BK3030" s="1"/>
      <c r="BL3030" s="1"/>
      <c r="BM3030" s="1"/>
      <c r="BN3030" s="1"/>
      <c r="BO3030" s="1"/>
      <c r="BP3030" s="1"/>
      <c r="BQ3030" s="1"/>
      <c r="BR3030" s="1"/>
      <c r="BS3030" s="1"/>
      <c r="BT3030" s="1"/>
      <c r="BU3030" s="1"/>
      <c r="BV3030" s="1"/>
      <c r="BW3030" s="1"/>
      <c r="BX3030" s="1"/>
      <c r="BY3030" s="1"/>
      <c r="BZ3030" s="1"/>
      <c r="CA3030" s="1"/>
      <c r="CB3030" s="1"/>
      <c r="CC3030" s="1"/>
      <c r="CD3030" s="1"/>
      <c r="CE3030" s="1"/>
      <c r="CF3030" s="1"/>
      <c r="CG3030" s="1"/>
      <c r="CH3030" s="1"/>
      <c r="CI3030" s="1"/>
      <c r="CJ3030" s="1"/>
      <c r="CK3030" s="1"/>
      <c r="CL3030" s="1"/>
      <c r="CM3030" s="1"/>
      <c r="CN3030" s="1"/>
      <c r="CO3030" s="1"/>
      <c r="CP3030" s="1"/>
      <c r="CQ3030" s="1"/>
      <c r="CR3030" s="1"/>
      <c r="CS3030" s="1"/>
      <c r="CT3030" s="1"/>
      <c r="CU3030" s="1"/>
      <c r="CV3030" s="1"/>
      <c r="CW3030" s="1"/>
      <c r="CX3030" s="1"/>
      <c r="CY3030" s="1"/>
      <c r="CZ3030" s="1"/>
      <c r="DA3030" s="1"/>
      <c r="DB3030" s="1"/>
      <c r="DC3030" s="1"/>
      <c r="DD3030" s="1"/>
      <c r="DE3030" s="1"/>
      <c r="DF3030" s="1"/>
      <c r="DG3030" s="1"/>
      <c r="DH3030" s="1"/>
      <c r="DI3030" s="1"/>
      <c r="DJ3030" s="1"/>
      <c r="DK3030" s="1"/>
      <c r="DL3030" s="1"/>
      <c r="DM3030" s="1"/>
      <c r="DN3030" s="1"/>
      <c r="DO3030" s="1"/>
      <c r="DP3030" s="1"/>
      <c r="DQ3030" s="1"/>
      <c r="DR3030" s="1"/>
      <c r="DS3030" s="1"/>
      <c r="DT3030" s="1"/>
      <c r="DU3030" s="1"/>
      <c r="DV3030" s="1"/>
      <c r="DW3030" s="1"/>
      <c r="DX3030" s="1"/>
      <c r="DY3030" s="1"/>
      <c r="DZ3030" s="1"/>
      <c r="EA3030" s="1"/>
      <c r="EB3030" s="1"/>
      <c r="EC3030" s="1"/>
      <c r="ED3030" s="1"/>
      <c r="EE3030" s="1"/>
      <c r="EF3030" s="1"/>
      <c r="EG3030" s="1"/>
      <c r="EH3030" s="1"/>
      <c r="EI3030" s="1"/>
      <c r="EJ3030" s="1"/>
      <c r="EK3030" s="1"/>
      <c r="EL3030" s="1"/>
      <c r="EM3030" s="1"/>
      <c r="EN3030" s="1"/>
      <c r="EO3030" s="1"/>
      <c r="EP3030" s="1"/>
      <c r="EQ3030" s="1"/>
      <c r="ER3030" s="1"/>
      <c r="ES3030" s="1"/>
      <c r="ET3030" s="1"/>
      <c r="EU3030" s="1"/>
      <c r="EV3030" s="1"/>
      <c r="EW3030" s="1"/>
      <c r="EX3030" s="1"/>
      <c r="EY3030" s="1"/>
      <c r="EZ3030" s="1"/>
      <c r="FA3030" s="1"/>
      <c r="FB3030" s="1"/>
      <c r="FC3030" s="1"/>
      <c r="FD3030" s="1"/>
      <c r="FE3030" s="1"/>
      <c r="FF3030" s="1"/>
      <c r="FG3030" s="1"/>
      <c r="FH3030" s="1"/>
      <c r="FI3030" s="1"/>
      <c r="FJ3030" s="1"/>
      <c r="FK3030" s="1"/>
      <c r="FL3030" s="1"/>
      <c r="FM3030" s="1"/>
      <c r="FN3030" s="1"/>
      <c r="FO3030" s="1"/>
      <c r="FP3030" s="1"/>
      <c r="FQ3030" s="1"/>
      <c r="FR3030" s="1"/>
      <c r="FS3030" s="1"/>
      <c r="FT3030" s="1"/>
      <c r="FU3030" s="1"/>
      <c r="FV3030" s="1"/>
      <c r="FW3030" s="1"/>
      <c r="FX3030" s="1"/>
      <c r="FY3030" s="1"/>
      <c r="FZ3030" s="1"/>
      <c r="GA3030" s="1"/>
      <c r="GB3030" s="1"/>
      <c r="GC3030" s="1"/>
      <c r="GD3030" s="1"/>
      <c r="GE3030" s="1"/>
      <c r="GF3030" s="1"/>
      <c r="GG3030" s="1"/>
      <c r="GH3030" s="1"/>
      <c r="GI3030" s="1"/>
      <c r="GJ3030" s="1"/>
      <c r="GK3030" s="1"/>
      <c r="GL3030" s="1"/>
      <c r="GM3030" s="1"/>
      <c r="GN3030" s="1"/>
      <c r="GO3030" s="1"/>
      <c r="GP3030" s="1"/>
      <c r="GQ3030" s="1"/>
      <c r="GR3030" s="1"/>
      <c r="GS3030" s="1"/>
      <c r="GT3030" s="1"/>
      <c r="GU3030" s="1"/>
      <c r="GV3030" s="1"/>
      <c r="GW3030" s="1"/>
      <c r="GX3030" s="1"/>
      <c r="GY3030" s="1"/>
      <c r="GZ3030" s="1"/>
      <c r="HA3030" s="1"/>
      <c r="HB3030" s="1"/>
      <c r="HC3030" s="1"/>
      <c r="HD3030" s="1"/>
      <c r="HE3030" s="1"/>
      <c r="HF3030" s="1"/>
      <c r="HG3030" s="1"/>
      <c r="HH3030" s="1"/>
      <c r="HI3030" s="1"/>
      <c r="HJ3030" s="1"/>
      <c r="HK3030" s="1"/>
      <c r="HL3030" s="1"/>
      <c r="HM3030" s="1"/>
      <c r="HN3030" s="1"/>
      <c r="HO3030" s="1"/>
      <c r="HP3030" s="1"/>
      <c r="HQ3030" s="1"/>
    </row>
    <row r="3031" spans="1:225" x14ac:dyDescent="0.35">
      <c r="A3031" s="257"/>
      <c r="B3031" s="251"/>
      <c r="C3031" s="260"/>
      <c r="D3031" s="263"/>
      <c r="E3031" s="263"/>
      <c r="F3031" s="266"/>
      <c r="G3031" s="257"/>
      <c r="H3031" s="159" t="s">
        <v>74</v>
      </c>
      <c r="I3031" s="158">
        <f>K3031*D3030</f>
        <v>8871762.9000000004</v>
      </c>
      <c r="J3031" s="158">
        <f>I3031/D3030</f>
        <v>3003</v>
      </c>
      <c r="K3031" s="158">
        <v>3003</v>
      </c>
      <c r="L3031" s="1"/>
      <c r="M3031" s="1"/>
      <c r="N3031" s="1"/>
      <c r="O3031" s="1"/>
      <c r="P3031" s="1"/>
      <c r="Q3031" s="1"/>
      <c r="R3031" s="1"/>
      <c r="S3031" s="1"/>
      <c r="T3031" s="1"/>
      <c r="U3031" s="1"/>
      <c r="V3031" s="1"/>
      <c r="W3031" s="1"/>
      <c r="X3031" s="1"/>
      <c r="Y3031" s="1"/>
      <c r="Z3031" s="1"/>
      <c r="AA3031" s="1"/>
      <c r="AB3031" s="1"/>
      <c r="AC3031" s="1"/>
      <c r="AD3031" s="1"/>
      <c r="AE3031" s="1"/>
      <c r="AF3031" s="1"/>
      <c r="AG3031" s="1"/>
      <c r="AH3031" s="1"/>
      <c r="AI3031" s="1"/>
      <c r="AJ3031" s="1"/>
      <c r="AK3031" s="1"/>
      <c r="AL3031" s="1"/>
      <c r="AM3031" s="1"/>
      <c r="AN3031" s="1"/>
      <c r="AO3031" s="1"/>
      <c r="AP3031" s="1"/>
      <c r="AQ3031" s="1"/>
      <c r="AR3031" s="1"/>
      <c r="AS3031" s="1"/>
      <c r="AT3031" s="1"/>
      <c r="AU3031" s="1"/>
      <c r="AV3031" s="1"/>
      <c r="AW3031" s="1"/>
      <c r="AX3031" s="1"/>
      <c r="AY3031" s="1"/>
      <c r="AZ3031" s="1"/>
      <c r="BA3031" s="1"/>
      <c r="BB3031" s="1"/>
      <c r="BC3031" s="1"/>
      <c r="BD3031" s="1"/>
      <c r="BE3031" s="1"/>
      <c r="BF3031" s="1"/>
      <c r="BG3031" s="1"/>
      <c r="BH3031" s="1"/>
      <c r="BI3031" s="1"/>
      <c r="BJ3031" s="1"/>
      <c r="BK3031" s="1"/>
      <c r="BL3031" s="1"/>
      <c r="BM3031" s="1"/>
      <c r="BN3031" s="1"/>
      <c r="BO3031" s="1"/>
      <c r="BP3031" s="1"/>
      <c r="BQ3031" s="1"/>
      <c r="BR3031" s="1"/>
      <c r="BS3031" s="1"/>
      <c r="BT3031" s="1"/>
      <c r="BU3031" s="1"/>
      <c r="BV3031" s="1"/>
      <c r="BW3031" s="1"/>
      <c r="BX3031" s="1"/>
      <c r="BY3031" s="1"/>
      <c r="BZ3031" s="1"/>
      <c r="CA3031" s="1"/>
      <c r="CB3031" s="1"/>
      <c r="CC3031" s="1"/>
      <c r="CD3031" s="1"/>
      <c r="CE3031" s="1"/>
      <c r="CF3031" s="1"/>
      <c r="CG3031" s="1"/>
      <c r="CH3031" s="1"/>
      <c r="CI3031" s="1"/>
      <c r="CJ3031" s="1"/>
      <c r="CK3031" s="1"/>
      <c r="CL3031" s="1"/>
      <c r="CM3031" s="1"/>
      <c r="CN3031" s="1"/>
      <c r="CO3031" s="1"/>
      <c r="CP3031" s="1"/>
      <c r="CQ3031" s="1"/>
      <c r="CR3031" s="1"/>
      <c r="CS3031" s="1"/>
      <c r="CT3031" s="1"/>
      <c r="CU3031" s="1"/>
      <c r="CV3031" s="1"/>
      <c r="CW3031" s="1"/>
      <c r="CX3031" s="1"/>
      <c r="CY3031" s="1"/>
      <c r="CZ3031" s="1"/>
      <c r="DA3031" s="1"/>
      <c r="DB3031" s="1"/>
      <c r="DC3031" s="1"/>
      <c r="DD3031" s="1"/>
      <c r="DE3031" s="1"/>
      <c r="DF3031" s="1"/>
      <c r="DG3031" s="1"/>
      <c r="DH3031" s="1"/>
      <c r="DI3031" s="1"/>
      <c r="DJ3031" s="1"/>
      <c r="DK3031" s="1"/>
      <c r="DL3031" s="1"/>
      <c r="DM3031" s="1"/>
      <c r="DN3031" s="1"/>
      <c r="DO3031" s="1"/>
      <c r="DP3031" s="1"/>
      <c r="DQ3031" s="1"/>
      <c r="DR3031" s="1"/>
      <c r="DS3031" s="1"/>
      <c r="DT3031" s="1"/>
      <c r="DU3031" s="1"/>
      <c r="DV3031" s="1"/>
      <c r="DW3031" s="1"/>
      <c r="DX3031" s="1"/>
      <c r="DY3031" s="1"/>
      <c r="DZ3031" s="1"/>
      <c r="EA3031" s="1"/>
      <c r="EB3031" s="1"/>
      <c r="EC3031" s="1"/>
      <c r="ED3031" s="1"/>
      <c r="EE3031" s="1"/>
      <c r="EF3031" s="1"/>
      <c r="EG3031" s="1"/>
      <c r="EH3031" s="1"/>
      <c r="EI3031" s="1"/>
      <c r="EJ3031" s="1"/>
      <c r="EK3031" s="1"/>
      <c r="EL3031" s="1"/>
      <c r="EM3031" s="1"/>
      <c r="EN3031" s="1"/>
      <c r="EO3031" s="1"/>
      <c r="EP3031" s="1"/>
      <c r="EQ3031" s="1"/>
      <c r="ER3031" s="1"/>
      <c r="ES3031" s="1"/>
      <c r="ET3031" s="1"/>
      <c r="EU3031" s="1"/>
      <c r="EV3031" s="1"/>
      <c r="EW3031" s="1"/>
      <c r="EX3031" s="1"/>
      <c r="EY3031" s="1"/>
      <c r="EZ3031" s="1"/>
      <c r="FA3031" s="1"/>
      <c r="FB3031" s="1"/>
      <c r="FC3031" s="1"/>
      <c r="FD3031" s="1"/>
      <c r="FE3031" s="1"/>
      <c r="FF3031" s="1"/>
      <c r="FG3031" s="1"/>
      <c r="FH3031" s="1"/>
      <c r="FI3031" s="1"/>
      <c r="FJ3031" s="1"/>
      <c r="FK3031" s="1"/>
      <c r="FL3031" s="1"/>
      <c r="FM3031" s="1"/>
      <c r="FN3031" s="1"/>
      <c r="FO3031" s="1"/>
      <c r="FP3031" s="1"/>
      <c r="FQ3031" s="1"/>
      <c r="FR3031" s="1"/>
      <c r="FS3031" s="1"/>
      <c r="FT3031" s="1"/>
      <c r="FU3031" s="1"/>
      <c r="FV3031" s="1"/>
      <c r="FW3031" s="1"/>
      <c r="FX3031" s="1"/>
      <c r="FY3031" s="1"/>
      <c r="FZ3031" s="1"/>
      <c r="GA3031" s="1"/>
      <c r="GB3031" s="1"/>
      <c r="GC3031" s="1"/>
      <c r="GD3031" s="1"/>
      <c r="GE3031" s="1"/>
      <c r="GF3031" s="1"/>
      <c r="GG3031" s="1"/>
      <c r="GH3031" s="1"/>
      <c r="GI3031" s="1"/>
      <c r="GJ3031" s="1"/>
      <c r="GK3031" s="1"/>
      <c r="GL3031" s="1"/>
      <c r="GM3031" s="1"/>
      <c r="GN3031" s="1"/>
      <c r="GO3031" s="1"/>
      <c r="GP3031" s="1"/>
      <c r="GQ3031" s="1"/>
      <c r="GR3031" s="1"/>
      <c r="GS3031" s="1"/>
      <c r="GT3031" s="1"/>
      <c r="GU3031" s="1"/>
      <c r="GV3031" s="1"/>
      <c r="GW3031" s="1"/>
      <c r="GX3031" s="1"/>
      <c r="GY3031" s="1"/>
      <c r="GZ3031" s="1"/>
      <c r="HA3031" s="1"/>
      <c r="HB3031" s="1"/>
      <c r="HC3031" s="1"/>
      <c r="HD3031" s="1"/>
      <c r="HE3031" s="1"/>
      <c r="HF3031" s="1"/>
      <c r="HG3031" s="1"/>
      <c r="HH3031" s="1"/>
      <c r="HI3031" s="1"/>
      <c r="HJ3031" s="1"/>
      <c r="HK3031" s="1"/>
      <c r="HL3031" s="1"/>
      <c r="HM3031" s="1"/>
      <c r="HN3031" s="1"/>
      <c r="HO3031" s="1"/>
      <c r="HP3031" s="1"/>
      <c r="HQ3031" s="1"/>
    </row>
    <row r="3032" spans="1:225" x14ac:dyDescent="0.35">
      <c r="A3032" s="258"/>
      <c r="B3032" s="251"/>
      <c r="C3032" s="261"/>
      <c r="D3032" s="264"/>
      <c r="E3032" s="264"/>
      <c r="F3032" s="267"/>
      <c r="G3032" s="258"/>
      <c r="H3032" s="159" t="s">
        <v>76</v>
      </c>
      <c r="I3032" s="158">
        <f>K3032*D3030</f>
        <v>189075.20000000001</v>
      </c>
      <c r="J3032" s="158">
        <f>I3032/D3030</f>
        <v>64</v>
      </c>
      <c r="K3032" s="158">
        <v>64</v>
      </c>
      <c r="L3032" s="1"/>
      <c r="M3032" s="1"/>
      <c r="N3032" s="1"/>
      <c r="O3032" s="1"/>
      <c r="P3032" s="1"/>
      <c r="Q3032" s="1"/>
      <c r="R3032" s="1"/>
      <c r="S3032" s="1"/>
      <c r="T3032" s="1"/>
      <c r="U3032" s="1"/>
      <c r="V3032" s="1"/>
      <c r="W3032" s="1"/>
      <c r="X3032" s="1"/>
      <c r="Y3032" s="1"/>
      <c r="Z3032" s="1"/>
      <c r="AA3032" s="1"/>
      <c r="AB3032" s="1"/>
      <c r="AC3032" s="1"/>
      <c r="AD3032" s="1"/>
      <c r="AE3032" s="1"/>
      <c r="AF3032" s="1"/>
      <c r="AG3032" s="1"/>
      <c r="AH3032" s="1"/>
      <c r="AI3032" s="1"/>
      <c r="AJ3032" s="1"/>
      <c r="AK3032" s="1"/>
      <c r="AL3032" s="1"/>
      <c r="AM3032" s="1"/>
      <c r="AN3032" s="1"/>
      <c r="AO3032" s="1"/>
      <c r="AP3032" s="1"/>
      <c r="AQ3032" s="1"/>
      <c r="AR3032" s="1"/>
      <c r="AS3032" s="1"/>
      <c r="AT3032" s="1"/>
      <c r="AU3032" s="1"/>
      <c r="AV3032" s="1"/>
      <c r="AW3032" s="1"/>
      <c r="AX3032" s="1"/>
      <c r="AY3032" s="1"/>
      <c r="AZ3032" s="1"/>
      <c r="BA3032" s="1"/>
      <c r="BB3032" s="1"/>
      <c r="BC3032" s="1"/>
      <c r="BD3032" s="1"/>
      <c r="BE3032" s="1"/>
      <c r="BF3032" s="1"/>
      <c r="BG3032" s="1"/>
      <c r="BH3032" s="1"/>
      <c r="BI3032" s="1"/>
      <c r="BJ3032" s="1"/>
      <c r="BK3032" s="1"/>
      <c r="BL3032" s="1"/>
      <c r="BM3032" s="1"/>
      <c r="BN3032" s="1"/>
      <c r="BO3032" s="1"/>
      <c r="BP3032" s="1"/>
      <c r="BQ3032" s="1"/>
      <c r="BR3032" s="1"/>
      <c r="BS3032" s="1"/>
      <c r="BT3032" s="1"/>
      <c r="BU3032" s="1"/>
      <c r="BV3032" s="1"/>
      <c r="BW3032" s="1"/>
      <c r="BX3032" s="1"/>
      <c r="BY3032" s="1"/>
      <c r="BZ3032" s="1"/>
      <c r="CA3032" s="1"/>
      <c r="CB3032" s="1"/>
      <c r="CC3032" s="1"/>
      <c r="CD3032" s="1"/>
      <c r="CE3032" s="1"/>
      <c r="CF3032" s="1"/>
      <c r="CG3032" s="1"/>
      <c r="CH3032" s="1"/>
      <c r="CI3032" s="1"/>
      <c r="CJ3032" s="1"/>
      <c r="CK3032" s="1"/>
      <c r="CL3032" s="1"/>
      <c r="CM3032" s="1"/>
      <c r="CN3032" s="1"/>
      <c r="CO3032" s="1"/>
      <c r="CP3032" s="1"/>
      <c r="CQ3032" s="1"/>
      <c r="CR3032" s="1"/>
      <c r="CS3032" s="1"/>
      <c r="CT3032" s="1"/>
      <c r="CU3032" s="1"/>
      <c r="CV3032" s="1"/>
      <c r="CW3032" s="1"/>
      <c r="CX3032" s="1"/>
      <c r="CY3032" s="1"/>
      <c r="CZ3032" s="1"/>
      <c r="DA3032" s="1"/>
      <c r="DB3032" s="1"/>
      <c r="DC3032" s="1"/>
      <c r="DD3032" s="1"/>
      <c r="DE3032" s="1"/>
      <c r="DF3032" s="1"/>
      <c r="DG3032" s="1"/>
      <c r="DH3032" s="1"/>
      <c r="DI3032" s="1"/>
      <c r="DJ3032" s="1"/>
      <c r="DK3032" s="1"/>
      <c r="DL3032" s="1"/>
      <c r="DM3032" s="1"/>
      <c r="DN3032" s="1"/>
      <c r="DO3032" s="1"/>
      <c r="DP3032" s="1"/>
      <c r="DQ3032" s="1"/>
      <c r="DR3032" s="1"/>
      <c r="DS3032" s="1"/>
      <c r="DT3032" s="1"/>
      <c r="DU3032" s="1"/>
      <c r="DV3032" s="1"/>
      <c r="DW3032" s="1"/>
      <c r="DX3032" s="1"/>
      <c r="DY3032" s="1"/>
      <c r="DZ3032" s="1"/>
      <c r="EA3032" s="1"/>
      <c r="EB3032" s="1"/>
      <c r="EC3032" s="1"/>
      <c r="ED3032" s="1"/>
      <c r="EE3032" s="1"/>
      <c r="EF3032" s="1"/>
      <c r="EG3032" s="1"/>
      <c r="EH3032" s="1"/>
      <c r="EI3032" s="1"/>
      <c r="EJ3032" s="1"/>
      <c r="EK3032" s="1"/>
      <c r="EL3032" s="1"/>
      <c r="EM3032" s="1"/>
      <c r="EN3032" s="1"/>
      <c r="EO3032" s="1"/>
      <c r="EP3032" s="1"/>
      <c r="EQ3032" s="1"/>
      <c r="ER3032" s="1"/>
      <c r="ES3032" s="1"/>
      <c r="ET3032" s="1"/>
      <c r="EU3032" s="1"/>
      <c r="EV3032" s="1"/>
      <c r="EW3032" s="1"/>
      <c r="EX3032" s="1"/>
      <c r="EY3032" s="1"/>
      <c r="EZ3032" s="1"/>
      <c r="FA3032" s="1"/>
      <c r="FB3032" s="1"/>
      <c r="FC3032" s="1"/>
      <c r="FD3032" s="1"/>
      <c r="FE3032" s="1"/>
      <c r="FF3032" s="1"/>
      <c r="FG3032" s="1"/>
      <c r="FH3032" s="1"/>
      <c r="FI3032" s="1"/>
      <c r="FJ3032" s="1"/>
      <c r="FK3032" s="1"/>
      <c r="FL3032" s="1"/>
      <c r="FM3032" s="1"/>
      <c r="FN3032" s="1"/>
      <c r="FO3032" s="1"/>
      <c r="FP3032" s="1"/>
      <c r="FQ3032" s="1"/>
      <c r="FR3032" s="1"/>
      <c r="FS3032" s="1"/>
      <c r="FT3032" s="1"/>
      <c r="FU3032" s="1"/>
      <c r="FV3032" s="1"/>
      <c r="FW3032" s="1"/>
      <c r="FX3032" s="1"/>
      <c r="FY3032" s="1"/>
      <c r="FZ3032" s="1"/>
      <c r="GA3032" s="1"/>
      <c r="GB3032" s="1"/>
      <c r="GC3032" s="1"/>
      <c r="GD3032" s="1"/>
      <c r="GE3032" s="1"/>
      <c r="GF3032" s="1"/>
      <c r="GG3032" s="1"/>
      <c r="GH3032" s="1"/>
      <c r="GI3032" s="1"/>
      <c r="GJ3032" s="1"/>
      <c r="GK3032" s="1"/>
      <c r="GL3032" s="1"/>
      <c r="GM3032" s="1"/>
      <c r="GN3032" s="1"/>
      <c r="GO3032" s="1"/>
      <c r="GP3032" s="1"/>
      <c r="GQ3032" s="1"/>
      <c r="GR3032" s="1"/>
      <c r="GS3032" s="1"/>
      <c r="GT3032" s="1"/>
      <c r="GU3032" s="1"/>
      <c r="GV3032" s="1"/>
      <c r="GW3032" s="1"/>
      <c r="GX3032" s="1"/>
      <c r="GY3032" s="1"/>
      <c r="GZ3032" s="1"/>
      <c r="HA3032" s="1"/>
      <c r="HB3032" s="1"/>
      <c r="HC3032" s="1"/>
      <c r="HD3032" s="1"/>
      <c r="HE3032" s="1"/>
      <c r="HF3032" s="1"/>
      <c r="HG3032" s="1"/>
      <c r="HH3032" s="1"/>
      <c r="HI3032" s="1"/>
      <c r="HJ3032" s="1"/>
      <c r="HK3032" s="1"/>
      <c r="HL3032" s="1"/>
      <c r="HM3032" s="1"/>
      <c r="HN3032" s="1"/>
      <c r="HO3032" s="1"/>
      <c r="HP3032" s="1"/>
      <c r="HQ3032" s="1"/>
    </row>
    <row r="3033" spans="1:225" ht="15.75" customHeight="1" x14ac:dyDescent="0.35">
      <c r="A3033" s="256">
        <f>A3030+1</f>
        <v>6</v>
      </c>
      <c r="B3033" s="251">
        <v>5488</v>
      </c>
      <c r="C3033" s="259" t="s">
        <v>633</v>
      </c>
      <c r="D3033" s="262">
        <v>1543.3</v>
      </c>
      <c r="E3033" s="262" t="s">
        <v>75</v>
      </c>
      <c r="F3033" s="265">
        <v>3</v>
      </c>
      <c r="G3033" s="256" t="s">
        <v>82</v>
      </c>
      <c r="H3033" s="159" t="s">
        <v>73</v>
      </c>
      <c r="I3033" s="158">
        <f>I3034+I3035</f>
        <v>1316434.8999999999</v>
      </c>
      <c r="J3033" s="158">
        <f>J3034+J3035</f>
        <v>853</v>
      </c>
      <c r="K3033" s="158">
        <f>K3034+K3035</f>
        <v>853</v>
      </c>
      <c r="L3033" s="1"/>
      <c r="M3033" s="1"/>
      <c r="N3033" s="1"/>
      <c r="O3033" s="1"/>
      <c r="P3033" s="1"/>
      <c r="Q3033" s="1"/>
      <c r="R3033" s="1"/>
      <c r="S3033" s="1"/>
      <c r="T3033" s="1"/>
      <c r="U3033" s="1"/>
      <c r="V3033" s="1"/>
      <c r="W3033" s="1"/>
      <c r="X3033" s="1"/>
      <c r="Y3033" s="1"/>
      <c r="Z3033" s="1"/>
      <c r="AA3033" s="1"/>
      <c r="AB3033" s="1"/>
      <c r="AC3033" s="1"/>
      <c r="AD3033" s="1"/>
      <c r="AE3033" s="1"/>
      <c r="AF3033" s="1"/>
      <c r="AG3033" s="1"/>
      <c r="AH3033" s="1"/>
      <c r="AI3033" s="1"/>
      <c r="AJ3033" s="1"/>
      <c r="AK3033" s="1"/>
      <c r="AL3033" s="1"/>
      <c r="AM3033" s="1"/>
      <c r="AN3033" s="1"/>
      <c r="AO3033" s="1"/>
      <c r="AP3033" s="1"/>
      <c r="AQ3033" s="1"/>
      <c r="AR3033" s="1"/>
      <c r="AS3033" s="1"/>
      <c r="AT3033" s="1"/>
      <c r="AU3033" s="1"/>
      <c r="AV3033" s="1"/>
      <c r="AW3033" s="1"/>
      <c r="AX3033" s="1"/>
      <c r="AY3033" s="1"/>
      <c r="AZ3033" s="1"/>
      <c r="BA3033" s="1"/>
      <c r="BB3033" s="1"/>
      <c r="BC3033" s="1"/>
      <c r="BD3033" s="1"/>
      <c r="BE3033" s="1"/>
      <c r="BF3033" s="1"/>
      <c r="BG3033" s="1"/>
      <c r="BH3033" s="1"/>
      <c r="BI3033" s="1"/>
      <c r="BJ3033" s="1"/>
      <c r="BK3033" s="1"/>
      <c r="BL3033" s="1"/>
      <c r="BM3033" s="1"/>
      <c r="BN3033" s="1"/>
      <c r="BO3033" s="1"/>
      <c r="BP3033" s="1"/>
      <c r="BQ3033" s="1"/>
      <c r="BR3033" s="1"/>
      <c r="BS3033" s="1"/>
      <c r="BT3033" s="1"/>
      <c r="BU3033" s="1"/>
      <c r="BV3033" s="1"/>
      <c r="BW3033" s="1"/>
      <c r="BX3033" s="1"/>
      <c r="BY3033" s="1"/>
      <c r="BZ3033" s="1"/>
      <c r="CA3033" s="1"/>
      <c r="CB3033" s="1"/>
      <c r="CC3033" s="1"/>
      <c r="CD3033" s="1"/>
      <c r="CE3033" s="1"/>
      <c r="CF3033" s="1"/>
      <c r="CG3033" s="1"/>
      <c r="CH3033" s="1"/>
      <c r="CI3033" s="1"/>
      <c r="CJ3033" s="1"/>
      <c r="CK3033" s="1"/>
      <c r="CL3033" s="1"/>
      <c r="CM3033" s="1"/>
      <c r="CN3033" s="1"/>
      <c r="CO3033" s="1"/>
      <c r="CP3033" s="1"/>
      <c r="CQ3033" s="1"/>
      <c r="CR3033" s="1"/>
      <c r="CS3033" s="1"/>
      <c r="CT3033" s="1"/>
      <c r="CU3033" s="1"/>
      <c r="CV3033" s="1"/>
      <c r="CW3033" s="1"/>
      <c r="CX3033" s="1"/>
      <c r="CY3033" s="1"/>
      <c r="CZ3033" s="1"/>
      <c r="DA3033" s="1"/>
      <c r="DB3033" s="1"/>
      <c r="DC3033" s="1"/>
      <c r="DD3033" s="1"/>
      <c r="DE3033" s="1"/>
      <c r="DF3033" s="1"/>
      <c r="DG3033" s="1"/>
      <c r="DH3033" s="1"/>
      <c r="DI3033" s="1"/>
      <c r="DJ3033" s="1"/>
      <c r="DK3033" s="1"/>
      <c r="DL3033" s="1"/>
      <c r="DM3033" s="1"/>
      <c r="DN3033" s="1"/>
      <c r="DO3033" s="1"/>
      <c r="DP3033" s="1"/>
      <c r="DQ3033" s="1"/>
      <c r="DR3033" s="1"/>
      <c r="DS3033" s="1"/>
      <c r="DT3033" s="1"/>
      <c r="DU3033" s="1"/>
      <c r="DV3033" s="1"/>
      <c r="DW3033" s="1"/>
      <c r="DX3033" s="1"/>
      <c r="DY3033" s="1"/>
      <c r="DZ3033" s="1"/>
      <c r="EA3033" s="1"/>
      <c r="EB3033" s="1"/>
      <c r="EC3033" s="1"/>
      <c r="ED3033" s="1"/>
      <c r="EE3033" s="1"/>
      <c r="EF3033" s="1"/>
      <c r="EG3033" s="1"/>
      <c r="EH3033" s="1"/>
      <c r="EI3033" s="1"/>
      <c r="EJ3033" s="1"/>
      <c r="EK3033" s="1"/>
      <c r="EL3033" s="1"/>
      <c r="EM3033" s="1"/>
      <c r="EN3033" s="1"/>
      <c r="EO3033" s="1"/>
      <c r="EP3033" s="1"/>
      <c r="EQ3033" s="1"/>
      <c r="ER3033" s="1"/>
      <c r="ES3033" s="1"/>
      <c r="ET3033" s="1"/>
      <c r="EU3033" s="1"/>
      <c r="EV3033" s="1"/>
      <c r="EW3033" s="1"/>
      <c r="EX3033" s="1"/>
      <c r="EY3033" s="1"/>
      <c r="EZ3033" s="1"/>
      <c r="FA3033" s="1"/>
      <c r="FB3033" s="1"/>
      <c r="FC3033" s="1"/>
      <c r="FD3033" s="1"/>
      <c r="FE3033" s="1"/>
      <c r="FF3033" s="1"/>
      <c r="FG3033" s="1"/>
      <c r="FH3033" s="1"/>
      <c r="FI3033" s="1"/>
      <c r="FJ3033" s="1"/>
      <c r="FK3033" s="1"/>
      <c r="FL3033" s="1"/>
      <c r="FM3033" s="1"/>
      <c r="FN3033" s="1"/>
      <c r="FO3033" s="1"/>
      <c r="FP3033" s="1"/>
      <c r="FQ3033" s="1"/>
      <c r="FR3033" s="1"/>
      <c r="FS3033" s="1"/>
      <c r="FT3033" s="1"/>
      <c r="FU3033" s="1"/>
      <c r="FV3033" s="1"/>
      <c r="FW3033" s="1"/>
      <c r="FX3033" s="1"/>
      <c r="FY3033" s="1"/>
      <c r="FZ3033" s="1"/>
      <c r="GA3033" s="1"/>
      <c r="GB3033" s="1"/>
      <c r="GC3033" s="1"/>
      <c r="GD3033" s="1"/>
      <c r="GE3033" s="1"/>
      <c r="GF3033" s="1"/>
      <c r="GG3033" s="1"/>
      <c r="GH3033" s="1"/>
      <c r="GI3033" s="1"/>
      <c r="GJ3033" s="1"/>
      <c r="GK3033" s="1"/>
      <c r="GL3033" s="1"/>
      <c r="GM3033" s="1"/>
      <c r="GN3033" s="1"/>
      <c r="GO3033" s="1"/>
      <c r="GP3033" s="1"/>
      <c r="GQ3033" s="1"/>
      <c r="GR3033" s="1"/>
      <c r="GS3033" s="1"/>
      <c r="GT3033" s="1"/>
      <c r="GU3033" s="1"/>
      <c r="GV3033" s="1"/>
      <c r="GW3033" s="1"/>
      <c r="GX3033" s="1"/>
      <c r="GY3033" s="1"/>
      <c r="GZ3033" s="1"/>
      <c r="HA3033" s="1"/>
      <c r="HB3033" s="1"/>
      <c r="HC3033" s="1"/>
      <c r="HD3033" s="1"/>
      <c r="HE3033" s="1"/>
      <c r="HF3033" s="1"/>
      <c r="HG3033" s="1"/>
      <c r="HH3033" s="1"/>
      <c r="HI3033" s="1"/>
      <c r="HJ3033" s="1"/>
      <c r="HK3033" s="1"/>
      <c r="HL3033" s="1"/>
      <c r="HM3033" s="1"/>
      <c r="HN3033" s="1"/>
      <c r="HO3033" s="1"/>
      <c r="HP3033" s="1"/>
      <c r="HQ3033" s="1"/>
    </row>
    <row r="3034" spans="1:225" x14ac:dyDescent="0.35">
      <c r="A3034" s="257"/>
      <c r="B3034" s="251"/>
      <c r="C3034" s="260"/>
      <c r="D3034" s="263"/>
      <c r="E3034" s="263"/>
      <c r="F3034" s="266"/>
      <c r="G3034" s="257"/>
      <c r="H3034" s="159" t="s">
        <v>74</v>
      </c>
      <c r="I3034" s="158">
        <f>K3034*D3033</f>
        <v>1288655.5</v>
      </c>
      <c r="J3034" s="158">
        <f>I3034/D3033</f>
        <v>835</v>
      </c>
      <c r="K3034" s="158">
        <v>835</v>
      </c>
      <c r="L3034" s="1"/>
      <c r="M3034" s="1"/>
      <c r="N3034" s="1"/>
      <c r="O3034" s="1"/>
      <c r="P3034" s="1"/>
      <c r="Q3034" s="1"/>
      <c r="R3034" s="1"/>
      <c r="S3034" s="1"/>
      <c r="T3034" s="1"/>
      <c r="U3034" s="1"/>
      <c r="V3034" s="1"/>
      <c r="W3034" s="1"/>
      <c r="X3034" s="1"/>
      <c r="Y3034" s="1"/>
      <c r="Z3034" s="1"/>
      <c r="AA3034" s="1"/>
      <c r="AB3034" s="1"/>
      <c r="AC3034" s="1"/>
      <c r="AD3034" s="1"/>
      <c r="AE3034" s="1"/>
      <c r="AF3034" s="1"/>
      <c r="AG3034" s="1"/>
      <c r="AH3034" s="1"/>
      <c r="AI3034" s="1"/>
      <c r="AJ3034" s="1"/>
      <c r="AK3034" s="1"/>
      <c r="AL3034" s="1"/>
      <c r="AM3034" s="1"/>
      <c r="AN3034" s="1"/>
      <c r="AO3034" s="1"/>
      <c r="AP3034" s="1"/>
      <c r="AQ3034" s="1"/>
      <c r="AR3034" s="1"/>
      <c r="AS3034" s="1"/>
      <c r="AT3034" s="1"/>
      <c r="AU3034" s="1"/>
      <c r="AV3034" s="1"/>
      <c r="AW3034" s="1"/>
      <c r="AX3034" s="1"/>
      <c r="AY3034" s="1"/>
      <c r="AZ3034" s="1"/>
      <c r="BA3034" s="1"/>
      <c r="BB3034" s="1"/>
      <c r="BC3034" s="1"/>
      <c r="BD3034" s="1"/>
      <c r="BE3034" s="1"/>
      <c r="BF3034" s="1"/>
      <c r="BG3034" s="1"/>
      <c r="BH3034" s="1"/>
      <c r="BI3034" s="1"/>
      <c r="BJ3034" s="1"/>
      <c r="BK3034" s="1"/>
      <c r="BL3034" s="1"/>
      <c r="BM3034" s="1"/>
      <c r="BN3034" s="1"/>
      <c r="BO3034" s="1"/>
      <c r="BP3034" s="1"/>
      <c r="BQ3034" s="1"/>
      <c r="BR3034" s="1"/>
      <c r="BS3034" s="1"/>
      <c r="BT3034" s="1"/>
      <c r="BU3034" s="1"/>
      <c r="BV3034" s="1"/>
      <c r="BW3034" s="1"/>
      <c r="BX3034" s="1"/>
      <c r="BY3034" s="1"/>
      <c r="BZ3034" s="1"/>
      <c r="CA3034" s="1"/>
      <c r="CB3034" s="1"/>
      <c r="CC3034" s="1"/>
      <c r="CD3034" s="1"/>
      <c r="CE3034" s="1"/>
      <c r="CF3034" s="1"/>
      <c r="CG3034" s="1"/>
      <c r="CH3034" s="1"/>
      <c r="CI3034" s="1"/>
      <c r="CJ3034" s="1"/>
      <c r="CK3034" s="1"/>
      <c r="CL3034" s="1"/>
      <c r="CM3034" s="1"/>
      <c r="CN3034" s="1"/>
      <c r="CO3034" s="1"/>
      <c r="CP3034" s="1"/>
      <c r="CQ3034" s="1"/>
      <c r="CR3034" s="1"/>
      <c r="CS3034" s="1"/>
      <c r="CT3034" s="1"/>
      <c r="CU3034" s="1"/>
      <c r="CV3034" s="1"/>
      <c r="CW3034" s="1"/>
      <c r="CX3034" s="1"/>
      <c r="CY3034" s="1"/>
      <c r="CZ3034" s="1"/>
      <c r="DA3034" s="1"/>
      <c r="DB3034" s="1"/>
      <c r="DC3034" s="1"/>
      <c r="DD3034" s="1"/>
      <c r="DE3034" s="1"/>
      <c r="DF3034" s="1"/>
      <c r="DG3034" s="1"/>
      <c r="DH3034" s="1"/>
      <c r="DI3034" s="1"/>
      <c r="DJ3034" s="1"/>
      <c r="DK3034" s="1"/>
      <c r="DL3034" s="1"/>
      <c r="DM3034" s="1"/>
      <c r="DN3034" s="1"/>
      <c r="DO3034" s="1"/>
      <c r="DP3034" s="1"/>
      <c r="DQ3034" s="1"/>
      <c r="DR3034" s="1"/>
      <c r="DS3034" s="1"/>
      <c r="DT3034" s="1"/>
      <c r="DU3034" s="1"/>
      <c r="DV3034" s="1"/>
      <c r="DW3034" s="1"/>
      <c r="DX3034" s="1"/>
      <c r="DY3034" s="1"/>
      <c r="DZ3034" s="1"/>
      <c r="EA3034" s="1"/>
      <c r="EB3034" s="1"/>
      <c r="EC3034" s="1"/>
      <c r="ED3034" s="1"/>
      <c r="EE3034" s="1"/>
      <c r="EF3034" s="1"/>
      <c r="EG3034" s="1"/>
      <c r="EH3034" s="1"/>
      <c r="EI3034" s="1"/>
      <c r="EJ3034" s="1"/>
      <c r="EK3034" s="1"/>
      <c r="EL3034" s="1"/>
      <c r="EM3034" s="1"/>
      <c r="EN3034" s="1"/>
      <c r="EO3034" s="1"/>
      <c r="EP3034" s="1"/>
      <c r="EQ3034" s="1"/>
      <c r="ER3034" s="1"/>
      <c r="ES3034" s="1"/>
      <c r="ET3034" s="1"/>
      <c r="EU3034" s="1"/>
      <c r="EV3034" s="1"/>
      <c r="EW3034" s="1"/>
      <c r="EX3034" s="1"/>
      <c r="EY3034" s="1"/>
      <c r="EZ3034" s="1"/>
      <c r="FA3034" s="1"/>
      <c r="FB3034" s="1"/>
      <c r="FC3034" s="1"/>
      <c r="FD3034" s="1"/>
      <c r="FE3034" s="1"/>
      <c r="FF3034" s="1"/>
      <c r="FG3034" s="1"/>
      <c r="FH3034" s="1"/>
      <c r="FI3034" s="1"/>
      <c r="FJ3034" s="1"/>
      <c r="FK3034" s="1"/>
      <c r="FL3034" s="1"/>
      <c r="FM3034" s="1"/>
      <c r="FN3034" s="1"/>
      <c r="FO3034" s="1"/>
      <c r="FP3034" s="1"/>
      <c r="FQ3034" s="1"/>
      <c r="FR3034" s="1"/>
      <c r="FS3034" s="1"/>
      <c r="FT3034" s="1"/>
      <c r="FU3034" s="1"/>
      <c r="FV3034" s="1"/>
      <c r="FW3034" s="1"/>
      <c r="FX3034" s="1"/>
      <c r="FY3034" s="1"/>
      <c r="FZ3034" s="1"/>
      <c r="GA3034" s="1"/>
      <c r="GB3034" s="1"/>
      <c r="GC3034" s="1"/>
      <c r="GD3034" s="1"/>
      <c r="GE3034" s="1"/>
      <c r="GF3034" s="1"/>
      <c r="GG3034" s="1"/>
      <c r="GH3034" s="1"/>
      <c r="GI3034" s="1"/>
      <c r="GJ3034" s="1"/>
      <c r="GK3034" s="1"/>
      <c r="GL3034" s="1"/>
      <c r="GM3034" s="1"/>
      <c r="GN3034" s="1"/>
      <c r="GO3034" s="1"/>
      <c r="GP3034" s="1"/>
      <c r="GQ3034" s="1"/>
      <c r="GR3034" s="1"/>
      <c r="GS3034" s="1"/>
      <c r="GT3034" s="1"/>
      <c r="GU3034" s="1"/>
      <c r="GV3034" s="1"/>
      <c r="GW3034" s="1"/>
      <c r="GX3034" s="1"/>
      <c r="GY3034" s="1"/>
      <c r="GZ3034" s="1"/>
      <c r="HA3034" s="1"/>
      <c r="HB3034" s="1"/>
      <c r="HC3034" s="1"/>
      <c r="HD3034" s="1"/>
      <c r="HE3034" s="1"/>
      <c r="HF3034" s="1"/>
      <c r="HG3034" s="1"/>
      <c r="HH3034" s="1"/>
      <c r="HI3034" s="1"/>
      <c r="HJ3034" s="1"/>
      <c r="HK3034" s="1"/>
      <c r="HL3034" s="1"/>
      <c r="HM3034" s="1"/>
      <c r="HN3034" s="1"/>
      <c r="HO3034" s="1"/>
      <c r="HP3034" s="1"/>
      <c r="HQ3034" s="1"/>
    </row>
    <row r="3035" spans="1:225" x14ac:dyDescent="0.35">
      <c r="A3035" s="258"/>
      <c r="B3035" s="251"/>
      <c r="C3035" s="261"/>
      <c r="D3035" s="264"/>
      <c r="E3035" s="264"/>
      <c r="F3035" s="267"/>
      <c r="G3035" s="258"/>
      <c r="H3035" s="159" t="s">
        <v>76</v>
      </c>
      <c r="I3035" s="158">
        <f>K3035*D3033</f>
        <v>27779.4</v>
      </c>
      <c r="J3035" s="158">
        <f>I3035/D3033</f>
        <v>18</v>
      </c>
      <c r="K3035" s="158">
        <v>18</v>
      </c>
      <c r="L3035" s="1"/>
      <c r="M3035" s="1"/>
      <c r="N3035" s="1"/>
      <c r="O3035" s="1"/>
      <c r="P3035" s="1"/>
      <c r="Q3035" s="1"/>
      <c r="R3035" s="1"/>
      <c r="S3035" s="1"/>
      <c r="T3035" s="1"/>
      <c r="U3035" s="1"/>
      <c r="V3035" s="1"/>
      <c r="W3035" s="1"/>
      <c r="X3035" s="1"/>
      <c r="Y3035" s="1"/>
      <c r="Z3035" s="1"/>
      <c r="AA3035" s="1"/>
      <c r="AB3035" s="1"/>
      <c r="AC3035" s="1"/>
      <c r="AD3035" s="1"/>
      <c r="AE3035" s="1"/>
      <c r="AF3035" s="1"/>
      <c r="AG3035" s="1"/>
      <c r="AH3035" s="1"/>
      <c r="AI3035" s="1"/>
      <c r="AJ3035" s="1"/>
      <c r="AK3035" s="1"/>
      <c r="AL3035" s="1"/>
      <c r="AM3035" s="1"/>
      <c r="AN3035" s="1"/>
      <c r="AO3035" s="1"/>
      <c r="AP3035" s="1"/>
      <c r="AQ3035" s="1"/>
      <c r="AR3035" s="1"/>
      <c r="AS3035" s="1"/>
      <c r="AT3035" s="1"/>
      <c r="AU3035" s="1"/>
      <c r="AV3035" s="1"/>
      <c r="AW3035" s="1"/>
      <c r="AX3035" s="1"/>
      <c r="AY3035" s="1"/>
      <c r="AZ3035" s="1"/>
      <c r="BA3035" s="1"/>
      <c r="BB3035" s="1"/>
      <c r="BC3035" s="1"/>
      <c r="BD3035" s="1"/>
      <c r="BE3035" s="1"/>
      <c r="BF3035" s="1"/>
      <c r="BG3035" s="1"/>
      <c r="BH3035" s="1"/>
      <c r="BI3035" s="1"/>
      <c r="BJ3035" s="1"/>
      <c r="BK3035" s="1"/>
      <c r="BL3035" s="1"/>
      <c r="BM3035" s="1"/>
      <c r="BN3035" s="1"/>
      <c r="BO3035" s="1"/>
      <c r="BP3035" s="1"/>
      <c r="BQ3035" s="1"/>
      <c r="BR3035" s="1"/>
      <c r="BS3035" s="1"/>
      <c r="BT3035" s="1"/>
      <c r="BU3035" s="1"/>
      <c r="BV3035" s="1"/>
      <c r="BW3035" s="1"/>
      <c r="BX3035" s="1"/>
      <c r="BY3035" s="1"/>
      <c r="BZ3035" s="1"/>
      <c r="CA3035" s="1"/>
      <c r="CB3035" s="1"/>
      <c r="CC3035" s="1"/>
      <c r="CD3035" s="1"/>
      <c r="CE3035" s="1"/>
      <c r="CF3035" s="1"/>
      <c r="CG3035" s="1"/>
      <c r="CH3035" s="1"/>
      <c r="CI3035" s="1"/>
      <c r="CJ3035" s="1"/>
      <c r="CK3035" s="1"/>
      <c r="CL3035" s="1"/>
      <c r="CM3035" s="1"/>
      <c r="CN3035" s="1"/>
      <c r="CO3035" s="1"/>
      <c r="CP3035" s="1"/>
      <c r="CQ3035" s="1"/>
      <c r="CR3035" s="1"/>
      <c r="CS3035" s="1"/>
      <c r="CT3035" s="1"/>
      <c r="CU3035" s="1"/>
      <c r="CV3035" s="1"/>
      <c r="CW3035" s="1"/>
      <c r="CX3035" s="1"/>
      <c r="CY3035" s="1"/>
      <c r="CZ3035" s="1"/>
      <c r="DA3035" s="1"/>
      <c r="DB3035" s="1"/>
      <c r="DC3035" s="1"/>
      <c r="DD3035" s="1"/>
      <c r="DE3035" s="1"/>
      <c r="DF3035" s="1"/>
      <c r="DG3035" s="1"/>
      <c r="DH3035" s="1"/>
      <c r="DI3035" s="1"/>
      <c r="DJ3035" s="1"/>
      <c r="DK3035" s="1"/>
      <c r="DL3035" s="1"/>
      <c r="DM3035" s="1"/>
      <c r="DN3035" s="1"/>
      <c r="DO3035" s="1"/>
      <c r="DP3035" s="1"/>
      <c r="DQ3035" s="1"/>
      <c r="DR3035" s="1"/>
      <c r="DS3035" s="1"/>
      <c r="DT3035" s="1"/>
      <c r="DU3035" s="1"/>
      <c r="DV3035" s="1"/>
      <c r="DW3035" s="1"/>
      <c r="DX3035" s="1"/>
      <c r="DY3035" s="1"/>
      <c r="DZ3035" s="1"/>
      <c r="EA3035" s="1"/>
      <c r="EB3035" s="1"/>
      <c r="EC3035" s="1"/>
      <c r="ED3035" s="1"/>
      <c r="EE3035" s="1"/>
      <c r="EF3035" s="1"/>
      <c r="EG3035" s="1"/>
      <c r="EH3035" s="1"/>
      <c r="EI3035" s="1"/>
      <c r="EJ3035" s="1"/>
      <c r="EK3035" s="1"/>
      <c r="EL3035" s="1"/>
      <c r="EM3035" s="1"/>
      <c r="EN3035" s="1"/>
      <c r="EO3035" s="1"/>
      <c r="EP3035" s="1"/>
      <c r="EQ3035" s="1"/>
      <c r="ER3035" s="1"/>
      <c r="ES3035" s="1"/>
      <c r="ET3035" s="1"/>
      <c r="EU3035" s="1"/>
      <c r="EV3035" s="1"/>
      <c r="EW3035" s="1"/>
      <c r="EX3035" s="1"/>
      <c r="EY3035" s="1"/>
      <c r="EZ3035" s="1"/>
      <c r="FA3035" s="1"/>
      <c r="FB3035" s="1"/>
      <c r="FC3035" s="1"/>
      <c r="FD3035" s="1"/>
      <c r="FE3035" s="1"/>
      <c r="FF3035" s="1"/>
      <c r="FG3035" s="1"/>
      <c r="FH3035" s="1"/>
      <c r="FI3035" s="1"/>
      <c r="FJ3035" s="1"/>
      <c r="FK3035" s="1"/>
      <c r="FL3035" s="1"/>
      <c r="FM3035" s="1"/>
      <c r="FN3035" s="1"/>
      <c r="FO3035" s="1"/>
      <c r="FP3035" s="1"/>
      <c r="FQ3035" s="1"/>
      <c r="FR3035" s="1"/>
      <c r="FS3035" s="1"/>
      <c r="FT3035" s="1"/>
      <c r="FU3035" s="1"/>
      <c r="FV3035" s="1"/>
      <c r="FW3035" s="1"/>
      <c r="FX3035" s="1"/>
      <c r="FY3035" s="1"/>
      <c r="FZ3035" s="1"/>
      <c r="GA3035" s="1"/>
      <c r="GB3035" s="1"/>
      <c r="GC3035" s="1"/>
      <c r="GD3035" s="1"/>
      <c r="GE3035" s="1"/>
      <c r="GF3035" s="1"/>
      <c r="GG3035" s="1"/>
      <c r="GH3035" s="1"/>
      <c r="GI3035" s="1"/>
      <c r="GJ3035" s="1"/>
      <c r="GK3035" s="1"/>
      <c r="GL3035" s="1"/>
      <c r="GM3035" s="1"/>
      <c r="GN3035" s="1"/>
      <c r="GO3035" s="1"/>
      <c r="GP3035" s="1"/>
      <c r="GQ3035" s="1"/>
      <c r="GR3035" s="1"/>
      <c r="GS3035" s="1"/>
      <c r="GT3035" s="1"/>
      <c r="GU3035" s="1"/>
      <c r="GV3035" s="1"/>
      <c r="GW3035" s="1"/>
      <c r="GX3035" s="1"/>
      <c r="GY3035" s="1"/>
      <c r="GZ3035" s="1"/>
      <c r="HA3035" s="1"/>
      <c r="HB3035" s="1"/>
      <c r="HC3035" s="1"/>
      <c r="HD3035" s="1"/>
      <c r="HE3035" s="1"/>
      <c r="HF3035" s="1"/>
      <c r="HG3035" s="1"/>
      <c r="HH3035" s="1"/>
      <c r="HI3035" s="1"/>
      <c r="HJ3035" s="1"/>
      <c r="HK3035" s="1"/>
      <c r="HL3035" s="1"/>
      <c r="HM3035" s="1"/>
      <c r="HN3035" s="1"/>
      <c r="HO3035" s="1"/>
      <c r="HP3035" s="1"/>
      <c r="HQ3035" s="1"/>
    </row>
    <row r="3036" spans="1:225" ht="15.75" customHeight="1" x14ac:dyDescent="0.35">
      <c r="A3036" s="256">
        <f>A3033+1</f>
        <v>7</v>
      </c>
      <c r="B3036" s="251">
        <v>5778</v>
      </c>
      <c r="C3036" s="259" t="s">
        <v>737</v>
      </c>
      <c r="D3036" s="262">
        <v>1280</v>
      </c>
      <c r="E3036" s="262" t="s">
        <v>75</v>
      </c>
      <c r="F3036" s="265">
        <v>3</v>
      </c>
      <c r="G3036" s="256" t="s">
        <v>72</v>
      </c>
      <c r="H3036" s="159" t="s">
        <v>73</v>
      </c>
      <c r="I3036" s="158">
        <f>I3037+I3038</f>
        <v>6853120</v>
      </c>
      <c r="J3036" s="158">
        <f>J3037+J3038</f>
        <v>5354</v>
      </c>
      <c r="K3036" s="158">
        <f>K3037+K3038</f>
        <v>5354</v>
      </c>
      <c r="L3036" s="1"/>
      <c r="M3036" s="1"/>
      <c r="N3036" s="1"/>
      <c r="O3036" s="1"/>
      <c r="P3036" s="1"/>
      <c r="Q3036" s="1"/>
      <c r="R3036" s="1"/>
      <c r="S3036" s="1"/>
      <c r="T3036" s="1"/>
      <c r="U3036" s="1"/>
      <c r="V3036" s="1"/>
      <c r="W3036" s="1"/>
      <c r="X3036" s="1"/>
      <c r="Y3036" s="1"/>
      <c r="Z3036" s="1"/>
      <c r="AA3036" s="1"/>
      <c r="AB3036" s="1"/>
      <c r="AC3036" s="1"/>
      <c r="AD3036" s="1"/>
      <c r="AE3036" s="1"/>
      <c r="AF3036" s="1"/>
      <c r="AG3036" s="1"/>
      <c r="AH3036" s="1"/>
      <c r="AI3036" s="1"/>
      <c r="AJ3036" s="1"/>
      <c r="AK3036" s="1"/>
      <c r="AL3036" s="1"/>
      <c r="AM3036" s="1"/>
      <c r="AN3036" s="1"/>
      <c r="AO3036" s="1"/>
      <c r="AP3036" s="1"/>
      <c r="AQ3036" s="1"/>
      <c r="AR3036" s="1"/>
      <c r="AS3036" s="1"/>
      <c r="AT3036" s="1"/>
      <c r="AU3036" s="1"/>
      <c r="AV3036" s="1"/>
      <c r="AW3036" s="1"/>
      <c r="AX3036" s="1"/>
      <c r="AY3036" s="1"/>
      <c r="AZ3036" s="1"/>
      <c r="BA3036" s="1"/>
      <c r="BB3036" s="1"/>
      <c r="BC3036" s="1"/>
      <c r="BD3036" s="1"/>
      <c r="BE3036" s="1"/>
      <c r="BF3036" s="1"/>
      <c r="BG3036" s="1"/>
      <c r="BH3036" s="1"/>
      <c r="BI3036" s="1"/>
      <c r="BJ3036" s="1"/>
      <c r="BK3036" s="1"/>
      <c r="BL3036" s="1"/>
      <c r="BM3036" s="1"/>
      <c r="BN3036" s="1"/>
      <c r="BO3036" s="1"/>
      <c r="BP3036" s="1"/>
      <c r="BQ3036" s="1"/>
      <c r="BR3036" s="1"/>
      <c r="BS3036" s="1"/>
      <c r="BT3036" s="1"/>
      <c r="BU3036" s="1"/>
      <c r="BV3036" s="1"/>
      <c r="BW3036" s="1"/>
      <c r="BX3036" s="1"/>
      <c r="BY3036" s="1"/>
      <c r="BZ3036" s="1"/>
      <c r="CA3036" s="1"/>
      <c r="CB3036" s="1"/>
      <c r="CC3036" s="1"/>
      <c r="CD3036" s="1"/>
      <c r="CE3036" s="1"/>
      <c r="CF3036" s="1"/>
      <c r="CG3036" s="1"/>
      <c r="CH3036" s="1"/>
      <c r="CI3036" s="1"/>
      <c r="CJ3036" s="1"/>
      <c r="CK3036" s="1"/>
      <c r="CL3036" s="1"/>
      <c r="CM3036" s="1"/>
      <c r="CN3036" s="1"/>
      <c r="CO3036" s="1"/>
      <c r="CP3036" s="1"/>
      <c r="CQ3036" s="1"/>
      <c r="CR3036" s="1"/>
      <c r="CS3036" s="1"/>
      <c r="CT3036" s="1"/>
      <c r="CU3036" s="1"/>
      <c r="CV3036" s="1"/>
      <c r="CW3036" s="1"/>
      <c r="CX3036" s="1"/>
      <c r="CY3036" s="1"/>
      <c r="CZ3036" s="1"/>
      <c r="DA3036" s="1"/>
      <c r="DB3036" s="1"/>
      <c r="DC3036" s="1"/>
      <c r="DD3036" s="1"/>
      <c r="DE3036" s="1"/>
      <c r="DF3036" s="1"/>
      <c r="DG3036" s="1"/>
      <c r="DH3036" s="1"/>
      <c r="DI3036" s="1"/>
      <c r="DJ3036" s="1"/>
      <c r="DK3036" s="1"/>
      <c r="DL3036" s="1"/>
      <c r="DM3036" s="1"/>
      <c r="DN3036" s="1"/>
      <c r="DO3036" s="1"/>
      <c r="DP3036" s="1"/>
      <c r="DQ3036" s="1"/>
      <c r="DR3036" s="1"/>
      <c r="DS3036" s="1"/>
      <c r="DT3036" s="1"/>
      <c r="DU3036" s="1"/>
      <c r="DV3036" s="1"/>
      <c r="DW3036" s="1"/>
      <c r="DX3036" s="1"/>
      <c r="DY3036" s="1"/>
      <c r="DZ3036" s="1"/>
      <c r="EA3036" s="1"/>
      <c r="EB3036" s="1"/>
      <c r="EC3036" s="1"/>
      <c r="ED3036" s="1"/>
      <c r="EE3036" s="1"/>
      <c r="EF3036" s="1"/>
      <c r="EG3036" s="1"/>
      <c r="EH3036" s="1"/>
      <c r="EI3036" s="1"/>
      <c r="EJ3036" s="1"/>
      <c r="EK3036" s="1"/>
      <c r="EL3036" s="1"/>
      <c r="EM3036" s="1"/>
      <c r="EN3036" s="1"/>
      <c r="EO3036" s="1"/>
      <c r="EP3036" s="1"/>
      <c r="EQ3036" s="1"/>
      <c r="ER3036" s="1"/>
      <c r="ES3036" s="1"/>
      <c r="ET3036" s="1"/>
      <c r="EU3036" s="1"/>
      <c r="EV3036" s="1"/>
      <c r="EW3036" s="1"/>
      <c r="EX3036" s="1"/>
      <c r="EY3036" s="1"/>
      <c r="EZ3036" s="1"/>
      <c r="FA3036" s="1"/>
      <c r="FB3036" s="1"/>
      <c r="FC3036" s="1"/>
      <c r="FD3036" s="1"/>
      <c r="FE3036" s="1"/>
      <c r="FF3036" s="1"/>
      <c r="FG3036" s="1"/>
      <c r="FH3036" s="1"/>
      <c r="FI3036" s="1"/>
      <c r="FJ3036" s="1"/>
      <c r="FK3036" s="1"/>
      <c r="FL3036" s="1"/>
      <c r="FM3036" s="1"/>
      <c r="FN3036" s="1"/>
      <c r="FO3036" s="1"/>
      <c r="FP3036" s="1"/>
      <c r="FQ3036" s="1"/>
      <c r="FR3036" s="1"/>
      <c r="FS3036" s="1"/>
      <c r="FT3036" s="1"/>
      <c r="FU3036" s="1"/>
      <c r="FV3036" s="1"/>
      <c r="FW3036" s="1"/>
      <c r="FX3036" s="1"/>
      <c r="FY3036" s="1"/>
      <c r="FZ3036" s="1"/>
      <c r="GA3036" s="1"/>
      <c r="GB3036" s="1"/>
      <c r="GC3036" s="1"/>
      <c r="GD3036" s="1"/>
      <c r="GE3036" s="1"/>
      <c r="GF3036" s="1"/>
      <c r="GG3036" s="1"/>
      <c r="GH3036" s="1"/>
      <c r="GI3036" s="1"/>
      <c r="GJ3036" s="1"/>
      <c r="GK3036" s="1"/>
      <c r="GL3036" s="1"/>
      <c r="GM3036" s="1"/>
      <c r="GN3036" s="1"/>
      <c r="GO3036" s="1"/>
      <c r="GP3036" s="1"/>
      <c r="GQ3036" s="1"/>
      <c r="GR3036" s="1"/>
      <c r="GS3036" s="1"/>
      <c r="GT3036" s="1"/>
      <c r="GU3036" s="1"/>
      <c r="GV3036" s="1"/>
      <c r="GW3036" s="1"/>
      <c r="GX3036" s="1"/>
      <c r="GY3036" s="1"/>
      <c r="GZ3036" s="1"/>
      <c r="HA3036" s="1"/>
      <c r="HB3036" s="1"/>
      <c r="HC3036" s="1"/>
      <c r="HD3036" s="1"/>
      <c r="HE3036" s="1"/>
      <c r="HF3036" s="1"/>
      <c r="HG3036" s="1"/>
      <c r="HH3036" s="1"/>
      <c r="HI3036" s="1"/>
      <c r="HJ3036" s="1"/>
      <c r="HK3036" s="1"/>
      <c r="HL3036" s="1"/>
      <c r="HM3036" s="1"/>
      <c r="HN3036" s="1"/>
      <c r="HO3036" s="1"/>
      <c r="HP3036" s="1"/>
      <c r="HQ3036" s="1"/>
    </row>
    <row r="3037" spans="1:225" x14ac:dyDescent="0.35">
      <c r="A3037" s="257"/>
      <c r="B3037" s="251"/>
      <c r="C3037" s="260"/>
      <c r="D3037" s="263"/>
      <c r="E3037" s="263"/>
      <c r="F3037" s="266"/>
      <c r="G3037" s="257"/>
      <c r="H3037" s="159" t="s">
        <v>74</v>
      </c>
      <c r="I3037" s="158">
        <f>K3037*D3036</f>
        <v>6709760</v>
      </c>
      <c r="J3037" s="158">
        <f>I3037/D3036</f>
        <v>5242</v>
      </c>
      <c r="K3037" s="158">
        <v>5242</v>
      </c>
      <c r="L3037" s="1"/>
      <c r="M3037" s="1"/>
      <c r="N3037" s="1"/>
      <c r="O3037" s="1"/>
      <c r="P3037" s="1"/>
      <c r="Q3037" s="1"/>
      <c r="R3037" s="1"/>
      <c r="S3037" s="1"/>
      <c r="T3037" s="1"/>
      <c r="U3037" s="1"/>
      <c r="V3037" s="1"/>
      <c r="W3037" s="1"/>
      <c r="X3037" s="1"/>
      <c r="Y3037" s="1"/>
      <c r="Z3037" s="1"/>
      <c r="AA3037" s="1"/>
      <c r="AB3037" s="1"/>
      <c r="AC3037" s="1"/>
      <c r="AD3037" s="1"/>
      <c r="AE3037" s="1"/>
      <c r="AF3037" s="1"/>
      <c r="AG3037" s="1"/>
      <c r="AH3037" s="1"/>
      <c r="AI3037" s="1"/>
      <c r="AJ3037" s="1"/>
      <c r="AK3037" s="1"/>
      <c r="AL3037" s="1"/>
      <c r="AM3037" s="1"/>
      <c r="AN3037" s="1"/>
      <c r="AO3037" s="1"/>
      <c r="AP3037" s="1"/>
      <c r="AQ3037" s="1"/>
      <c r="AR3037" s="1"/>
      <c r="AS3037" s="1"/>
      <c r="AT3037" s="1"/>
      <c r="AU3037" s="1"/>
      <c r="AV3037" s="1"/>
      <c r="AW3037" s="1"/>
      <c r="AX3037" s="1"/>
      <c r="AY3037" s="1"/>
      <c r="AZ3037" s="1"/>
      <c r="BA3037" s="1"/>
      <c r="BB3037" s="1"/>
      <c r="BC3037" s="1"/>
      <c r="BD3037" s="1"/>
      <c r="BE3037" s="1"/>
      <c r="BF3037" s="1"/>
      <c r="BG3037" s="1"/>
      <c r="BH3037" s="1"/>
      <c r="BI3037" s="1"/>
      <c r="BJ3037" s="1"/>
      <c r="BK3037" s="1"/>
      <c r="BL3037" s="1"/>
      <c r="BM3037" s="1"/>
      <c r="BN3037" s="1"/>
      <c r="BO3037" s="1"/>
      <c r="BP3037" s="1"/>
      <c r="BQ3037" s="1"/>
      <c r="BR3037" s="1"/>
      <c r="BS3037" s="1"/>
      <c r="BT3037" s="1"/>
      <c r="BU3037" s="1"/>
      <c r="BV3037" s="1"/>
      <c r="BW3037" s="1"/>
      <c r="BX3037" s="1"/>
      <c r="BY3037" s="1"/>
      <c r="BZ3037" s="1"/>
      <c r="CA3037" s="1"/>
      <c r="CB3037" s="1"/>
      <c r="CC3037" s="1"/>
      <c r="CD3037" s="1"/>
      <c r="CE3037" s="1"/>
      <c r="CF3037" s="1"/>
      <c r="CG3037" s="1"/>
      <c r="CH3037" s="1"/>
      <c r="CI3037" s="1"/>
      <c r="CJ3037" s="1"/>
      <c r="CK3037" s="1"/>
      <c r="CL3037" s="1"/>
      <c r="CM3037" s="1"/>
      <c r="CN3037" s="1"/>
      <c r="CO3037" s="1"/>
      <c r="CP3037" s="1"/>
      <c r="CQ3037" s="1"/>
      <c r="CR3037" s="1"/>
      <c r="CS3037" s="1"/>
      <c r="CT3037" s="1"/>
      <c r="CU3037" s="1"/>
      <c r="CV3037" s="1"/>
      <c r="CW3037" s="1"/>
      <c r="CX3037" s="1"/>
      <c r="CY3037" s="1"/>
      <c r="CZ3037" s="1"/>
      <c r="DA3037" s="1"/>
      <c r="DB3037" s="1"/>
      <c r="DC3037" s="1"/>
      <c r="DD3037" s="1"/>
      <c r="DE3037" s="1"/>
      <c r="DF3037" s="1"/>
      <c r="DG3037" s="1"/>
      <c r="DH3037" s="1"/>
      <c r="DI3037" s="1"/>
      <c r="DJ3037" s="1"/>
      <c r="DK3037" s="1"/>
      <c r="DL3037" s="1"/>
      <c r="DM3037" s="1"/>
      <c r="DN3037" s="1"/>
      <c r="DO3037" s="1"/>
      <c r="DP3037" s="1"/>
      <c r="DQ3037" s="1"/>
      <c r="DR3037" s="1"/>
      <c r="DS3037" s="1"/>
      <c r="DT3037" s="1"/>
      <c r="DU3037" s="1"/>
      <c r="DV3037" s="1"/>
      <c r="DW3037" s="1"/>
      <c r="DX3037" s="1"/>
      <c r="DY3037" s="1"/>
      <c r="DZ3037" s="1"/>
      <c r="EA3037" s="1"/>
      <c r="EB3037" s="1"/>
      <c r="EC3037" s="1"/>
      <c r="ED3037" s="1"/>
      <c r="EE3037" s="1"/>
      <c r="EF3037" s="1"/>
      <c r="EG3037" s="1"/>
      <c r="EH3037" s="1"/>
      <c r="EI3037" s="1"/>
      <c r="EJ3037" s="1"/>
      <c r="EK3037" s="1"/>
      <c r="EL3037" s="1"/>
      <c r="EM3037" s="1"/>
      <c r="EN3037" s="1"/>
      <c r="EO3037" s="1"/>
      <c r="EP3037" s="1"/>
      <c r="EQ3037" s="1"/>
      <c r="ER3037" s="1"/>
      <c r="ES3037" s="1"/>
      <c r="ET3037" s="1"/>
      <c r="EU3037" s="1"/>
      <c r="EV3037" s="1"/>
      <c r="EW3037" s="1"/>
      <c r="EX3037" s="1"/>
      <c r="EY3037" s="1"/>
      <c r="EZ3037" s="1"/>
      <c r="FA3037" s="1"/>
      <c r="FB3037" s="1"/>
      <c r="FC3037" s="1"/>
      <c r="FD3037" s="1"/>
      <c r="FE3037" s="1"/>
      <c r="FF3037" s="1"/>
      <c r="FG3037" s="1"/>
      <c r="FH3037" s="1"/>
      <c r="FI3037" s="1"/>
      <c r="FJ3037" s="1"/>
      <c r="FK3037" s="1"/>
      <c r="FL3037" s="1"/>
      <c r="FM3037" s="1"/>
      <c r="FN3037" s="1"/>
      <c r="FO3037" s="1"/>
      <c r="FP3037" s="1"/>
      <c r="FQ3037" s="1"/>
      <c r="FR3037" s="1"/>
      <c r="FS3037" s="1"/>
      <c r="FT3037" s="1"/>
      <c r="FU3037" s="1"/>
      <c r="FV3037" s="1"/>
      <c r="FW3037" s="1"/>
      <c r="FX3037" s="1"/>
      <c r="FY3037" s="1"/>
      <c r="FZ3037" s="1"/>
      <c r="GA3037" s="1"/>
      <c r="GB3037" s="1"/>
      <c r="GC3037" s="1"/>
      <c r="GD3037" s="1"/>
      <c r="GE3037" s="1"/>
      <c r="GF3037" s="1"/>
      <c r="GG3037" s="1"/>
      <c r="GH3037" s="1"/>
      <c r="GI3037" s="1"/>
      <c r="GJ3037" s="1"/>
      <c r="GK3037" s="1"/>
      <c r="GL3037" s="1"/>
      <c r="GM3037" s="1"/>
      <c r="GN3037" s="1"/>
      <c r="GO3037" s="1"/>
      <c r="GP3037" s="1"/>
      <c r="GQ3037" s="1"/>
      <c r="GR3037" s="1"/>
      <c r="GS3037" s="1"/>
      <c r="GT3037" s="1"/>
      <c r="GU3037" s="1"/>
      <c r="GV3037" s="1"/>
      <c r="GW3037" s="1"/>
      <c r="GX3037" s="1"/>
      <c r="GY3037" s="1"/>
      <c r="GZ3037" s="1"/>
      <c r="HA3037" s="1"/>
      <c r="HB3037" s="1"/>
      <c r="HC3037" s="1"/>
      <c r="HD3037" s="1"/>
      <c r="HE3037" s="1"/>
      <c r="HF3037" s="1"/>
      <c r="HG3037" s="1"/>
      <c r="HH3037" s="1"/>
      <c r="HI3037" s="1"/>
      <c r="HJ3037" s="1"/>
      <c r="HK3037" s="1"/>
      <c r="HL3037" s="1"/>
      <c r="HM3037" s="1"/>
      <c r="HN3037" s="1"/>
      <c r="HO3037" s="1"/>
      <c r="HP3037" s="1"/>
      <c r="HQ3037" s="1"/>
    </row>
    <row r="3038" spans="1:225" x14ac:dyDescent="0.35">
      <c r="A3038" s="258"/>
      <c r="B3038" s="251"/>
      <c r="C3038" s="261"/>
      <c r="D3038" s="264"/>
      <c r="E3038" s="264"/>
      <c r="F3038" s="267"/>
      <c r="G3038" s="258"/>
      <c r="H3038" s="159" t="s">
        <v>76</v>
      </c>
      <c r="I3038" s="158">
        <f>K3038*D3036</f>
        <v>143360</v>
      </c>
      <c r="J3038" s="158">
        <f>I3038/D3036</f>
        <v>112</v>
      </c>
      <c r="K3038" s="158">
        <v>112</v>
      </c>
      <c r="L3038" s="1"/>
      <c r="M3038" s="1"/>
      <c r="N3038" s="1"/>
      <c r="O3038" s="1"/>
      <c r="P3038" s="1"/>
      <c r="Q3038" s="1"/>
      <c r="R3038" s="1"/>
      <c r="S3038" s="1"/>
      <c r="T3038" s="1"/>
      <c r="U3038" s="1"/>
      <c r="V3038" s="1"/>
      <c r="W3038" s="1"/>
      <c r="X3038" s="1"/>
      <c r="Y3038" s="1"/>
      <c r="Z3038" s="1"/>
      <c r="AA3038" s="1"/>
      <c r="AB3038" s="1"/>
      <c r="AC3038" s="1"/>
      <c r="AD3038" s="1"/>
      <c r="AE3038" s="1"/>
      <c r="AF3038" s="1"/>
      <c r="AG3038" s="1"/>
      <c r="AH3038" s="1"/>
      <c r="AI3038" s="1"/>
      <c r="AJ3038" s="1"/>
      <c r="AK3038" s="1"/>
      <c r="AL3038" s="1"/>
      <c r="AM3038" s="1"/>
      <c r="AN3038" s="1"/>
      <c r="AO3038" s="1"/>
      <c r="AP3038" s="1"/>
      <c r="AQ3038" s="1"/>
      <c r="AR3038" s="1"/>
      <c r="AS3038" s="1"/>
      <c r="AT3038" s="1"/>
      <c r="AU3038" s="1"/>
      <c r="AV3038" s="1"/>
      <c r="AW3038" s="1"/>
      <c r="AX3038" s="1"/>
      <c r="AY3038" s="1"/>
      <c r="AZ3038" s="1"/>
      <c r="BA3038" s="1"/>
      <c r="BB3038" s="1"/>
      <c r="BC3038" s="1"/>
      <c r="BD3038" s="1"/>
      <c r="BE3038" s="1"/>
      <c r="BF3038" s="1"/>
      <c r="BG3038" s="1"/>
      <c r="BH3038" s="1"/>
      <c r="BI3038" s="1"/>
      <c r="BJ3038" s="1"/>
      <c r="BK3038" s="1"/>
      <c r="BL3038" s="1"/>
      <c r="BM3038" s="1"/>
      <c r="BN3038" s="1"/>
      <c r="BO3038" s="1"/>
      <c r="BP3038" s="1"/>
      <c r="BQ3038" s="1"/>
      <c r="BR3038" s="1"/>
      <c r="BS3038" s="1"/>
      <c r="BT3038" s="1"/>
      <c r="BU3038" s="1"/>
      <c r="BV3038" s="1"/>
      <c r="BW3038" s="1"/>
      <c r="BX3038" s="1"/>
      <c r="BY3038" s="1"/>
      <c r="BZ3038" s="1"/>
      <c r="CA3038" s="1"/>
      <c r="CB3038" s="1"/>
      <c r="CC3038" s="1"/>
      <c r="CD3038" s="1"/>
      <c r="CE3038" s="1"/>
      <c r="CF3038" s="1"/>
      <c r="CG3038" s="1"/>
      <c r="CH3038" s="1"/>
      <c r="CI3038" s="1"/>
      <c r="CJ3038" s="1"/>
      <c r="CK3038" s="1"/>
      <c r="CL3038" s="1"/>
      <c r="CM3038" s="1"/>
      <c r="CN3038" s="1"/>
      <c r="CO3038" s="1"/>
      <c r="CP3038" s="1"/>
      <c r="CQ3038" s="1"/>
      <c r="CR3038" s="1"/>
      <c r="CS3038" s="1"/>
      <c r="CT3038" s="1"/>
      <c r="CU3038" s="1"/>
      <c r="CV3038" s="1"/>
      <c r="CW3038" s="1"/>
      <c r="CX3038" s="1"/>
      <c r="CY3038" s="1"/>
      <c r="CZ3038" s="1"/>
      <c r="DA3038" s="1"/>
      <c r="DB3038" s="1"/>
      <c r="DC3038" s="1"/>
      <c r="DD3038" s="1"/>
      <c r="DE3038" s="1"/>
      <c r="DF3038" s="1"/>
      <c r="DG3038" s="1"/>
      <c r="DH3038" s="1"/>
      <c r="DI3038" s="1"/>
      <c r="DJ3038" s="1"/>
      <c r="DK3038" s="1"/>
      <c r="DL3038" s="1"/>
      <c r="DM3038" s="1"/>
      <c r="DN3038" s="1"/>
      <c r="DO3038" s="1"/>
      <c r="DP3038" s="1"/>
      <c r="DQ3038" s="1"/>
      <c r="DR3038" s="1"/>
      <c r="DS3038" s="1"/>
      <c r="DT3038" s="1"/>
      <c r="DU3038" s="1"/>
      <c r="DV3038" s="1"/>
      <c r="DW3038" s="1"/>
      <c r="DX3038" s="1"/>
      <c r="DY3038" s="1"/>
      <c r="DZ3038" s="1"/>
      <c r="EA3038" s="1"/>
      <c r="EB3038" s="1"/>
      <c r="EC3038" s="1"/>
      <c r="ED3038" s="1"/>
      <c r="EE3038" s="1"/>
      <c r="EF3038" s="1"/>
      <c r="EG3038" s="1"/>
      <c r="EH3038" s="1"/>
      <c r="EI3038" s="1"/>
      <c r="EJ3038" s="1"/>
      <c r="EK3038" s="1"/>
      <c r="EL3038" s="1"/>
      <c r="EM3038" s="1"/>
      <c r="EN3038" s="1"/>
      <c r="EO3038" s="1"/>
      <c r="EP3038" s="1"/>
      <c r="EQ3038" s="1"/>
      <c r="ER3038" s="1"/>
      <c r="ES3038" s="1"/>
      <c r="ET3038" s="1"/>
      <c r="EU3038" s="1"/>
      <c r="EV3038" s="1"/>
      <c r="EW3038" s="1"/>
      <c r="EX3038" s="1"/>
      <c r="EY3038" s="1"/>
      <c r="EZ3038" s="1"/>
      <c r="FA3038" s="1"/>
      <c r="FB3038" s="1"/>
      <c r="FC3038" s="1"/>
      <c r="FD3038" s="1"/>
      <c r="FE3038" s="1"/>
      <c r="FF3038" s="1"/>
      <c r="FG3038" s="1"/>
      <c r="FH3038" s="1"/>
      <c r="FI3038" s="1"/>
      <c r="FJ3038" s="1"/>
      <c r="FK3038" s="1"/>
      <c r="FL3038" s="1"/>
      <c r="FM3038" s="1"/>
      <c r="FN3038" s="1"/>
      <c r="FO3038" s="1"/>
      <c r="FP3038" s="1"/>
      <c r="FQ3038" s="1"/>
      <c r="FR3038" s="1"/>
      <c r="FS3038" s="1"/>
      <c r="FT3038" s="1"/>
      <c r="FU3038" s="1"/>
      <c r="FV3038" s="1"/>
      <c r="FW3038" s="1"/>
      <c r="FX3038" s="1"/>
      <c r="FY3038" s="1"/>
      <c r="FZ3038" s="1"/>
      <c r="GA3038" s="1"/>
      <c r="GB3038" s="1"/>
      <c r="GC3038" s="1"/>
      <c r="GD3038" s="1"/>
      <c r="GE3038" s="1"/>
      <c r="GF3038" s="1"/>
      <c r="GG3038" s="1"/>
      <c r="GH3038" s="1"/>
      <c r="GI3038" s="1"/>
      <c r="GJ3038" s="1"/>
      <c r="GK3038" s="1"/>
      <c r="GL3038" s="1"/>
      <c r="GM3038" s="1"/>
      <c r="GN3038" s="1"/>
      <c r="GO3038" s="1"/>
      <c r="GP3038" s="1"/>
      <c r="GQ3038" s="1"/>
      <c r="GR3038" s="1"/>
      <c r="GS3038" s="1"/>
      <c r="GT3038" s="1"/>
      <c r="GU3038" s="1"/>
      <c r="GV3038" s="1"/>
      <c r="GW3038" s="1"/>
      <c r="GX3038" s="1"/>
      <c r="GY3038" s="1"/>
      <c r="GZ3038" s="1"/>
      <c r="HA3038" s="1"/>
      <c r="HB3038" s="1"/>
      <c r="HC3038" s="1"/>
      <c r="HD3038" s="1"/>
      <c r="HE3038" s="1"/>
      <c r="HF3038" s="1"/>
      <c r="HG3038" s="1"/>
      <c r="HH3038" s="1"/>
      <c r="HI3038" s="1"/>
      <c r="HJ3038" s="1"/>
      <c r="HK3038" s="1"/>
      <c r="HL3038" s="1"/>
      <c r="HM3038" s="1"/>
      <c r="HN3038" s="1"/>
      <c r="HO3038" s="1"/>
      <c r="HP3038" s="1"/>
      <c r="HQ3038" s="1"/>
    </row>
    <row r="3039" spans="1:225" x14ac:dyDescent="0.35">
      <c r="A3039" s="153" t="s">
        <v>42</v>
      </c>
      <c r="B3039" s="147"/>
      <c r="C3039" s="73"/>
      <c r="D3039" s="142">
        <f>D3040</f>
        <v>400</v>
      </c>
      <c r="E3039" s="51"/>
      <c r="F3039" s="51"/>
      <c r="G3039" s="70"/>
      <c r="H3039" s="70"/>
      <c r="I3039" s="158">
        <f>I3040</f>
        <v>3015600</v>
      </c>
      <c r="J3039" s="158"/>
      <c r="K3039" s="158"/>
    </row>
    <row r="3040" spans="1:225" ht="15.75" customHeight="1" x14ac:dyDescent="0.35">
      <c r="A3040" s="256">
        <v>1</v>
      </c>
      <c r="B3040" s="302">
        <v>6812</v>
      </c>
      <c r="C3040" s="259" t="s">
        <v>637</v>
      </c>
      <c r="D3040" s="262">
        <v>400</v>
      </c>
      <c r="E3040" s="265" t="s">
        <v>665</v>
      </c>
      <c r="F3040" s="265">
        <v>2</v>
      </c>
      <c r="G3040" s="256" t="s">
        <v>72</v>
      </c>
      <c r="H3040" s="159" t="s">
        <v>73</v>
      </c>
      <c r="I3040" s="158">
        <f>I3041+I3042</f>
        <v>3015600</v>
      </c>
      <c r="J3040" s="158">
        <f>J3041+J3042</f>
        <v>7539</v>
      </c>
      <c r="K3040" s="158">
        <f>K3041+K3042</f>
        <v>7539</v>
      </c>
      <c r="L3040" s="1"/>
      <c r="M3040" s="1"/>
      <c r="N3040" s="1"/>
      <c r="O3040" s="1"/>
      <c r="P3040" s="1"/>
      <c r="Q3040" s="1"/>
      <c r="R3040" s="1"/>
      <c r="S3040" s="1"/>
      <c r="T3040" s="1"/>
      <c r="U3040" s="1"/>
      <c r="V3040" s="1"/>
      <c r="W3040" s="1"/>
      <c r="X3040" s="1"/>
      <c r="Y3040" s="1"/>
      <c r="Z3040" s="1"/>
      <c r="AA3040" s="1"/>
      <c r="AB3040" s="1"/>
      <c r="AC3040" s="1"/>
      <c r="AD3040" s="1"/>
      <c r="AE3040" s="1"/>
      <c r="AF3040" s="1"/>
      <c r="AG3040" s="1"/>
      <c r="AH3040" s="1"/>
      <c r="AI3040" s="1"/>
      <c r="AJ3040" s="1"/>
      <c r="AK3040" s="1"/>
      <c r="AL3040" s="1"/>
      <c r="AM3040" s="1"/>
      <c r="AN3040" s="1"/>
      <c r="AO3040" s="1"/>
      <c r="AP3040" s="1"/>
      <c r="AQ3040" s="1"/>
      <c r="AR3040" s="1"/>
      <c r="AS3040" s="1"/>
      <c r="AT3040" s="1"/>
      <c r="AU3040" s="1"/>
      <c r="AV3040" s="1"/>
      <c r="AW3040" s="1"/>
      <c r="AX3040" s="1"/>
      <c r="AY3040" s="1"/>
      <c r="AZ3040" s="1"/>
      <c r="BA3040" s="1"/>
      <c r="BB3040" s="1"/>
      <c r="BC3040" s="1"/>
      <c r="BD3040" s="1"/>
      <c r="BE3040" s="1"/>
      <c r="BF3040" s="1"/>
      <c r="BG3040" s="1"/>
      <c r="BH3040" s="1"/>
      <c r="BI3040" s="1"/>
      <c r="BJ3040" s="1"/>
      <c r="BK3040" s="1"/>
      <c r="BL3040" s="1"/>
      <c r="BM3040" s="1"/>
      <c r="BN3040" s="1"/>
      <c r="BO3040" s="1"/>
      <c r="BP3040" s="1"/>
      <c r="BQ3040" s="1"/>
      <c r="BR3040" s="1"/>
      <c r="BS3040" s="1"/>
      <c r="BT3040" s="1"/>
      <c r="BU3040" s="1"/>
      <c r="BV3040" s="1"/>
      <c r="BW3040" s="1"/>
      <c r="BX3040" s="1"/>
      <c r="BY3040" s="1"/>
      <c r="BZ3040" s="1"/>
      <c r="CA3040" s="1"/>
      <c r="CB3040" s="1"/>
      <c r="CC3040" s="1"/>
      <c r="CD3040" s="1"/>
      <c r="CE3040" s="1"/>
      <c r="CF3040" s="1"/>
      <c r="CG3040" s="1"/>
      <c r="CH3040" s="1"/>
      <c r="CI3040" s="1"/>
      <c r="CJ3040" s="1"/>
      <c r="CK3040" s="1"/>
      <c r="CL3040" s="1"/>
      <c r="CM3040" s="1"/>
      <c r="CN3040" s="1"/>
      <c r="CO3040" s="1"/>
      <c r="CP3040" s="1"/>
      <c r="CQ3040" s="1"/>
      <c r="CR3040" s="1"/>
      <c r="CS3040" s="1"/>
      <c r="CT3040" s="1"/>
      <c r="CU3040" s="1"/>
      <c r="CV3040" s="1"/>
      <c r="CW3040" s="1"/>
      <c r="CX3040" s="1"/>
      <c r="CY3040" s="1"/>
      <c r="CZ3040" s="1"/>
      <c r="DA3040" s="1"/>
      <c r="DB3040" s="1"/>
      <c r="DC3040" s="1"/>
      <c r="DD3040" s="1"/>
      <c r="DE3040" s="1"/>
      <c r="DF3040" s="1"/>
      <c r="DG3040" s="1"/>
      <c r="DH3040" s="1"/>
      <c r="DI3040" s="1"/>
      <c r="DJ3040" s="1"/>
      <c r="DK3040" s="1"/>
      <c r="DL3040" s="1"/>
      <c r="DM3040" s="1"/>
      <c r="DN3040" s="1"/>
      <c r="DO3040" s="1"/>
      <c r="DP3040" s="1"/>
      <c r="DQ3040" s="1"/>
      <c r="DR3040" s="1"/>
      <c r="DS3040" s="1"/>
      <c r="DT3040" s="1"/>
      <c r="DU3040" s="1"/>
      <c r="DV3040" s="1"/>
      <c r="DW3040" s="1"/>
      <c r="DX3040" s="1"/>
      <c r="DY3040" s="1"/>
      <c r="DZ3040" s="1"/>
      <c r="EA3040" s="1"/>
      <c r="EB3040" s="1"/>
      <c r="EC3040" s="1"/>
      <c r="ED3040" s="1"/>
      <c r="EE3040" s="1"/>
      <c r="EF3040" s="1"/>
      <c r="EG3040" s="1"/>
      <c r="EH3040" s="1"/>
      <c r="EI3040" s="1"/>
      <c r="EJ3040" s="1"/>
      <c r="EK3040" s="1"/>
      <c r="EL3040" s="1"/>
      <c r="EM3040" s="1"/>
      <c r="EN3040" s="1"/>
      <c r="EO3040" s="1"/>
      <c r="EP3040" s="1"/>
      <c r="EQ3040" s="1"/>
      <c r="ER3040" s="1"/>
      <c r="ES3040" s="1"/>
      <c r="ET3040" s="1"/>
      <c r="EU3040" s="1"/>
      <c r="EV3040" s="1"/>
      <c r="EW3040" s="1"/>
      <c r="EX3040" s="1"/>
      <c r="EY3040" s="1"/>
      <c r="EZ3040" s="1"/>
      <c r="FA3040" s="1"/>
      <c r="FB3040" s="1"/>
      <c r="FC3040" s="1"/>
      <c r="FD3040" s="1"/>
      <c r="FE3040" s="1"/>
      <c r="FF3040" s="1"/>
      <c r="FG3040" s="1"/>
      <c r="FH3040" s="1"/>
      <c r="FI3040" s="1"/>
      <c r="FJ3040" s="1"/>
      <c r="FK3040" s="1"/>
      <c r="FL3040" s="1"/>
      <c r="FM3040" s="1"/>
      <c r="FN3040" s="1"/>
      <c r="FO3040" s="1"/>
      <c r="FP3040" s="1"/>
      <c r="FQ3040" s="1"/>
      <c r="FR3040" s="1"/>
      <c r="FS3040" s="1"/>
      <c r="FT3040" s="1"/>
      <c r="FU3040" s="1"/>
      <c r="FV3040" s="1"/>
      <c r="FW3040" s="1"/>
      <c r="FX3040" s="1"/>
      <c r="FY3040" s="1"/>
      <c r="FZ3040" s="1"/>
      <c r="GA3040" s="1"/>
      <c r="GB3040" s="1"/>
      <c r="GC3040" s="1"/>
      <c r="GD3040" s="1"/>
      <c r="GE3040" s="1"/>
      <c r="GF3040" s="1"/>
      <c r="GG3040" s="1"/>
      <c r="GH3040" s="1"/>
      <c r="GI3040" s="1"/>
      <c r="GJ3040" s="1"/>
      <c r="GK3040" s="1"/>
      <c r="GL3040" s="1"/>
      <c r="GM3040" s="1"/>
      <c r="GN3040" s="1"/>
      <c r="GO3040" s="1"/>
      <c r="GP3040" s="1"/>
      <c r="GQ3040" s="1"/>
      <c r="GR3040" s="1"/>
      <c r="GS3040" s="1"/>
      <c r="GT3040" s="1"/>
      <c r="GU3040" s="1"/>
      <c r="GV3040" s="1"/>
      <c r="GW3040" s="1"/>
      <c r="GX3040" s="1"/>
      <c r="GY3040" s="1"/>
      <c r="GZ3040" s="1"/>
      <c r="HA3040" s="1"/>
      <c r="HB3040" s="1"/>
      <c r="HC3040" s="1"/>
      <c r="HD3040" s="1"/>
      <c r="HE3040" s="1"/>
      <c r="HF3040" s="1"/>
      <c r="HG3040" s="1"/>
      <c r="HH3040" s="1"/>
      <c r="HI3040" s="1"/>
      <c r="HJ3040" s="1"/>
      <c r="HK3040" s="1"/>
      <c r="HL3040" s="1"/>
      <c r="HM3040" s="1"/>
      <c r="HN3040" s="1"/>
      <c r="HO3040" s="1"/>
      <c r="HP3040" s="1"/>
      <c r="HQ3040" s="1"/>
    </row>
    <row r="3041" spans="1:225" x14ac:dyDescent="0.35">
      <c r="A3041" s="257">
        <v>1134</v>
      </c>
      <c r="B3041" s="303"/>
      <c r="C3041" s="260"/>
      <c r="D3041" s="263"/>
      <c r="E3041" s="266"/>
      <c r="F3041" s="266"/>
      <c r="G3041" s="257"/>
      <c r="H3041" s="159" t="s">
        <v>74</v>
      </c>
      <c r="I3041" s="158">
        <f>K3041*D3040</f>
        <v>2952400</v>
      </c>
      <c r="J3041" s="158">
        <f>I3041/D3040</f>
        <v>7381</v>
      </c>
      <c r="K3041" s="158">
        <v>7381</v>
      </c>
      <c r="L3041" s="1"/>
      <c r="M3041" s="1"/>
      <c r="N3041" s="1"/>
      <c r="O3041" s="1"/>
      <c r="P3041" s="1"/>
      <c r="Q3041" s="1"/>
      <c r="R3041" s="1"/>
      <c r="S3041" s="1"/>
      <c r="T3041" s="1"/>
      <c r="U3041" s="1"/>
      <c r="V3041" s="1"/>
      <c r="W3041" s="1"/>
      <c r="X3041" s="1"/>
      <c r="Y3041" s="1"/>
      <c r="Z3041" s="1"/>
      <c r="AA3041" s="1"/>
      <c r="AB3041" s="1"/>
      <c r="AC3041" s="1"/>
      <c r="AD3041" s="1"/>
      <c r="AE3041" s="1"/>
      <c r="AF3041" s="1"/>
      <c r="AG3041" s="1"/>
      <c r="AH3041" s="1"/>
      <c r="AI3041" s="1"/>
      <c r="AJ3041" s="1"/>
      <c r="AK3041" s="1"/>
      <c r="AL3041" s="1"/>
      <c r="AM3041" s="1"/>
      <c r="AN3041" s="1"/>
      <c r="AO3041" s="1"/>
      <c r="AP3041" s="1"/>
      <c r="AQ3041" s="1"/>
      <c r="AR3041" s="1"/>
      <c r="AS3041" s="1"/>
      <c r="AT3041" s="1"/>
      <c r="AU3041" s="1"/>
      <c r="AV3041" s="1"/>
      <c r="AW3041" s="1"/>
      <c r="AX3041" s="1"/>
      <c r="AY3041" s="1"/>
      <c r="AZ3041" s="1"/>
      <c r="BA3041" s="1"/>
      <c r="BB3041" s="1"/>
      <c r="BC3041" s="1"/>
      <c r="BD3041" s="1"/>
      <c r="BE3041" s="1"/>
      <c r="BF3041" s="1"/>
      <c r="BG3041" s="1"/>
      <c r="BH3041" s="1"/>
      <c r="BI3041" s="1"/>
      <c r="BJ3041" s="1"/>
      <c r="BK3041" s="1"/>
      <c r="BL3041" s="1"/>
      <c r="BM3041" s="1"/>
      <c r="BN3041" s="1"/>
      <c r="BO3041" s="1"/>
      <c r="BP3041" s="1"/>
      <c r="BQ3041" s="1"/>
      <c r="BR3041" s="1"/>
      <c r="BS3041" s="1"/>
      <c r="BT3041" s="1"/>
      <c r="BU3041" s="1"/>
      <c r="BV3041" s="1"/>
      <c r="BW3041" s="1"/>
      <c r="BX3041" s="1"/>
      <c r="BY3041" s="1"/>
      <c r="BZ3041" s="1"/>
      <c r="CA3041" s="1"/>
      <c r="CB3041" s="1"/>
      <c r="CC3041" s="1"/>
      <c r="CD3041" s="1"/>
      <c r="CE3041" s="1"/>
      <c r="CF3041" s="1"/>
      <c r="CG3041" s="1"/>
      <c r="CH3041" s="1"/>
      <c r="CI3041" s="1"/>
      <c r="CJ3041" s="1"/>
      <c r="CK3041" s="1"/>
      <c r="CL3041" s="1"/>
      <c r="CM3041" s="1"/>
      <c r="CN3041" s="1"/>
      <c r="CO3041" s="1"/>
      <c r="CP3041" s="1"/>
      <c r="CQ3041" s="1"/>
      <c r="CR3041" s="1"/>
      <c r="CS3041" s="1"/>
      <c r="CT3041" s="1"/>
      <c r="CU3041" s="1"/>
      <c r="CV3041" s="1"/>
      <c r="CW3041" s="1"/>
      <c r="CX3041" s="1"/>
      <c r="CY3041" s="1"/>
      <c r="CZ3041" s="1"/>
      <c r="DA3041" s="1"/>
      <c r="DB3041" s="1"/>
      <c r="DC3041" s="1"/>
      <c r="DD3041" s="1"/>
      <c r="DE3041" s="1"/>
      <c r="DF3041" s="1"/>
      <c r="DG3041" s="1"/>
      <c r="DH3041" s="1"/>
      <c r="DI3041" s="1"/>
      <c r="DJ3041" s="1"/>
      <c r="DK3041" s="1"/>
      <c r="DL3041" s="1"/>
      <c r="DM3041" s="1"/>
      <c r="DN3041" s="1"/>
      <c r="DO3041" s="1"/>
      <c r="DP3041" s="1"/>
      <c r="DQ3041" s="1"/>
      <c r="DR3041" s="1"/>
      <c r="DS3041" s="1"/>
      <c r="DT3041" s="1"/>
      <c r="DU3041" s="1"/>
      <c r="DV3041" s="1"/>
      <c r="DW3041" s="1"/>
      <c r="DX3041" s="1"/>
      <c r="DY3041" s="1"/>
      <c r="DZ3041" s="1"/>
      <c r="EA3041" s="1"/>
      <c r="EB3041" s="1"/>
      <c r="EC3041" s="1"/>
      <c r="ED3041" s="1"/>
      <c r="EE3041" s="1"/>
      <c r="EF3041" s="1"/>
      <c r="EG3041" s="1"/>
      <c r="EH3041" s="1"/>
      <c r="EI3041" s="1"/>
      <c r="EJ3041" s="1"/>
      <c r="EK3041" s="1"/>
      <c r="EL3041" s="1"/>
      <c r="EM3041" s="1"/>
      <c r="EN3041" s="1"/>
      <c r="EO3041" s="1"/>
      <c r="EP3041" s="1"/>
      <c r="EQ3041" s="1"/>
      <c r="ER3041" s="1"/>
      <c r="ES3041" s="1"/>
      <c r="ET3041" s="1"/>
      <c r="EU3041" s="1"/>
      <c r="EV3041" s="1"/>
      <c r="EW3041" s="1"/>
      <c r="EX3041" s="1"/>
      <c r="EY3041" s="1"/>
      <c r="EZ3041" s="1"/>
      <c r="FA3041" s="1"/>
      <c r="FB3041" s="1"/>
      <c r="FC3041" s="1"/>
      <c r="FD3041" s="1"/>
      <c r="FE3041" s="1"/>
      <c r="FF3041" s="1"/>
      <c r="FG3041" s="1"/>
      <c r="FH3041" s="1"/>
      <c r="FI3041" s="1"/>
      <c r="FJ3041" s="1"/>
      <c r="FK3041" s="1"/>
      <c r="FL3041" s="1"/>
      <c r="FM3041" s="1"/>
      <c r="FN3041" s="1"/>
      <c r="FO3041" s="1"/>
      <c r="FP3041" s="1"/>
      <c r="FQ3041" s="1"/>
      <c r="FR3041" s="1"/>
      <c r="FS3041" s="1"/>
      <c r="FT3041" s="1"/>
      <c r="FU3041" s="1"/>
      <c r="FV3041" s="1"/>
      <c r="FW3041" s="1"/>
      <c r="FX3041" s="1"/>
      <c r="FY3041" s="1"/>
      <c r="FZ3041" s="1"/>
      <c r="GA3041" s="1"/>
      <c r="GB3041" s="1"/>
      <c r="GC3041" s="1"/>
      <c r="GD3041" s="1"/>
      <c r="GE3041" s="1"/>
      <c r="GF3041" s="1"/>
      <c r="GG3041" s="1"/>
      <c r="GH3041" s="1"/>
      <c r="GI3041" s="1"/>
      <c r="GJ3041" s="1"/>
      <c r="GK3041" s="1"/>
      <c r="GL3041" s="1"/>
      <c r="GM3041" s="1"/>
      <c r="GN3041" s="1"/>
      <c r="GO3041" s="1"/>
      <c r="GP3041" s="1"/>
      <c r="GQ3041" s="1"/>
      <c r="GR3041" s="1"/>
      <c r="GS3041" s="1"/>
      <c r="GT3041" s="1"/>
      <c r="GU3041" s="1"/>
      <c r="GV3041" s="1"/>
      <c r="GW3041" s="1"/>
      <c r="GX3041" s="1"/>
      <c r="GY3041" s="1"/>
      <c r="GZ3041" s="1"/>
      <c r="HA3041" s="1"/>
      <c r="HB3041" s="1"/>
      <c r="HC3041" s="1"/>
      <c r="HD3041" s="1"/>
      <c r="HE3041" s="1"/>
      <c r="HF3041" s="1"/>
      <c r="HG3041" s="1"/>
      <c r="HH3041" s="1"/>
      <c r="HI3041" s="1"/>
      <c r="HJ3041" s="1"/>
      <c r="HK3041" s="1"/>
      <c r="HL3041" s="1"/>
      <c r="HM3041" s="1"/>
      <c r="HN3041" s="1"/>
      <c r="HO3041" s="1"/>
      <c r="HP3041" s="1"/>
      <c r="HQ3041" s="1"/>
    </row>
    <row r="3042" spans="1:225" x14ac:dyDescent="0.35">
      <c r="A3042" s="258">
        <v>1135</v>
      </c>
      <c r="B3042" s="304"/>
      <c r="C3042" s="261"/>
      <c r="D3042" s="264"/>
      <c r="E3042" s="267"/>
      <c r="F3042" s="267"/>
      <c r="G3042" s="258"/>
      <c r="H3042" s="159" t="s">
        <v>76</v>
      </c>
      <c r="I3042" s="158">
        <f>K3042*D3040</f>
        <v>63200</v>
      </c>
      <c r="J3042" s="158">
        <f>I3042/D3040</f>
        <v>158</v>
      </c>
      <c r="K3042" s="158">
        <v>158</v>
      </c>
      <c r="L3042" s="1"/>
      <c r="M3042" s="1"/>
      <c r="N3042" s="1"/>
      <c r="O3042" s="1"/>
      <c r="P3042" s="1"/>
      <c r="Q3042" s="1"/>
      <c r="R3042" s="1"/>
      <c r="S3042" s="1"/>
      <c r="T3042" s="1"/>
      <c r="U3042" s="1"/>
      <c r="V3042" s="1"/>
      <c r="W3042" s="1"/>
      <c r="X3042" s="1"/>
      <c r="Y3042" s="1"/>
      <c r="Z3042" s="1"/>
      <c r="AA3042" s="1"/>
      <c r="AB3042" s="1"/>
      <c r="AC3042" s="1"/>
      <c r="AD3042" s="1"/>
      <c r="AE3042" s="1"/>
      <c r="AF3042" s="1"/>
      <c r="AG3042" s="1"/>
      <c r="AH3042" s="1"/>
      <c r="AI3042" s="1"/>
      <c r="AJ3042" s="1"/>
      <c r="AK3042" s="1"/>
      <c r="AL3042" s="1"/>
      <c r="AM3042" s="1"/>
      <c r="AN3042" s="1"/>
      <c r="AO3042" s="1"/>
      <c r="AP3042" s="1"/>
      <c r="AQ3042" s="1"/>
      <c r="AR3042" s="1"/>
      <c r="AS3042" s="1"/>
      <c r="AT3042" s="1"/>
      <c r="AU3042" s="1"/>
      <c r="AV3042" s="1"/>
      <c r="AW3042" s="1"/>
      <c r="AX3042" s="1"/>
      <c r="AY3042" s="1"/>
      <c r="AZ3042" s="1"/>
      <c r="BA3042" s="1"/>
      <c r="BB3042" s="1"/>
      <c r="BC3042" s="1"/>
      <c r="BD3042" s="1"/>
      <c r="BE3042" s="1"/>
      <c r="BF3042" s="1"/>
      <c r="BG3042" s="1"/>
      <c r="BH3042" s="1"/>
      <c r="BI3042" s="1"/>
      <c r="BJ3042" s="1"/>
      <c r="BK3042" s="1"/>
      <c r="BL3042" s="1"/>
      <c r="BM3042" s="1"/>
      <c r="BN3042" s="1"/>
      <c r="BO3042" s="1"/>
      <c r="BP3042" s="1"/>
      <c r="BQ3042" s="1"/>
      <c r="BR3042" s="1"/>
      <c r="BS3042" s="1"/>
      <c r="BT3042" s="1"/>
      <c r="BU3042" s="1"/>
      <c r="BV3042" s="1"/>
      <c r="BW3042" s="1"/>
      <c r="BX3042" s="1"/>
      <c r="BY3042" s="1"/>
      <c r="BZ3042" s="1"/>
      <c r="CA3042" s="1"/>
      <c r="CB3042" s="1"/>
      <c r="CC3042" s="1"/>
      <c r="CD3042" s="1"/>
      <c r="CE3042" s="1"/>
      <c r="CF3042" s="1"/>
      <c r="CG3042" s="1"/>
      <c r="CH3042" s="1"/>
      <c r="CI3042" s="1"/>
      <c r="CJ3042" s="1"/>
      <c r="CK3042" s="1"/>
      <c r="CL3042" s="1"/>
      <c r="CM3042" s="1"/>
      <c r="CN3042" s="1"/>
      <c r="CO3042" s="1"/>
      <c r="CP3042" s="1"/>
      <c r="CQ3042" s="1"/>
      <c r="CR3042" s="1"/>
      <c r="CS3042" s="1"/>
      <c r="CT3042" s="1"/>
      <c r="CU3042" s="1"/>
      <c r="CV3042" s="1"/>
      <c r="CW3042" s="1"/>
      <c r="CX3042" s="1"/>
      <c r="CY3042" s="1"/>
      <c r="CZ3042" s="1"/>
      <c r="DA3042" s="1"/>
      <c r="DB3042" s="1"/>
      <c r="DC3042" s="1"/>
      <c r="DD3042" s="1"/>
      <c r="DE3042" s="1"/>
      <c r="DF3042" s="1"/>
      <c r="DG3042" s="1"/>
      <c r="DH3042" s="1"/>
      <c r="DI3042" s="1"/>
      <c r="DJ3042" s="1"/>
      <c r="DK3042" s="1"/>
      <c r="DL3042" s="1"/>
      <c r="DM3042" s="1"/>
      <c r="DN3042" s="1"/>
      <c r="DO3042" s="1"/>
      <c r="DP3042" s="1"/>
      <c r="DQ3042" s="1"/>
      <c r="DR3042" s="1"/>
      <c r="DS3042" s="1"/>
      <c r="DT3042" s="1"/>
      <c r="DU3042" s="1"/>
      <c r="DV3042" s="1"/>
      <c r="DW3042" s="1"/>
      <c r="DX3042" s="1"/>
      <c r="DY3042" s="1"/>
      <c r="DZ3042" s="1"/>
      <c r="EA3042" s="1"/>
      <c r="EB3042" s="1"/>
      <c r="EC3042" s="1"/>
      <c r="ED3042" s="1"/>
      <c r="EE3042" s="1"/>
      <c r="EF3042" s="1"/>
      <c r="EG3042" s="1"/>
      <c r="EH3042" s="1"/>
      <c r="EI3042" s="1"/>
      <c r="EJ3042" s="1"/>
      <c r="EK3042" s="1"/>
      <c r="EL3042" s="1"/>
      <c r="EM3042" s="1"/>
      <c r="EN3042" s="1"/>
      <c r="EO3042" s="1"/>
      <c r="EP3042" s="1"/>
      <c r="EQ3042" s="1"/>
      <c r="ER3042" s="1"/>
      <c r="ES3042" s="1"/>
      <c r="ET3042" s="1"/>
      <c r="EU3042" s="1"/>
      <c r="EV3042" s="1"/>
      <c r="EW3042" s="1"/>
      <c r="EX3042" s="1"/>
      <c r="EY3042" s="1"/>
      <c r="EZ3042" s="1"/>
      <c r="FA3042" s="1"/>
      <c r="FB3042" s="1"/>
      <c r="FC3042" s="1"/>
      <c r="FD3042" s="1"/>
      <c r="FE3042" s="1"/>
      <c r="FF3042" s="1"/>
      <c r="FG3042" s="1"/>
      <c r="FH3042" s="1"/>
      <c r="FI3042" s="1"/>
      <c r="FJ3042" s="1"/>
      <c r="FK3042" s="1"/>
      <c r="FL3042" s="1"/>
      <c r="FM3042" s="1"/>
      <c r="FN3042" s="1"/>
      <c r="FO3042" s="1"/>
      <c r="FP3042" s="1"/>
      <c r="FQ3042" s="1"/>
      <c r="FR3042" s="1"/>
      <c r="FS3042" s="1"/>
      <c r="FT3042" s="1"/>
      <c r="FU3042" s="1"/>
      <c r="FV3042" s="1"/>
      <c r="FW3042" s="1"/>
      <c r="FX3042" s="1"/>
      <c r="FY3042" s="1"/>
      <c r="FZ3042" s="1"/>
      <c r="GA3042" s="1"/>
      <c r="GB3042" s="1"/>
      <c r="GC3042" s="1"/>
      <c r="GD3042" s="1"/>
      <c r="GE3042" s="1"/>
      <c r="GF3042" s="1"/>
      <c r="GG3042" s="1"/>
      <c r="GH3042" s="1"/>
      <c r="GI3042" s="1"/>
      <c r="GJ3042" s="1"/>
      <c r="GK3042" s="1"/>
      <c r="GL3042" s="1"/>
      <c r="GM3042" s="1"/>
      <c r="GN3042" s="1"/>
      <c r="GO3042" s="1"/>
      <c r="GP3042" s="1"/>
      <c r="GQ3042" s="1"/>
      <c r="GR3042" s="1"/>
      <c r="GS3042" s="1"/>
      <c r="GT3042" s="1"/>
      <c r="GU3042" s="1"/>
      <c r="GV3042" s="1"/>
      <c r="GW3042" s="1"/>
      <c r="GX3042" s="1"/>
      <c r="GY3042" s="1"/>
      <c r="GZ3042" s="1"/>
      <c r="HA3042" s="1"/>
      <c r="HB3042" s="1"/>
      <c r="HC3042" s="1"/>
      <c r="HD3042" s="1"/>
      <c r="HE3042" s="1"/>
      <c r="HF3042" s="1"/>
      <c r="HG3042" s="1"/>
      <c r="HH3042" s="1"/>
      <c r="HI3042" s="1"/>
      <c r="HJ3042" s="1"/>
      <c r="HK3042" s="1"/>
      <c r="HL3042" s="1"/>
      <c r="HM3042" s="1"/>
      <c r="HN3042" s="1"/>
      <c r="HO3042" s="1"/>
      <c r="HP3042" s="1"/>
      <c r="HQ3042" s="1"/>
    </row>
    <row r="3043" spans="1:225" ht="15.75" customHeight="1" x14ac:dyDescent="0.35">
      <c r="A3043" s="212" t="s">
        <v>43</v>
      </c>
      <c r="B3043" s="214"/>
      <c r="C3043" s="154"/>
      <c r="D3043" s="142">
        <f>D3044</f>
        <v>436.6</v>
      </c>
      <c r="E3043" s="51"/>
      <c r="F3043" s="51"/>
      <c r="G3043" s="125"/>
      <c r="H3043" s="162"/>
      <c r="I3043" s="158">
        <f>I3044</f>
        <v>2978485.2</v>
      </c>
      <c r="J3043" s="158"/>
      <c r="K3043" s="158"/>
    </row>
    <row r="3044" spans="1:225" ht="15.75" customHeight="1" x14ac:dyDescent="0.35">
      <c r="A3044" s="256">
        <v>1</v>
      </c>
      <c r="B3044" s="256">
        <v>4971</v>
      </c>
      <c r="C3044" s="259" t="s">
        <v>639</v>
      </c>
      <c r="D3044" s="262">
        <v>436.6</v>
      </c>
      <c r="E3044" s="265" t="s">
        <v>75</v>
      </c>
      <c r="F3044" s="265">
        <v>2</v>
      </c>
      <c r="G3044" s="256" t="s">
        <v>85</v>
      </c>
      <c r="H3044" s="159" t="s">
        <v>73</v>
      </c>
      <c r="I3044" s="158">
        <f>I3045+I3046+I3047+I3048</f>
        <v>2978485.2</v>
      </c>
      <c r="J3044" s="158">
        <f>J3045+J3046+J3047+J3048</f>
        <v>6822</v>
      </c>
      <c r="K3044" s="158">
        <f>K3045+K3046+K3047+K3048</f>
        <v>6822</v>
      </c>
      <c r="L3044" s="1"/>
      <c r="M3044" s="1"/>
      <c r="N3044" s="1"/>
      <c r="O3044" s="1"/>
      <c r="P3044" s="1"/>
      <c r="Q3044" s="1"/>
      <c r="R3044" s="1"/>
      <c r="S3044" s="1"/>
      <c r="T3044" s="1"/>
      <c r="U3044" s="1"/>
      <c r="V3044" s="1"/>
      <c r="W3044" s="1"/>
      <c r="X3044" s="1"/>
      <c r="Y3044" s="1"/>
      <c r="Z3044" s="1"/>
      <c r="AA3044" s="1"/>
      <c r="AB3044" s="1"/>
      <c r="AC3044" s="1"/>
      <c r="AD3044" s="1"/>
      <c r="AE3044" s="1"/>
      <c r="AF3044" s="1"/>
      <c r="AG3044" s="1"/>
      <c r="AH3044" s="1"/>
      <c r="AI3044" s="1"/>
      <c r="AJ3044" s="1"/>
      <c r="AK3044" s="1"/>
      <c r="AL3044" s="1"/>
      <c r="AM3044" s="1"/>
      <c r="AN3044" s="1"/>
      <c r="AO3044" s="1"/>
      <c r="AP3044" s="1"/>
      <c r="AQ3044" s="1"/>
      <c r="AR3044" s="1"/>
      <c r="AS3044" s="1"/>
      <c r="AT3044" s="1"/>
      <c r="AU3044" s="1"/>
      <c r="AV3044" s="1"/>
      <c r="AW3044" s="1"/>
      <c r="AX3044" s="1"/>
      <c r="AY3044" s="1"/>
      <c r="AZ3044" s="1"/>
      <c r="BA3044" s="1"/>
      <c r="BB3044" s="1"/>
      <c r="BC3044" s="1"/>
      <c r="BD3044" s="1"/>
      <c r="BE3044" s="1"/>
      <c r="BF3044" s="1"/>
      <c r="BG3044" s="1"/>
      <c r="BH3044" s="1"/>
      <c r="BI3044" s="1"/>
      <c r="BJ3044" s="1"/>
      <c r="BK3044" s="1"/>
      <c r="BL3044" s="1"/>
      <c r="BM3044" s="1"/>
      <c r="BN3044" s="1"/>
      <c r="BO3044" s="1"/>
      <c r="BP3044" s="1"/>
      <c r="BQ3044" s="1"/>
      <c r="BR3044" s="1"/>
      <c r="BS3044" s="1"/>
      <c r="BT3044" s="1"/>
      <c r="BU3044" s="1"/>
      <c r="BV3044" s="1"/>
      <c r="BW3044" s="1"/>
      <c r="BX3044" s="1"/>
      <c r="BY3044" s="1"/>
      <c r="BZ3044" s="1"/>
      <c r="CA3044" s="1"/>
      <c r="CB3044" s="1"/>
      <c r="CC3044" s="1"/>
      <c r="CD3044" s="1"/>
      <c r="CE3044" s="1"/>
      <c r="CF3044" s="1"/>
      <c r="CG3044" s="1"/>
      <c r="CH3044" s="1"/>
      <c r="CI3044" s="1"/>
      <c r="CJ3044" s="1"/>
      <c r="CK3044" s="1"/>
      <c r="CL3044" s="1"/>
      <c r="CM3044" s="1"/>
      <c r="CN3044" s="1"/>
      <c r="CO3044" s="1"/>
      <c r="CP3044" s="1"/>
      <c r="CQ3044" s="1"/>
      <c r="CR3044" s="1"/>
      <c r="CS3044" s="1"/>
      <c r="CT3044" s="1"/>
      <c r="CU3044" s="1"/>
      <c r="CV3044" s="1"/>
      <c r="CW3044" s="1"/>
      <c r="CX3044" s="1"/>
      <c r="CY3044" s="1"/>
      <c r="CZ3044" s="1"/>
      <c r="DA3044" s="1"/>
      <c r="DB3044" s="1"/>
      <c r="DC3044" s="1"/>
      <c r="DD3044" s="1"/>
      <c r="DE3044" s="1"/>
      <c r="DF3044" s="1"/>
      <c r="DG3044" s="1"/>
      <c r="DH3044" s="1"/>
      <c r="DI3044" s="1"/>
      <c r="DJ3044" s="1"/>
      <c r="DK3044" s="1"/>
      <c r="DL3044" s="1"/>
      <c r="DM3044" s="1"/>
      <c r="DN3044" s="1"/>
      <c r="DO3044" s="1"/>
      <c r="DP3044" s="1"/>
      <c r="DQ3044" s="1"/>
      <c r="DR3044" s="1"/>
      <c r="DS3044" s="1"/>
      <c r="DT3044" s="1"/>
      <c r="DU3044" s="1"/>
      <c r="DV3044" s="1"/>
      <c r="DW3044" s="1"/>
      <c r="DX3044" s="1"/>
      <c r="DY3044" s="1"/>
      <c r="DZ3044" s="1"/>
      <c r="EA3044" s="1"/>
      <c r="EB3044" s="1"/>
      <c r="EC3044" s="1"/>
      <c r="ED3044" s="1"/>
      <c r="EE3044" s="1"/>
      <c r="EF3044" s="1"/>
      <c r="EG3044" s="1"/>
      <c r="EH3044" s="1"/>
      <c r="EI3044" s="1"/>
      <c r="EJ3044" s="1"/>
      <c r="EK3044" s="1"/>
      <c r="EL3044" s="1"/>
      <c r="EM3044" s="1"/>
      <c r="EN3044" s="1"/>
      <c r="EO3044" s="1"/>
      <c r="EP3044" s="1"/>
      <c r="EQ3044" s="1"/>
      <c r="ER3044" s="1"/>
      <c r="ES3044" s="1"/>
      <c r="ET3044" s="1"/>
      <c r="EU3044" s="1"/>
      <c r="EV3044" s="1"/>
      <c r="EW3044" s="1"/>
      <c r="EX3044" s="1"/>
      <c r="EY3044" s="1"/>
      <c r="EZ3044" s="1"/>
      <c r="FA3044" s="1"/>
      <c r="FB3044" s="1"/>
      <c r="FC3044" s="1"/>
      <c r="FD3044" s="1"/>
      <c r="FE3044" s="1"/>
      <c r="FF3044" s="1"/>
      <c r="FG3044" s="1"/>
      <c r="FH3044" s="1"/>
      <c r="FI3044" s="1"/>
      <c r="FJ3044" s="1"/>
      <c r="FK3044" s="1"/>
      <c r="FL3044" s="1"/>
      <c r="FM3044" s="1"/>
      <c r="FN3044" s="1"/>
      <c r="FO3044" s="1"/>
      <c r="FP3044" s="1"/>
      <c r="FQ3044" s="1"/>
      <c r="FR3044" s="1"/>
      <c r="FS3044" s="1"/>
      <c r="FT3044" s="1"/>
      <c r="FU3044" s="1"/>
      <c r="FV3044" s="1"/>
      <c r="FW3044" s="1"/>
      <c r="FX3044" s="1"/>
      <c r="FY3044" s="1"/>
      <c r="FZ3044" s="1"/>
      <c r="GA3044" s="1"/>
      <c r="GB3044" s="1"/>
      <c r="GC3044" s="1"/>
      <c r="GD3044" s="1"/>
      <c r="GE3044" s="1"/>
      <c r="GF3044" s="1"/>
      <c r="GG3044" s="1"/>
      <c r="GH3044" s="1"/>
      <c r="GI3044" s="1"/>
      <c r="GJ3044" s="1"/>
      <c r="GK3044" s="1"/>
      <c r="GL3044" s="1"/>
      <c r="GM3044" s="1"/>
      <c r="GN3044" s="1"/>
      <c r="GO3044" s="1"/>
      <c r="GP3044" s="1"/>
      <c r="GQ3044" s="1"/>
      <c r="GR3044" s="1"/>
      <c r="GS3044" s="1"/>
      <c r="GT3044" s="1"/>
      <c r="GU3044" s="1"/>
      <c r="GV3044" s="1"/>
      <c r="GW3044" s="1"/>
      <c r="GX3044" s="1"/>
      <c r="GY3044" s="1"/>
      <c r="GZ3044" s="1"/>
      <c r="HA3044" s="1"/>
      <c r="HB3044" s="1"/>
      <c r="HC3044" s="1"/>
      <c r="HD3044" s="1"/>
      <c r="HE3044" s="1"/>
      <c r="HF3044" s="1"/>
      <c r="HG3044" s="1"/>
      <c r="HH3044" s="1"/>
      <c r="HI3044" s="1"/>
      <c r="HJ3044" s="1"/>
      <c r="HK3044" s="1"/>
      <c r="HL3044" s="1"/>
      <c r="HM3044" s="1"/>
      <c r="HN3044" s="1"/>
      <c r="HO3044" s="1"/>
      <c r="HP3044" s="1"/>
      <c r="HQ3044" s="1"/>
    </row>
    <row r="3045" spans="1:225" x14ac:dyDescent="0.35">
      <c r="A3045" s="257"/>
      <c r="B3045" s="257"/>
      <c r="C3045" s="260"/>
      <c r="D3045" s="263"/>
      <c r="E3045" s="266"/>
      <c r="F3045" s="266"/>
      <c r="G3045" s="257"/>
      <c r="H3045" s="159" t="s">
        <v>74</v>
      </c>
      <c r="I3045" s="158">
        <f>D3044*K3045</f>
        <v>1150004.3999999999</v>
      </c>
      <c r="J3045" s="158">
        <f>I3045/D3044</f>
        <v>2634</v>
      </c>
      <c r="K3045" s="158">
        <v>2634</v>
      </c>
      <c r="L3045" s="1"/>
      <c r="M3045" s="1"/>
      <c r="N3045" s="1"/>
      <c r="O3045" s="1"/>
      <c r="P3045" s="1"/>
      <c r="Q3045" s="1"/>
      <c r="R3045" s="1"/>
      <c r="S3045" s="1"/>
      <c r="T3045" s="1"/>
      <c r="U3045" s="1"/>
      <c r="V3045" s="1"/>
      <c r="W3045" s="1"/>
      <c r="X3045" s="1"/>
      <c r="Y3045" s="1"/>
      <c r="Z3045" s="1"/>
      <c r="AA3045" s="1"/>
      <c r="AB3045" s="1"/>
      <c r="AC3045" s="1"/>
      <c r="AD3045" s="1"/>
      <c r="AE3045" s="1"/>
      <c r="AF3045" s="1"/>
      <c r="AG3045" s="1"/>
      <c r="AH3045" s="1"/>
      <c r="AI3045" s="1"/>
      <c r="AJ3045" s="1"/>
      <c r="AK3045" s="1"/>
      <c r="AL3045" s="1"/>
      <c r="AM3045" s="1"/>
      <c r="AN3045" s="1"/>
      <c r="AO3045" s="1"/>
      <c r="AP3045" s="1"/>
      <c r="AQ3045" s="1"/>
      <c r="AR3045" s="1"/>
      <c r="AS3045" s="1"/>
      <c r="AT3045" s="1"/>
      <c r="AU3045" s="1"/>
      <c r="AV3045" s="1"/>
      <c r="AW3045" s="1"/>
      <c r="AX3045" s="1"/>
      <c r="AY3045" s="1"/>
      <c r="AZ3045" s="1"/>
      <c r="BA3045" s="1"/>
      <c r="BB3045" s="1"/>
      <c r="BC3045" s="1"/>
      <c r="BD3045" s="1"/>
      <c r="BE3045" s="1"/>
      <c r="BF3045" s="1"/>
      <c r="BG3045" s="1"/>
      <c r="BH3045" s="1"/>
      <c r="BI3045" s="1"/>
      <c r="BJ3045" s="1"/>
      <c r="BK3045" s="1"/>
      <c r="BL3045" s="1"/>
      <c r="BM3045" s="1"/>
      <c r="BN3045" s="1"/>
      <c r="BO3045" s="1"/>
      <c r="BP3045" s="1"/>
      <c r="BQ3045" s="1"/>
      <c r="BR3045" s="1"/>
      <c r="BS3045" s="1"/>
      <c r="BT3045" s="1"/>
      <c r="BU3045" s="1"/>
      <c r="BV3045" s="1"/>
      <c r="BW3045" s="1"/>
      <c r="BX3045" s="1"/>
      <c r="BY3045" s="1"/>
      <c r="BZ3045" s="1"/>
      <c r="CA3045" s="1"/>
      <c r="CB3045" s="1"/>
      <c r="CC3045" s="1"/>
      <c r="CD3045" s="1"/>
      <c r="CE3045" s="1"/>
      <c r="CF3045" s="1"/>
      <c r="CG3045" s="1"/>
      <c r="CH3045" s="1"/>
      <c r="CI3045" s="1"/>
      <c r="CJ3045" s="1"/>
      <c r="CK3045" s="1"/>
      <c r="CL3045" s="1"/>
      <c r="CM3045" s="1"/>
      <c r="CN3045" s="1"/>
      <c r="CO3045" s="1"/>
      <c r="CP3045" s="1"/>
      <c r="CQ3045" s="1"/>
      <c r="CR3045" s="1"/>
      <c r="CS3045" s="1"/>
      <c r="CT3045" s="1"/>
      <c r="CU3045" s="1"/>
      <c r="CV3045" s="1"/>
      <c r="CW3045" s="1"/>
      <c r="CX3045" s="1"/>
      <c r="CY3045" s="1"/>
      <c r="CZ3045" s="1"/>
      <c r="DA3045" s="1"/>
      <c r="DB3045" s="1"/>
      <c r="DC3045" s="1"/>
      <c r="DD3045" s="1"/>
      <c r="DE3045" s="1"/>
      <c r="DF3045" s="1"/>
      <c r="DG3045" s="1"/>
      <c r="DH3045" s="1"/>
      <c r="DI3045" s="1"/>
      <c r="DJ3045" s="1"/>
      <c r="DK3045" s="1"/>
      <c r="DL3045" s="1"/>
      <c r="DM3045" s="1"/>
      <c r="DN3045" s="1"/>
      <c r="DO3045" s="1"/>
      <c r="DP3045" s="1"/>
      <c r="DQ3045" s="1"/>
      <c r="DR3045" s="1"/>
      <c r="DS3045" s="1"/>
      <c r="DT3045" s="1"/>
      <c r="DU3045" s="1"/>
      <c r="DV3045" s="1"/>
      <c r="DW3045" s="1"/>
      <c r="DX3045" s="1"/>
      <c r="DY3045" s="1"/>
      <c r="DZ3045" s="1"/>
      <c r="EA3045" s="1"/>
      <c r="EB3045" s="1"/>
      <c r="EC3045" s="1"/>
      <c r="ED3045" s="1"/>
      <c r="EE3045" s="1"/>
      <c r="EF3045" s="1"/>
      <c r="EG3045" s="1"/>
      <c r="EH3045" s="1"/>
      <c r="EI3045" s="1"/>
      <c r="EJ3045" s="1"/>
      <c r="EK3045" s="1"/>
      <c r="EL3045" s="1"/>
      <c r="EM3045" s="1"/>
      <c r="EN3045" s="1"/>
      <c r="EO3045" s="1"/>
      <c r="EP3045" s="1"/>
      <c r="EQ3045" s="1"/>
      <c r="ER3045" s="1"/>
      <c r="ES3045" s="1"/>
      <c r="ET3045" s="1"/>
      <c r="EU3045" s="1"/>
      <c r="EV3045" s="1"/>
      <c r="EW3045" s="1"/>
      <c r="EX3045" s="1"/>
      <c r="EY3045" s="1"/>
      <c r="EZ3045" s="1"/>
      <c r="FA3045" s="1"/>
      <c r="FB3045" s="1"/>
      <c r="FC3045" s="1"/>
      <c r="FD3045" s="1"/>
      <c r="FE3045" s="1"/>
      <c r="FF3045" s="1"/>
      <c r="FG3045" s="1"/>
      <c r="FH3045" s="1"/>
      <c r="FI3045" s="1"/>
      <c r="FJ3045" s="1"/>
      <c r="FK3045" s="1"/>
      <c r="FL3045" s="1"/>
      <c r="FM3045" s="1"/>
      <c r="FN3045" s="1"/>
      <c r="FO3045" s="1"/>
      <c r="FP3045" s="1"/>
      <c r="FQ3045" s="1"/>
      <c r="FR3045" s="1"/>
      <c r="FS3045" s="1"/>
      <c r="FT3045" s="1"/>
      <c r="FU3045" s="1"/>
      <c r="FV3045" s="1"/>
      <c r="FW3045" s="1"/>
      <c r="FX3045" s="1"/>
      <c r="FY3045" s="1"/>
      <c r="FZ3045" s="1"/>
      <c r="GA3045" s="1"/>
      <c r="GB3045" s="1"/>
      <c r="GC3045" s="1"/>
      <c r="GD3045" s="1"/>
      <c r="GE3045" s="1"/>
      <c r="GF3045" s="1"/>
      <c r="GG3045" s="1"/>
      <c r="GH3045" s="1"/>
      <c r="GI3045" s="1"/>
      <c r="GJ3045" s="1"/>
      <c r="GK3045" s="1"/>
      <c r="GL3045" s="1"/>
      <c r="GM3045" s="1"/>
      <c r="GN3045" s="1"/>
      <c r="GO3045" s="1"/>
      <c r="GP3045" s="1"/>
      <c r="GQ3045" s="1"/>
      <c r="GR3045" s="1"/>
      <c r="GS3045" s="1"/>
      <c r="GT3045" s="1"/>
      <c r="GU3045" s="1"/>
      <c r="GV3045" s="1"/>
      <c r="GW3045" s="1"/>
      <c r="GX3045" s="1"/>
      <c r="GY3045" s="1"/>
      <c r="GZ3045" s="1"/>
      <c r="HA3045" s="1"/>
      <c r="HB3045" s="1"/>
      <c r="HC3045" s="1"/>
      <c r="HD3045" s="1"/>
      <c r="HE3045" s="1"/>
      <c r="HF3045" s="1"/>
      <c r="HG3045" s="1"/>
      <c r="HH3045" s="1"/>
      <c r="HI3045" s="1"/>
      <c r="HJ3045" s="1"/>
      <c r="HK3045" s="1"/>
      <c r="HL3045" s="1"/>
      <c r="HM3045" s="1"/>
      <c r="HN3045" s="1"/>
      <c r="HO3045" s="1"/>
      <c r="HP3045" s="1"/>
      <c r="HQ3045" s="1"/>
    </row>
    <row r="3046" spans="1:225" x14ac:dyDescent="0.35">
      <c r="A3046" s="257"/>
      <c r="B3046" s="257"/>
      <c r="C3046" s="260"/>
      <c r="D3046" s="263"/>
      <c r="E3046" s="266"/>
      <c r="F3046" s="266"/>
      <c r="G3046" s="257"/>
      <c r="H3046" s="159" t="s">
        <v>76</v>
      </c>
      <c r="I3046" s="158">
        <f>D3044*K3046</f>
        <v>24449.599999999999</v>
      </c>
      <c r="J3046" s="158">
        <f>I3046/D3044</f>
        <v>56</v>
      </c>
      <c r="K3046" s="158">
        <v>56</v>
      </c>
      <c r="L3046" s="1"/>
      <c r="M3046" s="1"/>
      <c r="N3046" s="1"/>
      <c r="O3046" s="1"/>
      <c r="P3046" s="1"/>
      <c r="Q3046" s="1"/>
      <c r="R3046" s="1"/>
      <c r="S3046" s="1"/>
      <c r="T3046" s="1"/>
      <c r="U3046" s="1"/>
      <c r="V3046" s="1"/>
      <c r="W3046" s="1"/>
      <c r="X3046" s="1"/>
      <c r="Y3046" s="1"/>
      <c r="Z3046" s="1"/>
      <c r="AA3046" s="1"/>
      <c r="AB3046" s="1"/>
      <c r="AC3046" s="1"/>
      <c r="AD3046" s="1"/>
      <c r="AE3046" s="1"/>
      <c r="AF3046" s="1"/>
      <c r="AG3046" s="1"/>
      <c r="AH3046" s="1"/>
      <c r="AI3046" s="1"/>
      <c r="AJ3046" s="1"/>
      <c r="AK3046" s="1"/>
      <c r="AL3046" s="1"/>
      <c r="AM3046" s="1"/>
      <c r="AN3046" s="1"/>
      <c r="AO3046" s="1"/>
      <c r="AP3046" s="1"/>
      <c r="AQ3046" s="1"/>
      <c r="AR3046" s="1"/>
      <c r="AS3046" s="1"/>
      <c r="AT3046" s="1"/>
      <c r="AU3046" s="1"/>
      <c r="AV3046" s="1"/>
      <c r="AW3046" s="1"/>
      <c r="AX3046" s="1"/>
      <c r="AY3046" s="1"/>
      <c r="AZ3046" s="1"/>
      <c r="BA3046" s="1"/>
      <c r="BB3046" s="1"/>
      <c r="BC3046" s="1"/>
      <c r="BD3046" s="1"/>
      <c r="BE3046" s="1"/>
      <c r="BF3046" s="1"/>
      <c r="BG3046" s="1"/>
      <c r="BH3046" s="1"/>
      <c r="BI3046" s="1"/>
      <c r="BJ3046" s="1"/>
      <c r="BK3046" s="1"/>
      <c r="BL3046" s="1"/>
      <c r="BM3046" s="1"/>
      <c r="BN3046" s="1"/>
      <c r="BO3046" s="1"/>
      <c r="BP3046" s="1"/>
      <c r="BQ3046" s="1"/>
      <c r="BR3046" s="1"/>
      <c r="BS3046" s="1"/>
      <c r="BT3046" s="1"/>
      <c r="BU3046" s="1"/>
      <c r="BV3046" s="1"/>
      <c r="BW3046" s="1"/>
      <c r="BX3046" s="1"/>
      <c r="BY3046" s="1"/>
      <c r="BZ3046" s="1"/>
      <c r="CA3046" s="1"/>
      <c r="CB3046" s="1"/>
      <c r="CC3046" s="1"/>
      <c r="CD3046" s="1"/>
      <c r="CE3046" s="1"/>
      <c r="CF3046" s="1"/>
      <c r="CG3046" s="1"/>
      <c r="CH3046" s="1"/>
      <c r="CI3046" s="1"/>
      <c r="CJ3046" s="1"/>
      <c r="CK3046" s="1"/>
      <c r="CL3046" s="1"/>
      <c r="CM3046" s="1"/>
      <c r="CN3046" s="1"/>
      <c r="CO3046" s="1"/>
      <c r="CP3046" s="1"/>
      <c r="CQ3046" s="1"/>
      <c r="CR3046" s="1"/>
      <c r="CS3046" s="1"/>
      <c r="CT3046" s="1"/>
      <c r="CU3046" s="1"/>
      <c r="CV3046" s="1"/>
      <c r="CW3046" s="1"/>
      <c r="CX3046" s="1"/>
      <c r="CY3046" s="1"/>
      <c r="CZ3046" s="1"/>
      <c r="DA3046" s="1"/>
      <c r="DB3046" s="1"/>
      <c r="DC3046" s="1"/>
      <c r="DD3046" s="1"/>
      <c r="DE3046" s="1"/>
      <c r="DF3046" s="1"/>
      <c r="DG3046" s="1"/>
      <c r="DH3046" s="1"/>
      <c r="DI3046" s="1"/>
      <c r="DJ3046" s="1"/>
      <c r="DK3046" s="1"/>
      <c r="DL3046" s="1"/>
      <c r="DM3046" s="1"/>
      <c r="DN3046" s="1"/>
      <c r="DO3046" s="1"/>
      <c r="DP3046" s="1"/>
      <c r="DQ3046" s="1"/>
      <c r="DR3046" s="1"/>
      <c r="DS3046" s="1"/>
      <c r="DT3046" s="1"/>
      <c r="DU3046" s="1"/>
      <c r="DV3046" s="1"/>
      <c r="DW3046" s="1"/>
      <c r="DX3046" s="1"/>
      <c r="DY3046" s="1"/>
      <c r="DZ3046" s="1"/>
      <c r="EA3046" s="1"/>
      <c r="EB3046" s="1"/>
      <c r="EC3046" s="1"/>
      <c r="ED3046" s="1"/>
      <c r="EE3046" s="1"/>
      <c r="EF3046" s="1"/>
      <c r="EG3046" s="1"/>
      <c r="EH3046" s="1"/>
      <c r="EI3046" s="1"/>
      <c r="EJ3046" s="1"/>
      <c r="EK3046" s="1"/>
      <c r="EL3046" s="1"/>
      <c r="EM3046" s="1"/>
      <c r="EN3046" s="1"/>
      <c r="EO3046" s="1"/>
      <c r="EP3046" s="1"/>
      <c r="EQ3046" s="1"/>
      <c r="ER3046" s="1"/>
      <c r="ES3046" s="1"/>
      <c r="ET3046" s="1"/>
      <c r="EU3046" s="1"/>
      <c r="EV3046" s="1"/>
      <c r="EW3046" s="1"/>
      <c r="EX3046" s="1"/>
      <c r="EY3046" s="1"/>
      <c r="EZ3046" s="1"/>
      <c r="FA3046" s="1"/>
      <c r="FB3046" s="1"/>
      <c r="FC3046" s="1"/>
      <c r="FD3046" s="1"/>
      <c r="FE3046" s="1"/>
      <c r="FF3046" s="1"/>
      <c r="FG3046" s="1"/>
      <c r="FH3046" s="1"/>
      <c r="FI3046" s="1"/>
      <c r="FJ3046" s="1"/>
      <c r="FK3046" s="1"/>
      <c r="FL3046" s="1"/>
      <c r="FM3046" s="1"/>
      <c r="FN3046" s="1"/>
      <c r="FO3046" s="1"/>
      <c r="FP3046" s="1"/>
      <c r="FQ3046" s="1"/>
      <c r="FR3046" s="1"/>
      <c r="FS3046" s="1"/>
      <c r="FT3046" s="1"/>
      <c r="FU3046" s="1"/>
      <c r="FV3046" s="1"/>
      <c r="FW3046" s="1"/>
      <c r="FX3046" s="1"/>
      <c r="FY3046" s="1"/>
      <c r="FZ3046" s="1"/>
      <c r="GA3046" s="1"/>
      <c r="GB3046" s="1"/>
      <c r="GC3046" s="1"/>
      <c r="GD3046" s="1"/>
      <c r="GE3046" s="1"/>
      <c r="GF3046" s="1"/>
      <c r="GG3046" s="1"/>
      <c r="GH3046" s="1"/>
      <c r="GI3046" s="1"/>
      <c r="GJ3046" s="1"/>
      <c r="GK3046" s="1"/>
      <c r="GL3046" s="1"/>
      <c r="GM3046" s="1"/>
      <c r="GN3046" s="1"/>
      <c r="GO3046" s="1"/>
      <c r="GP3046" s="1"/>
      <c r="GQ3046" s="1"/>
      <c r="GR3046" s="1"/>
      <c r="GS3046" s="1"/>
      <c r="GT3046" s="1"/>
      <c r="GU3046" s="1"/>
      <c r="GV3046" s="1"/>
      <c r="GW3046" s="1"/>
      <c r="GX3046" s="1"/>
      <c r="GY3046" s="1"/>
      <c r="GZ3046" s="1"/>
      <c r="HA3046" s="1"/>
      <c r="HB3046" s="1"/>
      <c r="HC3046" s="1"/>
      <c r="HD3046" s="1"/>
      <c r="HE3046" s="1"/>
      <c r="HF3046" s="1"/>
      <c r="HG3046" s="1"/>
      <c r="HH3046" s="1"/>
      <c r="HI3046" s="1"/>
      <c r="HJ3046" s="1"/>
      <c r="HK3046" s="1"/>
      <c r="HL3046" s="1"/>
      <c r="HM3046" s="1"/>
      <c r="HN3046" s="1"/>
      <c r="HO3046" s="1"/>
      <c r="HP3046" s="1"/>
      <c r="HQ3046" s="1"/>
    </row>
    <row r="3047" spans="1:225" x14ac:dyDescent="0.35">
      <c r="A3047" s="257">
        <v>1142</v>
      </c>
      <c r="B3047" s="257"/>
      <c r="C3047" s="260"/>
      <c r="D3047" s="263"/>
      <c r="E3047" s="266"/>
      <c r="F3047" s="266"/>
      <c r="G3047" s="257"/>
      <c r="H3047" s="159" t="s">
        <v>74</v>
      </c>
      <c r="I3047" s="158">
        <f>K3047*D3044</f>
        <v>1766047</v>
      </c>
      <c r="J3047" s="158">
        <f>I3047/D3044</f>
        <v>4045</v>
      </c>
      <c r="K3047" s="158">
        <v>4045</v>
      </c>
      <c r="L3047" s="1"/>
      <c r="M3047" s="1"/>
      <c r="N3047" s="1"/>
      <c r="O3047" s="1"/>
      <c r="P3047" s="1"/>
      <c r="Q3047" s="1"/>
      <c r="R3047" s="1"/>
      <c r="S3047" s="1"/>
      <c r="T3047" s="1"/>
      <c r="U3047" s="1"/>
      <c r="V3047" s="1"/>
      <c r="W3047" s="1"/>
      <c r="X3047" s="1"/>
      <c r="Y3047" s="1"/>
      <c r="Z3047" s="1"/>
      <c r="AA3047" s="1"/>
      <c r="AB3047" s="1"/>
      <c r="AC3047" s="1"/>
      <c r="AD3047" s="1"/>
      <c r="AE3047" s="1"/>
      <c r="AF3047" s="1"/>
      <c r="AG3047" s="1"/>
      <c r="AH3047" s="1"/>
      <c r="AI3047" s="1"/>
      <c r="AJ3047" s="1"/>
      <c r="AK3047" s="1"/>
      <c r="AL3047" s="1"/>
      <c r="AM3047" s="1"/>
      <c r="AN3047" s="1"/>
      <c r="AO3047" s="1"/>
      <c r="AP3047" s="1"/>
      <c r="AQ3047" s="1"/>
      <c r="AR3047" s="1"/>
      <c r="AS3047" s="1"/>
      <c r="AT3047" s="1"/>
      <c r="AU3047" s="1"/>
      <c r="AV3047" s="1"/>
      <c r="AW3047" s="1"/>
      <c r="AX3047" s="1"/>
      <c r="AY3047" s="1"/>
      <c r="AZ3047" s="1"/>
      <c r="BA3047" s="1"/>
      <c r="BB3047" s="1"/>
      <c r="BC3047" s="1"/>
      <c r="BD3047" s="1"/>
      <c r="BE3047" s="1"/>
      <c r="BF3047" s="1"/>
      <c r="BG3047" s="1"/>
      <c r="BH3047" s="1"/>
      <c r="BI3047" s="1"/>
      <c r="BJ3047" s="1"/>
      <c r="BK3047" s="1"/>
      <c r="BL3047" s="1"/>
      <c r="BM3047" s="1"/>
      <c r="BN3047" s="1"/>
      <c r="BO3047" s="1"/>
      <c r="BP3047" s="1"/>
      <c r="BQ3047" s="1"/>
      <c r="BR3047" s="1"/>
      <c r="BS3047" s="1"/>
      <c r="BT3047" s="1"/>
      <c r="BU3047" s="1"/>
      <c r="BV3047" s="1"/>
      <c r="BW3047" s="1"/>
      <c r="BX3047" s="1"/>
      <c r="BY3047" s="1"/>
      <c r="BZ3047" s="1"/>
      <c r="CA3047" s="1"/>
      <c r="CB3047" s="1"/>
      <c r="CC3047" s="1"/>
      <c r="CD3047" s="1"/>
      <c r="CE3047" s="1"/>
      <c r="CF3047" s="1"/>
      <c r="CG3047" s="1"/>
      <c r="CH3047" s="1"/>
      <c r="CI3047" s="1"/>
      <c r="CJ3047" s="1"/>
      <c r="CK3047" s="1"/>
      <c r="CL3047" s="1"/>
      <c r="CM3047" s="1"/>
      <c r="CN3047" s="1"/>
      <c r="CO3047" s="1"/>
      <c r="CP3047" s="1"/>
      <c r="CQ3047" s="1"/>
      <c r="CR3047" s="1"/>
      <c r="CS3047" s="1"/>
      <c r="CT3047" s="1"/>
      <c r="CU3047" s="1"/>
      <c r="CV3047" s="1"/>
      <c r="CW3047" s="1"/>
      <c r="CX3047" s="1"/>
      <c r="CY3047" s="1"/>
      <c r="CZ3047" s="1"/>
      <c r="DA3047" s="1"/>
      <c r="DB3047" s="1"/>
      <c r="DC3047" s="1"/>
      <c r="DD3047" s="1"/>
      <c r="DE3047" s="1"/>
      <c r="DF3047" s="1"/>
      <c r="DG3047" s="1"/>
      <c r="DH3047" s="1"/>
      <c r="DI3047" s="1"/>
      <c r="DJ3047" s="1"/>
      <c r="DK3047" s="1"/>
      <c r="DL3047" s="1"/>
      <c r="DM3047" s="1"/>
      <c r="DN3047" s="1"/>
      <c r="DO3047" s="1"/>
      <c r="DP3047" s="1"/>
      <c r="DQ3047" s="1"/>
      <c r="DR3047" s="1"/>
      <c r="DS3047" s="1"/>
      <c r="DT3047" s="1"/>
      <c r="DU3047" s="1"/>
      <c r="DV3047" s="1"/>
      <c r="DW3047" s="1"/>
      <c r="DX3047" s="1"/>
      <c r="DY3047" s="1"/>
      <c r="DZ3047" s="1"/>
      <c r="EA3047" s="1"/>
      <c r="EB3047" s="1"/>
      <c r="EC3047" s="1"/>
      <c r="ED3047" s="1"/>
      <c r="EE3047" s="1"/>
      <c r="EF3047" s="1"/>
      <c r="EG3047" s="1"/>
      <c r="EH3047" s="1"/>
      <c r="EI3047" s="1"/>
      <c r="EJ3047" s="1"/>
      <c r="EK3047" s="1"/>
      <c r="EL3047" s="1"/>
      <c r="EM3047" s="1"/>
      <c r="EN3047" s="1"/>
      <c r="EO3047" s="1"/>
      <c r="EP3047" s="1"/>
      <c r="EQ3047" s="1"/>
      <c r="ER3047" s="1"/>
      <c r="ES3047" s="1"/>
      <c r="ET3047" s="1"/>
      <c r="EU3047" s="1"/>
      <c r="EV3047" s="1"/>
      <c r="EW3047" s="1"/>
      <c r="EX3047" s="1"/>
      <c r="EY3047" s="1"/>
      <c r="EZ3047" s="1"/>
      <c r="FA3047" s="1"/>
      <c r="FB3047" s="1"/>
      <c r="FC3047" s="1"/>
      <c r="FD3047" s="1"/>
      <c r="FE3047" s="1"/>
      <c r="FF3047" s="1"/>
      <c r="FG3047" s="1"/>
      <c r="FH3047" s="1"/>
      <c r="FI3047" s="1"/>
      <c r="FJ3047" s="1"/>
      <c r="FK3047" s="1"/>
      <c r="FL3047" s="1"/>
      <c r="FM3047" s="1"/>
      <c r="FN3047" s="1"/>
      <c r="FO3047" s="1"/>
      <c r="FP3047" s="1"/>
      <c r="FQ3047" s="1"/>
      <c r="FR3047" s="1"/>
      <c r="FS3047" s="1"/>
      <c r="FT3047" s="1"/>
      <c r="FU3047" s="1"/>
      <c r="FV3047" s="1"/>
      <c r="FW3047" s="1"/>
      <c r="FX3047" s="1"/>
      <c r="FY3047" s="1"/>
      <c r="FZ3047" s="1"/>
      <c r="GA3047" s="1"/>
      <c r="GB3047" s="1"/>
      <c r="GC3047" s="1"/>
      <c r="GD3047" s="1"/>
      <c r="GE3047" s="1"/>
      <c r="GF3047" s="1"/>
      <c r="GG3047" s="1"/>
      <c r="GH3047" s="1"/>
      <c r="GI3047" s="1"/>
      <c r="GJ3047" s="1"/>
      <c r="GK3047" s="1"/>
      <c r="GL3047" s="1"/>
      <c r="GM3047" s="1"/>
      <c r="GN3047" s="1"/>
      <c r="GO3047" s="1"/>
      <c r="GP3047" s="1"/>
      <c r="GQ3047" s="1"/>
      <c r="GR3047" s="1"/>
      <c r="GS3047" s="1"/>
      <c r="GT3047" s="1"/>
      <c r="GU3047" s="1"/>
      <c r="GV3047" s="1"/>
      <c r="GW3047" s="1"/>
      <c r="GX3047" s="1"/>
      <c r="GY3047" s="1"/>
      <c r="GZ3047" s="1"/>
      <c r="HA3047" s="1"/>
      <c r="HB3047" s="1"/>
      <c r="HC3047" s="1"/>
      <c r="HD3047" s="1"/>
      <c r="HE3047" s="1"/>
      <c r="HF3047" s="1"/>
      <c r="HG3047" s="1"/>
      <c r="HH3047" s="1"/>
      <c r="HI3047" s="1"/>
      <c r="HJ3047" s="1"/>
      <c r="HK3047" s="1"/>
      <c r="HL3047" s="1"/>
      <c r="HM3047" s="1"/>
      <c r="HN3047" s="1"/>
      <c r="HO3047" s="1"/>
      <c r="HP3047" s="1"/>
      <c r="HQ3047" s="1"/>
    </row>
    <row r="3048" spans="1:225" x14ac:dyDescent="0.35">
      <c r="A3048" s="258">
        <v>1143</v>
      </c>
      <c r="B3048" s="258"/>
      <c r="C3048" s="261"/>
      <c r="D3048" s="264"/>
      <c r="E3048" s="267"/>
      <c r="F3048" s="267"/>
      <c r="G3048" s="258"/>
      <c r="H3048" s="159" t="s">
        <v>76</v>
      </c>
      <c r="I3048" s="158">
        <f>K3048*D3044</f>
        <v>37984.199999999997</v>
      </c>
      <c r="J3048" s="158">
        <f>I3048/D3044</f>
        <v>87</v>
      </c>
      <c r="K3048" s="158">
        <v>87</v>
      </c>
      <c r="L3048" s="1"/>
      <c r="M3048" s="1"/>
      <c r="N3048" s="1"/>
      <c r="O3048" s="1"/>
      <c r="P3048" s="1"/>
      <c r="Q3048" s="1"/>
      <c r="R3048" s="1"/>
      <c r="S3048" s="1"/>
      <c r="T3048" s="1"/>
      <c r="U3048" s="1"/>
      <c r="V3048" s="1"/>
      <c r="W3048" s="1"/>
      <c r="X3048" s="1"/>
      <c r="Y3048" s="1"/>
      <c r="Z3048" s="1"/>
      <c r="AA3048" s="1"/>
      <c r="AB3048" s="1"/>
      <c r="AC3048" s="1"/>
      <c r="AD3048" s="1"/>
      <c r="AE3048" s="1"/>
      <c r="AF3048" s="1"/>
      <c r="AG3048" s="1"/>
      <c r="AH3048" s="1"/>
      <c r="AI3048" s="1"/>
      <c r="AJ3048" s="1"/>
      <c r="AK3048" s="1"/>
      <c r="AL3048" s="1"/>
      <c r="AM3048" s="1"/>
      <c r="AN3048" s="1"/>
      <c r="AO3048" s="1"/>
      <c r="AP3048" s="1"/>
      <c r="AQ3048" s="1"/>
      <c r="AR3048" s="1"/>
      <c r="AS3048" s="1"/>
      <c r="AT3048" s="1"/>
      <c r="AU3048" s="1"/>
      <c r="AV3048" s="1"/>
      <c r="AW3048" s="1"/>
      <c r="AX3048" s="1"/>
      <c r="AY3048" s="1"/>
      <c r="AZ3048" s="1"/>
      <c r="BA3048" s="1"/>
      <c r="BB3048" s="1"/>
      <c r="BC3048" s="1"/>
      <c r="BD3048" s="1"/>
      <c r="BE3048" s="1"/>
      <c r="BF3048" s="1"/>
      <c r="BG3048" s="1"/>
      <c r="BH3048" s="1"/>
      <c r="BI3048" s="1"/>
      <c r="BJ3048" s="1"/>
      <c r="BK3048" s="1"/>
      <c r="BL3048" s="1"/>
      <c r="BM3048" s="1"/>
      <c r="BN3048" s="1"/>
      <c r="BO3048" s="1"/>
      <c r="BP3048" s="1"/>
      <c r="BQ3048" s="1"/>
      <c r="BR3048" s="1"/>
      <c r="BS3048" s="1"/>
      <c r="BT3048" s="1"/>
      <c r="BU3048" s="1"/>
      <c r="BV3048" s="1"/>
      <c r="BW3048" s="1"/>
      <c r="BX3048" s="1"/>
      <c r="BY3048" s="1"/>
      <c r="BZ3048" s="1"/>
      <c r="CA3048" s="1"/>
      <c r="CB3048" s="1"/>
      <c r="CC3048" s="1"/>
      <c r="CD3048" s="1"/>
      <c r="CE3048" s="1"/>
      <c r="CF3048" s="1"/>
      <c r="CG3048" s="1"/>
      <c r="CH3048" s="1"/>
      <c r="CI3048" s="1"/>
      <c r="CJ3048" s="1"/>
      <c r="CK3048" s="1"/>
      <c r="CL3048" s="1"/>
      <c r="CM3048" s="1"/>
      <c r="CN3048" s="1"/>
      <c r="CO3048" s="1"/>
      <c r="CP3048" s="1"/>
      <c r="CQ3048" s="1"/>
      <c r="CR3048" s="1"/>
      <c r="CS3048" s="1"/>
      <c r="CT3048" s="1"/>
      <c r="CU3048" s="1"/>
      <c r="CV3048" s="1"/>
      <c r="CW3048" s="1"/>
      <c r="CX3048" s="1"/>
      <c r="CY3048" s="1"/>
      <c r="CZ3048" s="1"/>
      <c r="DA3048" s="1"/>
      <c r="DB3048" s="1"/>
      <c r="DC3048" s="1"/>
      <c r="DD3048" s="1"/>
      <c r="DE3048" s="1"/>
      <c r="DF3048" s="1"/>
      <c r="DG3048" s="1"/>
      <c r="DH3048" s="1"/>
      <c r="DI3048" s="1"/>
      <c r="DJ3048" s="1"/>
      <c r="DK3048" s="1"/>
      <c r="DL3048" s="1"/>
      <c r="DM3048" s="1"/>
      <c r="DN3048" s="1"/>
      <c r="DO3048" s="1"/>
      <c r="DP3048" s="1"/>
      <c r="DQ3048" s="1"/>
      <c r="DR3048" s="1"/>
      <c r="DS3048" s="1"/>
      <c r="DT3048" s="1"/>
      <c r="DU3048" s="1"/>
      <c r="DV3048" s="1"/>
      <c r="DW3048" s="1"/>
      <c r="DX3048" s="1"/>
      <c r="DY3048" s="1"/>
      <c r="DZ3048" s="1"/>
      <c r="EA3048" s="1"/>
      <c r="EB3048" s="1"/>
      <c r="EC3048" s="1"/>
      <c r="ED3048" s="1"/>
      <c r="EE3048" s="1"/>
      <c r="EF3048" s="1"/>
      <c r="EG3048" s="1"/>
      <c r="EH3048" s="1"/>
      <c r="EI3048" s="1"/>
      <c r="EJ3048" s="1"/>
      <c r="EK3048" s="1"/>
      <c r="EL3048" s="1"/>
      <c r="EM3048" s="1"/>
      <c r="EN3048" s="1"/>
      <c r="EO3048" s="1"/>
      <c r="EP3048" s="1"/>
      <c r="EQ3048" s="1"/>
      <c r="ER3048" s="1"/>
      <c r="ES3048" s="1"/>
      <c r="ET3048" s="1"/>
      <c r="EU3048" s="1"/>
      <c r="EV3048" s="1"/>
      <c r="EW3048" s="1"/>
      <c r="EX3048" s="1"/>
      <c r="EY3048" s="1"/>
      <c r="EZ3048" s="1"/>
      <c r="FA3048" s="1"/>
      <c r="FB3048" s="1"/>
      <c r="FC3048" s="1"/>
      <c r="FD3048" s="1"/>
      <c r="FE3048" s="1"/>
      <c r="FF3048" s="1"/>
      <c r="FG3048" s="1"/>
      <c r="FH3048" s="1"/>
      <c r="FI3048" s="1"/>
      <c r="FJ3048" s="1"/>
      <c r="FK3048" s="1"/>
      <c r="FL3048" s="1"/>
      <c r="FM3048" s="1"/>
      <c r="FN3048" s="1"/>
      <c r="FO3048" s="1"/>
      <c r="FP3048" s="1"/>
      <c r="FQ3048" s="1"/>
      <c r="FR3048" s="1"/>
      <c r="FS3048" s="1"/>
      <c r="FT3048" s="1"/>
      <c r="FU3048" s="1"/>
      <c r="FV3048" s="1"/>
      <c r="FW3048" s="1"/>
      <c r="FX3048" s="1"/>
      <c r="FY3048" s="1"/>
      <c r="FZ3048" s="1"/>
      <c r="GA3048" s="1"/>
      <c r="GB3048" s="1"/>
      <c r="GC3048" s="1"/>
      <c r="GD3048" s="1"/>
      <c r="GE3048" s="1"/>
      <c r="GF3048" s="1"/>
      <c r="GG3048" s="1"/>
      <c r="GH3048" s="1"/>
      <c r="GI3048" s="1"/>
      <c r="GJ3048" s="1"/>
      <c r="GK3048" s="1"/>
      <c r="GL3048" s="1"/>
      <c r="GM3048" s="1"/>
      <c r="GN3048" s="1"/>
      <c r="GO3048" s="1"/>
      <c r="GP3048" s="1"/>
      <c r="GQ3048" s="1"/>
      <c r="GR3048" s="1"/>
      <c r="GS3048" s="1"/>
      <c r="GT3048" s="1"/>
      <c r="GU3048" s="1"/>
      <c r="GV3048" s="1"/>
      <c r="GW3048" s="1"/>
      <c r="GX3048" s="1"/>
      <c r="GY3048" s="1"/>
      <c r="GZ3048" s="1"/>
      <c r="HA3048" s="1"/>
      <c r="HB3048" s="1"/>
      <c r="HC3048" s="1"/>
      <c r="HD3048" s="1"/>
      <c r="HE3048" s="1"/>
      <c r="HF3048" s="1"/>
      <c r="HG3048" s="1"/>
      <c r="HH3048" s="1"/>
      <c r="HI3048" s="1"/>
      <c r="HJ3048" s="1"/>
      <c r="HK3048" s="1"/>
      <c r="HL3048" s="1"/>
      <c r="HM3048" s="1"/>
      <c r="HN3048" s="1"/>
      <c r="HO3048" s="1"/>
      <c r="HP3048" s="1"/>
      <c r="HQ3048" s="1"/>
    </row>
    <row r="3049" spans="1:225" x14ac:dyDescent="0.35">
      <c r="A3049" s="212" t="s">
        <v>44</v>
      </c>
      <c r="B3049" s="213"/>
      <c r="C3049" s="156"/>
      <c r="D3049" s="125">
        <f>D3050</f>
        <v>1541.55</v>
      </c>
      <c r="E3049" s="133"/>
      <c r="F3049" s="133"/>
      <c r="G3049" s="125"/>
      <c r="H3049" s="162"/>
      <c r="I3049" s="158">
        <f>I3050</f>
        <v>7288448.4000000004</v>
      </c>
      <c r="J3049" s="158"/>
      <c r="K3049" s="158"/>
      <c r="HP3049" s="9"/>
      <c r="HQ3049" s="9"/>
    </row>
    <row r="3050" spans="1:225" ht="15.75" customHeight="1" x14ac:dyDescent="0.35">
      <c r="A3050" s="256">
        <v>1</v>
      </c>
      <c r="B3050" s="256">
        <v>7383</v>
      </c>
      <c r="C3050" s="259" t="s">
        <v>468</v>
      </c>
      <c r="D3050" s="262">
        <v>1541.55</v>
      </c>
      <c r="E3050" s="265" t="s">
        <v>75</v>
      </c>
      <c r="F3050" s="265">
        <v>3</v>
      </c>
      <c r="G3050" s="256" t="s">
        <v>72</v>
      </c>
      <c r="H3050" s="159" t="s">
        <v>73</v>
      </c>
      <c r="I3050" s="158">
        <f>I3051+I3052</f>
        <v>7288448.4000000004</v>
      </c>
      <c r="J3050" s="158">
        <f>J3051+J3052</f>
        <v>4728</v>
      </c>
      <c r="K3050" s="158">
        <f>K3051+K3052</f>
        <v>4728</v>
      </c>
      <c r="L3050" s="1"/>
      <c r="M3050" s="1"/>
      <c r="N3050" s="1"/>
      <c r="O3050" s="1"/>
      <c r="P3050" s="1"/>
      <c r="Q3050" s="1"/>
      <c r="R3050" s="1"/>
      <c r="S3050" s="1"/>
      <c r="T3050" s="1"/>
      <c r="U3050" s="1"/>
      <c r="V3050" s="1"/>
      <c r="W3050" s="1"/>
      <c r="X3050" s="1"/>
      <c r="Y3050" s="1"/>
      <c r="Z3050" s="1"/>
      <c r="AA3050" s="1"/>
      <c r="AB3050" s="1"/>
      <c r="AC3050" s="1"/>
      <c r="AD3050" s="1"/>
      <c r="AE3050" s="1"/>
      <c r="AF3050" s="1"/>
      <c r="AG3050" s="1"/>
      <c r="AH3050" s="1"/>
      <c r="AI3050" s="1"/>
      <c r="AJ3050" s="1"/>
      <c r="AK3050" s="1"/>
      <c r="AL3050" s="1"/>
      <c r="AM3050" s="1"/>
      <c r="AN3050" s="1"/>
      <c r="AO3050" s="1"/>
      <c r="AP3050" s="1"/>
      <c r="AQ3050" s="1"/>
      <c r="AR3050" s="1"/>
      <c r="AS3050" s="1"/>
      <c r="AT3050" s="1"/>
      <c r="AU3050" s="1"/>
      <c r="AV3050" s="1"/>
      <c r="AW3050" s="1"/>
      <c r="AX3050" s="1"/>
      <c r="AY3050" s="1"/>
      <c r="AZ3050" s="1"/>
      <c r="BA3050" s="1"/>
      <c r="BB3050" s="1"/>
      <c r="BC3050" s="1"/>
      <c r="BD3050" s="1"/>
      <c r="BE3050" s="1"/>
      <c r="BF3050" s="1"/>
      <c r="BG3050" s="1"/>
      <c r="BH3050" s="1"/>
      <c r="BI3050" s="1"/>
      <c r="BJ3050" s="1"/>
      <c r="BK3050" s="1"/>
      <c r="BL3050" s="1"/>
      <c r="BM3050" s="1"/>
      <c r="BN3050" s="1"/>
      <c r="BO3050" s="1"/>
      <c r="BP3050" s="1"/>
      <c r="BQ3050" s="1"/>
      <c r="BR3050" s="1"/>
      <c r="BS3050" s="1"/>
      <c r="BT3050" s="1"/>
      <c r="BU3050" s="1"/>
      <c r="BV3050" s="1"/>
      <c r="BW3050" s="1"/>
      <c r="BX3050" s="1"/>
      <c r="BY3050" s="1"/>
      <c r="BZ3050" s="1"/>
      <c r="CA3050" s="1"/>
      <c r="CB3050" s="1"/>
      <c r="CC3050" s="1"/>
      <c r="CD3050" s="1"/>
      <c r="CE3050" s="1"/>
      <c r="CF3050" s="1"/>
      <c r="CG3050" s="1"/>
      <c r="CH3050" s="1"/>
      <c r="CI3050" s="1"/>
      <c r="CJ3050" s="1"/>
      <c r="CK3050" s="1"/>
      <c r="CL3050" s="1"/>
      <c r="CM3050" s="1"/>
      <c r="CN3050" s="1"/>
      <c r="CO3050" s="1"/>
      <c r="CP3050" s="1"/>
      <c r="CQ3050" s="1"/>
      <c r="CR3050" s="1"/>
      <c r="CS3050" s="1"/>
      <c r="CT3050" s="1"/>
      <c r="CU3050" s="1"/>
      <c r="CV3050" s="1"/>
      <c r="CW3050" s="1"/>
      <c r="CX3050" s="1"/>
      <c r="CY3050" s="1"/>
      <c r="CZ3050" s="1"/>
      <c r="DA3050" s="1"/>
      <c r="DB3050" s="1"/>
      <c r="DC3050" s="1"/>
      <c r="DD3050" s="1"/>
      <c r="DE3050" s="1"/>
      <c r="DF3050" s="1"/>
      <c r="DG3050" s="1"/>
      <c r="DH3050" s="1"/>
      <c r="DI3050" s="1"/>
      <c r="DJ3050" s="1"/>
      <c r="DK3050" s="1"/>
      <c r="DL3050" s="1"/>
      <c r="DM3050" s="1"/>
      <c r="DN3050" s="1"/>
      <c r="DO3050" s="1"/>
      <c r="DP3050" s="1"/>
      <c r="DQ3050" s="1"/>
      <c r="DR3050" s="1"/>
      <c r="DS3050" s="1"/>
      <c r="DT3050" s="1"/>
      <c r="DU3050" s="1"/>
      <c r="DV3050" s="1"/>
      <c r="DW3050" s="1"/>
      <c r="DX3050" s="1"/>
      <c r="DY3050" s="1"/>
      <c r="DZ3050" s="1"/>
      <c r="EA3050" s="1"/>
      <c r="EB3050" s="1"/>
      <c r="EC3050" s="1"/>
      <c r="ED3050" s="1"/>
      <c r="EE3050" s="1"/>
      <c r="EF3050" s="1"/>
      <c r="EG3050" s="1"/>
      <c r="EH3050" s="1"/>
      <c r="EI3050" s="1"/>
      <c r="EJ3050" s="1"/>
      <c r="EK3050" s="1"/>
      <c r="EL3050" s="1"/>
      <c r="EM3050" s="1"/>
      <c r="EN3050" s="1"/>
      <c r="EO3050" s="1"/>
      <c r="EP3050" s="1"/>
      <c r="EQ3050" s="1"/>
      <c r="ER3050" s="1"/>
      <c r="ES3050" s="1"/>
      <c r="ET3050" s="1"/>
      <c r="EU3050" s="1"/>
      <c r="EV3050" s="1"/>
      <c r="EW3050" s="1"/>
      <c r="EX3050" s="1"/>
      <c r="EY3050" s="1"/>
      <c r="EZ3050" s="1"/>
      <c r="FA3050" s="1"/>
      <c r="FB3050" s="1"/>
      <c r="FC3050" s="1"/>
      <c r="FD3050" s="1"/>
      <c r="FE3050" s="1"/>
      <c r="FF3050" s="1"/>
      <c r="FG3050" s="1"/>
      <c r="FH3050" s="1"/>
      <c r="FI3050" s="1"/>
      <c r="FJ3050" s="1"/>
      <c r="FK3050" s="1"/>
      <c r="FL3050" s="1"/>
      <c r="FM3050" s="1"/>
      <c r="FN3050" s="1"/>
      <c r="FO3050" s="1"/>
      <c r="FP3050" s="1"/>
      <c r="FQ3050" s="1"/>
      <c r="FR3050" s="1"/>
      <c r="FS3050" s="1"/>
      <c r="FT3050" s="1"/>
      <c r="FU3050" s="1"/>
      <c r="FV3050" s="1"/>
      <c r="FW3050" s="1"/>
      <c r="FX3050" s="1"/>
      <c r="FY3050" s="1"/>
      <c r="FZ3050" s="1"/>
      <c r="GA3050" s="1"/>
      <c r="GB3050" s="1"/>
      <c r="GC3050" s="1"/>
      <c r="GD3050" s="1"/>
      <c r="GE3050" s="1"/>
      <c r="GF3050" s="1"/>
      <c r="GG3050" s="1"/>
      <c r="GH3050" s="1"/>
      <c r="GI3050" s="1"/>
      <c r="GJ3050" s="1"/>
      <c r="GK3050" s="1"/>
      <c r="GL3050" s="1"/>
      <c r="GM3050" s="1"/>
      <c r="GN3050" s="1"/>
      <c r="GO3050" s="1"/>
      <c r="GP3050" s="1"/>
      <c r="GQ3050" s="1"/>
      <c r="GR3050" s="1"/>
      <c r="GS3050" s="1"/>
      <c r="GT3050" s="1"/>
      <c r="GU3050" s="1"/>
      <c r="GV3050" s="1"/>
      <c r="GW3050" s="1"/>
      <c r="GX3050" s="1"/>
      <c r="GY3050" s="1"/>
      <c r="GZ3050" s="1"/>
      <c r="HA3050" s="1"/>
      <c r="HB3050" s="1"/>
      <c r="HC3050" s="1"/>
      <c r="HD3050" s="1"/>
      <c r="HE3050" s="1"/>
      <c r="HF3050" s="1"/>
      <c r="HG3050" s="1"/>
      <c r="HH3050" s="1"/>
      <c r="HI3050" s="1"/>
      <c r="HJ3050" s="1"/>
      <c r="HK3050" s="1"/>
      <c r="HL3050" s="1"/>
      <c r="HM3050" s="1"/>
      <c r="HN3050" s="1"/>
      <c r="HO3050" s="1"/>
      <c r="HP3050" s="1"/>
      <c r="HQ3050" s="1"/>
    </row>
    <row r="3051" spans="1:225" x14ac:dyDescent="0.35">
      <c r="A3051" s="257"/>
      <c r="B3051" s="257"/>
      <c r="C3051" s="260"/>
      <c r="D3051" s="263"/>
      <c r="E3051" s="266"/>
      <c r="F3051" s="266"/>
      <c r="G3051" s="257"/>
      <c r="H3051" s="159" t="s">
        <v>74</v>
      </c>
      <c r="I3051" s="158">
        <f>D3050*K3051</f>
        <v>7135834.9500000002</v>
      </c>
      <c r="J3051" s="158">
        <f>I3051/D3050</f>
        <v>4629</v>
      </c>
      <c r="K3051" s="158">
        <v>4629</v>
      </c>
      <c r="L3051" s="1"/>
      <c r="M3051" s="1"/>
      <c r="N3051" s="1"/>
      <c r="O3051" s="1"/>
      <c r="P3051" s="1"/>
      <c r="Q3051" s="1"/>
      <c r="R3051" s="1"/>
      <c r="S3051" s="1"/>
      <c r="T3051" s="1"/>
      <c r="U3051" s="1"/>
      <c r="V3051" s="1"/>
      <c r="W3051" s="1"/>
      <c r="X3051" s="1"/>
      <c r="Y3051" s="1"/>
      <c r="Z3051" s="1"/>
      <c r="AA3051" s="1"/>
      <c r="AB3051" s="1"/>
      <c r="AC3051" s="1"/>
      <c r="AD3051" s="1"/>
      <c r="AE3051" s="1"/>
      <c r="AF3051" s="1"/>
      <c r="AG3051" s="1"/>
      <c r="AH3051" s="1"/>
      <c r="AI3051" s="1"/>
      <c r="AJ3051" s="1"/>
      <c r="AK3051" s="1"/>
      <c r="AL3051" s="1"/>
      <c r="AM3051" s="1"/>
      <c r="AN3051" s="1"/>
      <c r="AO3051" s="1"/>
      <c r="AP3051" s="1"/>
      <c r="AQ3051" s="1"/>
      <c r="AR3051" s="1"/>
      <c r="AS3051" s="1"/>
      <c r="AT3051" s="1"/>
      <c r="AU3051" s="1"/>
      <c r="AV3051" s="1"/>
      <c r="AW3051" s="1"/>
      <c r="AX3051" s="1"/>
      <c r="AY3051" s="1"/>
      <c r="AZ3051" s="1"/>
      <c r="BA3051" s="1"/>
      <c r="BB3051" s="1"/>
      <c r="BC3051" s="1"/>
      <c r="BD3051" s="1"/>
      <c r="BE3051" s="1"/>
      <c r="BF3051" s="1"/>
      <c r="BG3051" s="1"/>
      <c r="BH3051" s="1"/>
      <c r="BI3051" s="1"/>
      <c r="BJ3051" s="1"/>
      <c r="BK3051" s="1"/>
      <c r="BL3051" s="1"/>
      <c r="BM3051" s="1"/>
      <c r="BN3051" s="1"/>
      <c r="BO3051" s="1"/>
      <c r="BP3051" s="1"/>
      <c r="BQ3051" s="1"/>
      <c r="BR3051" s="1"/>
      <c r="BS3051" s="1"/>
      <c r="BT3051" s="1"/>
      <c r="BU3051" s="1"/>
      <c r="BV3051" s="1"/>
      <c r="BW3051" s="1"/>
      <c r="BX3051" s="1"/>
      <c r="BY3051" s="1"/>
      <c r="BZ3051" s="1"/>
      <c r="CA3051" s="1"/>
      <c r="CB3051" s="1"/>
      <c r="CC3051" s="1"/>
      <c r="CD3051" s="1"/>
      <c r="CE3051" s="1"/>
      <c r="CF3051" s="1"/>
      <c r="CG3051" s="1"/>
      <c r="CH3051" s="1"/>
      <c r="CI3051" s="1"/>
      <c r="CJ3051" s="1"/>
      <c r="CK3051" s="1"/>
      <c r="CL3051" s="1"/>
      <c r="CM3051" s="1"/>
      <c r="CN3051" s="1"/>
      <c r="CO3051" s="1"/>
      <c r="CP3051" s="1"/>
      <c r="CQ3051" s="1"/>
      <c r="CR3051" s="1"/>
      <c r="CS3051" s="1"/>
      <c r="CT3051" s="1"/>
      <c r="CU3051" s="1"/>
      <c r="CV3051" s="1"/>
      <c r="CW3051" s="1"/>
      <c r="CX3051" s="1"/>
      <c r="CY3051" s="1"/>
      <c r="CZ3051" s="1"/>
      <c r="DA3051" s="1"/>
      <c r="DB3051" s="1"/>
      <c r="DC3051" s="1"/>
      <c r="DD3051" s="1"/>
      <c r="DE3051" s="1"/>
      <c r="DF3051" s="1"/>
      <c r="DG3051" s="1"/>
      <c r="DH3051" s="1"/>
      <c r="DI3051" s="1"/>
      <c r="DJ3051" s="1"/>
      <c r="DK3051" s="1"/>
      <c r="DL3051" s="1"/>
      <c r="DM3051" s="1"/>
      <c r="DN3051" s="1"/>
      <c r="DO3051" s="1"/>
      <c r="DP3051" s="1"/>
      <c r="DQ3051" s="1"/>
      <c r="DR3051" s="1"/>
      <c r="DS3051" s="1"/>
      <c r="DT3051" s="1"/>
      <c r="DU3051" s="1"/>
      <c r="DV3051" s="1"/>
      <c r="DW3051" s="1"/>
      <c r="DX3051" s="1"/>
      <c r="DY3051" s="1"/>
      <c r="DZ3051" s="1"/>
      <c r="EA3051" s="1"/>
      <c r="EB3051" s="1"/>
      <c r="EC3051" s="1"/>
      <c r="ED3051" s="1"/>
      <c r="EE3051" s="1"/>
      <c r="EF3051" s="1"/>
      <c r="EG3051" s="1"/>
      <c r="EH3051" s="1"/>
      <c r="EI3051" s="1"/>
      <c r="EJ3051" s="1"/>
      <c r="EK3051" s="1"/>
      <c r="EL3051" s="1"/>
      <c r="EM3051" s="1"/>
      <c r="EN3051" s="1"/>
      <c r="EO3051" s="1"/>
      <c r="EP3051" s="1"/>
      <c r="EQ3051" s="1"/>
      <c r="ER3051" s="1"/>
      <c r="ES3051" s="1"/>
      <c r="ET3051" s="1"/>
      <c r="EU3051" s="1"/>
      <c r="EV3051" s="1"/>
      <c r="EW3051" s="1"/>
      <c r="EX3051" s="1"/>
      <c r="EY3051" s="1"/>
      <c r="EZ3051" s="1"/>
      <c r="FA3051" s="1"/>
      <c r="FB3051" s="1"/>
      <c r="FC3051" s="1"/>
      <c r="FD3051" s="1"/>
      <c r="FE3051" s="1"/>
      <c r="FF3051" s="1"/>
      <c r="FG3051" s="1"/>
      <c r="FH3051" s="1"/>
      <c r="FI3051" s="1"/>
      <c r="FJ3051" s="1"/>
      <c r="FK3051" s="1"/>
      <c r="FL3051" s="1"/>
      <c r="FM3051" s="1"/>
      <c r="FN3051" s="1"/>
      <c r="FO3051" s="1"/>
      <c r="FP3051" s="1"/>
      <c r="FQ3051" s="1"/>
      <c r="FR3051" s="1"/>
      <c r="FS3051" s="1"/>
      <c r="FT3051" s="1"/>
      <c r="FU3051" s="1"/>
      <c r="FV3051" s="1"/>
      <c r="FW3051" s="1"/>
      <c r="FX3051" s="1"/>
      <c r="FY3051" s="1"/>
      <c r="FZ3051" s="1"/>
      <c r="GA3051" s="1"/>
      <c r="GB3051" s="1"/>
      <c r="GC3051" s="1"/>
      <c r="GD3051" s="1"/>
      <c r="GE3051" s="1"/>
      <c r="GF3051" s="1"/>
      <c r="GG3051" s="1"/>
      <c r="GH3051" s="1"/>
      <c r="GI3051" s="1"/>
      <c r="GJ3051" s="1"/>
      <c r="GK3051" s="1"/>
      <c r="GL3051" s="1"/>
      <c r="GM3051" s="1"/>
      <c r="GN3051" s="1"/>
      <c r="GO3051" s="1"/>
      <c r="GP3051" s="1"/>
      <c r="GQ3051" s="1"/>
      <c r="GR3051" s="1"/>
      <c r="GS3051" s="1"/>
      <c r="GT3051" s="1"/>
      <c r="GU3051" s="1"/>
      <c r="GV3051" s="1"/>
      <c r="GW3051" s="1"/>
      <c r="GX3051" s="1"/>
      <c r="GY3051" s="1"/>
      <c r="GZ3051" s="1"/>
      <c r="HA3051" s="1"/>
      <c r="HB3051" s="1"/>
      <c r="HC3051" s="1"/>
      <c r="HD3051" s="1"/>
      <c r="HE3051" s="1"/>
      <c r="HF3051" s="1"/>
      <c r="HG3051" s="1"/>
      <c r="HH3051" s="1"/>
      <c r="HI3051" s="1"/>
      <c r="HJ3051" s="1"/>
      <c r="HK3051" s="1"/>
      <c r="HL3051" s="1"/>
      <c r="HM3051" s="1"/>
      <c r="HN3051" s="1"/>
      <c r="HO3051" s="1"/>
      <c r="HP3051" s="1"/>
      <c r="HQ3051" s="1"/>
    </row>
    <row r="3052" spans="1:225" x14ac:dyDescent="0.35">
      <c r="A3052" s="258"/>
      <c r="B3052" s="258"/>
      <c r="C3052" s="261"/>
      <c r="D3052" s="264"/>
      <c r="E3052" s="267"/>
      <c r="F3052" s="267"/>
      <c r="G3052" s="258"/>
      <c r="H3052" s="159" t="s">
        <v>76</v>
      </c>
      <c r="I3052" s="158">
        <f>D3050*K3052</f>
        <v>152613.45000000001</v>
      </c>
      <c r="J3052" s="158">
        <f>I3052/D3050</f>
        <v>99</v>
      </c>
      <c r="K3052" s="158">
        <v>99</v>
      </c>
      <c r="L3052" s="1"/>
      <c r="M3052" s="1"/>
      <c r="N3052" s="1"/>
      <c r="O3052" s="1"/>
      <c r="P3052" s="1"/>
      <c r="Q3052" s="1"/>
      <c r="R3052" s="1"/>
      <c r="S3052" s="1"/>
      <c r="T3052" s="1"/>
      <c r="U3052" s="1"/>
      <c r="V3052" s="1"/>
      <c r="W3052" s="1"/>
      <c r="X3052" s="1"/>
      <c r="Y3052" s="1"/>
      <c r="Z3052" s="1"/>
      <c r="AA3052" s="1"/>
      <c r="AB3052" s="1"/>
      <c r="AC3052" s="1"/>
      <c r="AD3052" s="1"/>
      <c r="AE3052" s="1"/>
      <c r="AF3052" s="1"/>
      <c r="AG3052" s="1"/>
      <c r="AH3052" s="1"/>
      <c r="AI3052" s="1"/>
      <c r="AJ3052" s="1"/>
      <c r="AK3052" s="1"/>
      <c r="AL3052" s="1"/>
      <c r="AM3052" s="1"/>
      <c r="AN3052" s="1"/>
      <c r="AO3052" s="1"/>
      <c r="AP3052" s="1"/>
      <c r="AQ3052" s="1"/>
      <c r="AR3052" s="1"/>
      <c r="AS3052" s="1"/>
      <c r="AT3052" s="1"/>
      <c r="AU3052" s="1"/>
      <c r="AV3052" s="1"/>
      <c r="AW3052" s="1"/>
      <c r="AX3052" s="1"/>
      <c r="AY3052" s="1"/>
      <c r="AZ3052" s="1"/>
      <c r="BA3052" s="1"/>
      <c r="BB3052" s="1"/>
      <c r="BC3052" s="1"/>
      <c r="BD3052" s="1"/>
      <c r="BE3052" s="1"/>
      <c r="BF3052" s="1"/>
      <c r="BG3052" s="1"/>
      <c r="BH3052" s="1"/>
      <c r="BI3052" s="1"/>
      <c r="BJ3052" s="1"/>
      <c r="BK3052" s="1"/>
      <c r="BL3052" s="1"/>
      <c r="BM3052" s="1"/>
      <c r="BN3052" s="1"/>
      <c r="BO3052" s="1"/>
      <c r="BP3052" s="1"/>
      <c r="BQ3052" s="1"/>
      <c r="BR3052" s="1"/>
      <c r="BS3052" s="1"/>
      <c r="BT3052" s="1"/>
      <c r="BU3052" s="1"/>
      <c r="BV3052" s="1"/>
      <c r="BW3052" s="1"/>
      <c r="BX3052" s="1"/>
      <c r="BY3052" s="1"/>
      <c r="BZ3052" s="1"/>
      <c r="CA3052" s="1"/>
      <c r="CB3052" s="1"/>
      <c r="CC3052" s="1"/>
      <c r="CD3052" s="1"/>
      <c r="CE3052" s="1"/>
      <c r="CF3052" s="1"/>
      <c r="CG3052" s="1"/>
      <c r="CH3052" s="1"/>
      <c r="CI3052" s="1"/>
      <c r="CJ3052" s="1"/>
      <c r="CK3052" s="1"/>
      <c r="CL3052" s="1"/>
      <c r="CM3052" s="1"/>
      <c r="CN3052" s="1"/>
      <c r="CO3052" s="1"/>
      <c r="CP3052" s="1"/>
      <c r="CQ3052" s="1"/>
      <c r="CR3052" s="1"/>
      <c r="CS3052" s="1"/>
      <c r="CT3052" s="1"/>
      <c r="CU3052" s="1"/>
      <c r="CV3052" s="1"/>
      <c r="CW3052" s="1"/>
      <c r="CX3052" s="1"/>
      <c r="CY3052" s="1"/>
      <c r="CZ3052" s="1"/>
      <c r="DA3052" s="1"/>
      <c r="DB3052" s="1"/>
      <c r="DC3052" s="1"/>
      <c r="DD3052" s="1"/>
      <c r="DE3052" s="1"/>
      <c r="DF3052" s="1"/>
      <c r="DG3052" s="1"/>
      <c r="DH3052" s="1"/>
      <c r="DI3052" s="1"/>
      <c r="DJ3052" s="1"/>
      <c r="DK3052" s="1"/>
      <c r="DL3052" s="1"/>
      <c r="DM3052" s="1"/>
      <c r="DN3052" s="1"/>
      <c r="DO3052" s="1"/>
      <c r="DP3052" s="1"/>
      <c r="DQ3052" s="1"/>
      <c r="DR3052" s="1"/>
      <c r="DS3052" s="1"/>
      <c r="DT3052" s="1"/>
      <c r="DU3052" s="1"/>
      <c r="DV3052" s="1"/>
      <c r="DW3052" s="1"/>
      <c r="DX3052" s="1"/>
      <c r="DY3052" s="1"/>
      <c r="DZ3052" s="1"/>
      <c r="EA3052" s="1"/>
      <c r="EB3052" s="1"/>
      <c r="EC3052" s="1"/>
      <c r="ED3052" s="1"/>
      <c r="EE3052" s="1"/>
      <c r="EF3052" s="1"/>
      <c r="EG3052" s="1"/>
      <c r="EH3052" s="1"/>
      <c r="EI3052" s="1"/>
      <c r="EJ3052" s="1"/>
      <c r="EK3052" s="1"/>
      <c r="EL3052" s="1"/>
      <c r="EM3052" s="1"/>
      <c r="EN3052" s="1"/>
      <c r="EO3052" s="1"/>
      <c r="EP3052" s="1"/>
      <c r="EQ3052" s="1"/>
      <c r="ER3052" s="1"/>
      <c r="ES3052" s="1"/>
      <c r="ET3052" s="1"/>
      <c r="EU3052" s="1"/>
      <c r="EV3052" s="1"/>
      <c r="EW3052" s="1"/>
      <c r="EX3052" s="1"/>
      <c r="EY3052" s="1"/>
      <c r="EZ3052" s="1"/>
      <c r="FA3052" s="1"/>
      <c r="FB3052" s="1"/>
      <c r="FC3052" s="1"/>
      <c r="FD3052" s="1"/>
      <c r="FE3052" s="1"/>
      <c r="FF3052" s="1"/>
      <c r="FG3052" s="1"/>
      <c r="FH3052" s="1"/>
      <c r="FI3052" s="1"/>
      <c r="FJ3052" s="1"/>
      <c r="FK3052" s="1"/>
      <c r="FL3052" s="1"/>
      <c r="FM3052" s="1"/>
      <c r="FN3052" s="1"/>
      <c r="FO3052" s="1"/>
      <c r="FP3052" s="1"/>
      <c r="FQ3052" s="1"/>
      <c r="FR3052" s="1"/>
      <c r="FS3052" s="1"/>
      <c r="FT3052" s="1"/>
      <c r="FU3052" s="1"/>
      <c r="FV3052" s="1"/>
      <c r="FW3052" s="1"/>
      <c r="FX3052" s="1"/>
      <c r="FY3052" s="1"/>
      <c r="FZ3052" s="1"/>
      <c r="GA3052" s="1"/>
      <c r="GB3052" s="1"/>
      <c r="GC3052" s="1"/>
      <c r="GD3052" s="1"/>
      <c r="GE3052" s="1"/>
      <c r="GF3052" s="1"/>
      <c r="GG3052" s="1"/>
      <c r="GH3052" s="1"/>
      <c r="GI3052" s="1"/>
      <c r="GJ3052" s="1"/>
      <c r="GK3052" s="1"/>
      <c r="GL3052" s="1"/>
      <c r="GM3052" s="1"/>
      <c r="GN3052" s="1"/>
      <c r="GO3052" s="1"/>
      <c r="GP3052" s="1"/>
      <c r="GQ3052" s="1"/>
      <c r="GR3052" s="1"/>
      <c r="GS3052" s="1"/>
      <c r="GT3052" s="1"/>
      <c r="GU3052" s="1"/>
      <c r="GV3052" s="1"/>
      <c r="GW3052" s="1"/>
      <c r="GX3052" s="1"/>
      <c r="GY3052" s="1"/>
      <c r="GZ3052" s="1"/>
      <c r="HA3052" s="1"/>
      <c r="HB3052" s="1"/>
      <c r="HC3052" s="1"/>
      <c r="HD3052" s="1"/>
      <c r="HE3052" s="1"/>
      <c r="HF3052" s="1"/>
      <c r="HG3052" s="1"/>
      <c r="HH3052" s="1"/>
      <c r="HI3052" s="1"/>
      <c r="HJ3052" s="1"/>
      <c r="HK3052" s="1"/>
      <c r="HL3052" s="1"/>
      <c r="HM3052" s="1"/>
      <c r="HN3052" s="1"/>
      <c r="HO3052" s="1"/>
      <c r="HP3052" s="1"/>
      <c r="HQ3052" s="1"/>
    </row>
    <row r="3053" spans="1:225" x14ac:dyDescent="0.35">
      <c r="A3053" s="153" t="s">
        <v>48</v>
      </c>
      <c r="B3053" s="147"/>
      <c r="C3053" s="73"/>
      <c r="D3053" s="142">
        <f>D3054+D3057+D3062+D3065+D3068</f>
        <v>7027.88</v>
      </c>
      <c r="E3053" s="142"/>
      <c r="F3053" s="51"/>
      <c r="G3053" s="125"/>
      <c r="H3053" s="162"/>
      <c r="I3053" s="158">
        <f>I3054+I3057+I3062+I3065+I3068</f>
        <v>28779265.300000001</v>
      </c>
      <c r="J3053" s="158"/>
      <c r="K3053" s="158"/>
      <c r="HP3053" s="9"/>
      <c r="HQ3053" s="9"/>
    </row>
    <row r="3054" spans="1:225" ht="15.75" customHeight="1" x14ac:dyDescent="0.35">
      <c r="A3054" s="305">
        <v>1</v>
      </c>
      <c r="B3054" s="305">
        <v>6870</v>
      </c>
      <c r="C3054" s="252" t="s">
        <v>640</v>
      </c>
      <c r="D3054" s="262">
        <v>2436</v>
      </c>
      <c r="E3054" s="262" t="s">
        <v>71</v>
      </c>
      <c r="F3054" s="265">
        <v>5</v>
      </c>
      <c r="G3054" s="256" t="s">
        <v>72</v>
      </c>
      <c r="H3054" s="163" t="s">
        <v>73</v>
      </c>
      <c r="I3054" s="219">
        <f>I3055+I3056</f>
        <v>6896316</v>
      </c>
      <c r="J3054" s="219">
        <f>J3055+J3056</f>
        <v>2831</v>
      </c>
      <c r="K3054" s="219">
        <f>K3055+K3056</f>
        <v>2831</v>
      </c>
      <c r="L3054" s="1"/>
      <c r="M3054" s="1"/>
      <c r="N3054" s="1"/>
      <c r="O3054" s="1"/>
      <c r="P3054" s="1"/>
      <c r="Q3054" s="1"/>
      <c r="R3054" s="1"/>
      <c r="S3054" s="1"/>
      <c r="T3054" s="1"/>
      <c r="U3054" s="1"/>
      <c r="V3054" s="1"/>
      <c r="W3054" s="1"/>
      <c r="X3054" s="1"/>
      <c r="Y3054" s="1"/>
      <c r="Z3054" s="1"/>
      <c r="AA3054" s="1"/>
      <c r="AB3054" s="1"/>
      <c r="AC3054" s="1"/>
      <c r="AD3054" s="1"/>
      <c r="AE3054" s="1"/>
      <c r="AF3054" s="1"/>
      <c r="AG3054" s="1"/>
      <c r="AH3054" s="1"/>
      <c r="AI3054" s="1"/>
      <c r="AJ3054" s="1"/>
      <c r="AK3054" s="1"/>
      <c r="AL3054" s="1"/>
      <c r="AM3054" s="1"/>
      <c r="AN3054" s="1"/>
      <c r="AO3054" s="1"/>
      <c r="AP3054" s="1"/>
      <c r="AQ3054" s="1"/>
      <c r="AR3054" s="1"/>
      <c r="AS3054" s="1"/>
      <c r="AT3054" s="1"/>
      <c r="AU3054" s="1"/>
      <c r="AV3054" s="1"/>
      <c r="AW3054" s="1"/>
      <c r="AX3054" s="1"/>
      <c r="AY3054" s="1"/>
      <c r="AZ3054" s="1"/>
      <c r="BA3054" s="1"/>
      <c r="BB3054" s="1"/>
      <c r="BC3054" s="1"/>
      <c r="BD3054" s="1"/>
      <c r="BE3054" s="1"/>
      <c r="BF3054" s="1"/>
      <c r="BG3054" s="1"/>
      <c r="BH3054" s="1"/>
      <c r="BI3054" s="1"/>
      <c r="BJ3054" s="1"/>
      <c r="BK3054" s="1"/>
      <c r="BL3054" s="1"/>
      <c r="BM3054" s="1"/>
      <c r="BN3054" s="1"/>
      <c r="BO3054" s="1"/>
      <c r="BP3054" s="1"/>
      <c r="BQ3054" s="1"/>
      <c r="BR3054" s="1"/>
      <c r="BS3054" s="1"/>
      <c r="BT3054" s="1"/>
      <c r="BU3054" s="1"/>
      <c r="BV3054" s="1"/>
      <c r="BW3054" s="1"/>
      <c r="BX3054" s="1"/>
      <c r="BY3054" s="1"/>
      <c r="BZ3054" s="1"/>
      <c r="CA3054" s="1"/>
      <c r="CB3054" s="1"/>
      <c r="CC3054" s="1"/>
      <c r="CD3054" s="1"/>
      <c r="CE3054" s="1"/>
      <c r="CF3054" s="1"/>
      <c r="CG3054" s="1"/>
      <c r="CH3054" s="1"/>
      <c r="CI3054" s="1"/>
      <c r="CJ3054" s="1"/>
      <c r="CK3054" s="1"/>
      <c r="CL3054" s="1"/>
      <c r="CM3054" s="1"/>
      <c r="CN3054" s="1"/>
      <c r="CO3054" s="1"/>
      <c r="CP3054" s="1"/>
      <c r="CQ3054" s="1"/>
      <c r="CR3054" s="1"/>
      <c r="CS3054" s="1"/>
      <c r="CT3054" s="1"/>
      <c r="CU3054" s="1"/>
      <c r="CV3054" s="1"/>
      <c r="CW3054" s="1"/>
      <c r="CX3054" s="1"/>
      <c r="CY3054" s="1"/>
      <c r="CZ3054" s="1"/>
      <c r="DA3054" s="1"/>
      <c r="DB3054" s="1"/>
      <c r="DC3054" s="1"/>
      <c r="DD3054" s="1"/>
      <c r="DE3054" s="1"/>
      <c r="DF3054" s="1"/>
      <c r="DG3054" s="1"/>
      <c r="DH3054" s="1"/>
      <c r="DI3054" s="1"/>
      <c r="DJ3054" s="1"/>
      <c r="DK3054" s="1"/>
      <c r="DL3054" s="1"/>
      <c r="DM3054" s="1"/>
      <c r="DN3054" s="1"/>
      <c r="DO3054" s="1"/>
      <c r="DP3054" s="1"/>
      <c r="DQ3054" s="1"/>
      <c r="DR3054" s="1"/>
      <c r="DS3054" s="1"/>
      <c r="DT3054" s="1"/>
      <c r="DU3054" s="1"/>
      <c r="DV3054" s="1"/>
      <c r="DW3054" s="1"/>
      <c r="DX3054" s="1"/>
      <c r="DY3054" s="1"/>
      <c r="DZ3054" s="1"/>
      <c r="EA3054" s="1"/>
      <c r="EB3054" s="1"/>
      <c r="EC3054" s="1"/>
      <c r="ED3054" s="1"/>
      <c r="EE3054" s="1"/>
      <c r="EF3054" s="1"/>
      <c r="EG3054" s="1"/>
      <c r="EH3054" s="1"/>
      <c r="EI3054" s="1"/>
      <c r="EJ3054" s="1"/>
      <c r="EK3054" s="1"/>
      <c r="EL3054" s="1"/>
      <c r="EM3054" s="1"/>
      <c r="EN3054" s="1"/>
      <c r="EO3054" s="1"/>
      <c r="EP3054" s="1"/>
      <c r="EQ3054" s="1"/>
      <c r="ER3054" s="1"/>
      <c r="ES3054" s="1"/>
      <c r="ET3054" s="1"/>
      <c r="EU3054" s="1"/>
      <c r="EV3054" s="1"/>
      <c r="EW3054" s="1"/>
      <c r="EX3054" s="1"/>
      <c r="EY3054" s="1"/>
      <c r="EZ3054" s="1"/>
      <c r="FA3054" s="1"/>
      <c r="FB3054" s="1"/>
      <c r="FC3054" s="1"/>
      <c r="FD3054" s="1"/>
      <c r="FE3054" s="1"/>
      <c r="FF3054" s="1"/>
      <c r="FG3054" s="1"/>
      <c r="FH3054" s="1"/>
      <c r="FI3054" s="1"/>
      <c r="FJ3054" s="1"/>
      <c r="FK3054" s="1"/>
      <c r="FL3054" s="1"/>
      <c r="FM3054" s="1"/>
      <c r="FN3054" s="1"/>
      <c r="FO3054" s="1"/>
      <c r="FP3054" s="1"/>
      <c r="FQ3054" s="1"/>
      <c r="FR3054" s="1"/>
      <c r="FS3054" s="1"/>
      <c r="FT3054" s="1"/>
      <c r="FU3054" s="1"/>
      <c r="FV3054" s="1"/>
      <c r="FW3054" s="1"/>
      <c r="FX3054" s="1"/>
      <c r="FY3054" s="1"/>
      <c r="FZ3054" s="1"/>
      <c r="GA3054" s="1"/>
      <c r="GB3054" s="1"/>
      <c r="GC3054" s="1"/>
      <c r="GD3054" s="1"/>
      <c r="GE3054" s="1"/>
      <c r="GF3054" s="1"/>
      <c r="GG3054" s="1"/>
      <c r="GH3054" s="1"/>
      <c r="GI3054" s="1"/>
      <c r="GJ3054" s="1"/>
      <c r="GK3054" s="1"/>
      <c r="GL3054" s="1"/>
      <c r="GM3054" s="1"/>
      <c r="GN3054" s="1"/>
      <c r="GO3054" s="1"/>
      <c r="GP3054" s="1"/>
      <c r="GQ3054" s="1"/>
      <c r="GR3054" s="1"/>
      <c r="GS3054" s="1"/>
      <c r="GT3054" s="1"/>
      <c r="GU3054" s="1"/>
      <c r="GV3054" s="1"/>
      <c r="GW3054" s="1"/>
      <c r="GX3054" s="1"/>
      <c r="GY3054" s="1"/>
      <c r="GZ3054" s="1"/>
      <c r="HA3054" s="1"/>
      <c r="HB3054" s="1"/>
      <c r="HC3054" s="1"/>
      <c r="HD3054" s="1"/>
      <c r="HE3054" s="1"/>
      <c r="HF3054" s="1"/>
      <c r="HG3054" s="1"/>
      <c r="HH3054" s="1"/>
      <c r="HI3054" s="1"/>
      <c r="HJ3054" s="1"/>
      <c r="HK3054" s="1"/>
      <c r="HL3054" s="1"/>
      <c r="HM3054" s="1"/>
      <c r="HN3054" s="1"/>
      <c r="HO3054" s="1"/>
      <c r="HP3054" s="1"/>
      <c r="HQ3054" s="1"/>
    </row>
    <row r="3055" spans="1:225" x14ac:dyDescent="0.35">
      <c r="A3055" s="306"/>
      <c r="B3055" s="306"/>
      <c r="C3055" s="252"/>
      <c r="D3055" s="263"/>
      <c r="E3055" s="263"/>
      <c r="F3055" s="266"/>
      <c r="G3055" s="257"/>
      <c r="H3055" s="163" t="s">
        <v>74</v>
      </c>
      <c r="I3055" s="219">
        <f>D3054*K3055</f>
        <v>6752592</v>
      </c>
      <c r="J3055" s="219">
        <f>I3055/D3054</f>
        <v>2772</v>
      </c>
      <c r="K3055" s="219">
        <v>2772</v>
      </c>
      <c r="L3055" s="1"/>
      <c r="M3055" s="1"/>
      <c r="N3055" s="1"/>
      <c r="O3055" s="1"/>
      <c r="P3055" s="1"/>
      <c r="Q3055" s="1"/>
      <c r="R3055" s="1"/>
      <c r="S3055" s="1"/>
      <c r="T3055" s="1"/>
      <c r="U3055" s="1"/>
      <c r="V3055" s="1"/>
      <c r="W3055" s="1"/>
      <c r="X3055" s="1"/>
      <c r="Y3055" s="1"/>
      <c r="Z3055" s="1"/>
      <c r="AA3055" s="1"/>
      <c r="AB3055" s="1"/>
      <c r="AC3055" s="1"/>
      <c r="AD3055" s="1"/>
      <c r="AE3055" s="1"/>
      <c r="AF3055" s="1"/>
      <c r="AG3055" s="1"/>
      <c r="AH3055" s="1"/>
      <c r="AI3055" s="1"/>
      <c r="AJ3055" s="1"/>
      <c r="AK3055" s="1"/>
      <c r="AL3055" s="1"/>
      <c r="AM3055" s="1"/>
      <c r="AN3055" s="1"/>
      <c r="AO3055" s="1"/>
      <c r="AP3055" s="1"/>
      <c r="AQ3055" s="1"/>
      <c r="AR3055" s="1"/>
      <c r="AS3055" s="1"/>
      <c r="AT3055" s="1"/>
      <c r="AU3055" s="1"/>
      <c r="AV3055" s="1"/>
      <c r="AW3055" s="1"/>
      <c r="AX3055" s="1"/>
      <c r="AY3055" s="1"/>
      <c r="AZ3055" s="1"/>
      <c r="BA3055" s="1"/>
      <c r="BB3055" s="1"/>
      <c r="BC3055" s="1"/>
      <c r="BD3055" s="1"/>
      <c r="BE3055" s="1"/>
      <c r="BF3055" s="1"/>
      <c r="BG3055" s="1"/>
      <c r="BH3055" s="1"/>
      <c r="BI3055" s="1"/>
      <c r="BJ3055" s="1"/>
      <c r="BK3055" s="1"/>
      <c r="BL3055" s="1"/>
      <c r="BM3055" s="1"/>
      <c r="BN3055" s="1"/>
      <c r="BO3055" s="1"/>
      <c r="BP3055" s="1"/>
      <c r="BQ3055" s="1"/>
      <c r="BR3055" s="1"/>
      <c r="BS3055" s="1"/>
      <c r="BT3055" s="1"/>
      <c r="BU3055" s="1"/>
      <c r="BV3055" s="1"/>
      <c r="BW3055" s="1"/>
      <c r="BX3055" s="1"/>
      <c r="BY3055" s="1"/>
      <c r="BZ3055" s="1"/>
      <c r="CA3055" s="1"/>
      <c r="CB3055" s="1"/>
      <c r="CC3055" s="1"/>
      <c r="CD3055" s="1"/>
      <c r="CE3055" s="1"/>
      <c r="CF3055" s="1"/>
      <c r="CG3055" s="1"/>
      <c r="CH3055" s="1"/>
      <c r="CI3055" s="1"/>
      <c r="CJ3055" s="1"/>
      <c r="CK3055" s="1"/>
      <c r="CL3055" s="1"/>
      <c r="CM3055" s="1"/>
      <c r="CN3055" s="1"/>
      <c r="CO3055" s="1"/>
      <c r="CP3055" s="1"/>
      <c r="CQ3055" s="1"/>
      <c r="CR3055" s="1"/>
      <c r="CS3055" s="1"/>
      <c r="CT3055" s="1"/>
      <c r="CU3055" s="1"/>
      <c r="CV3055" s="1"/>
      <c r="CW3055" s="1"/>
      <c r="CX3055" s="1"/>
      <c r="CY3055" s="1"/>
      <c r="CZ3055" s="1"/>
      <c r="DA3055" s="1"/>
      <c r="DB3055" s="1"/>
      <c r="DC3055" s="1"/>
      <c r="DD3055" s="1"/>
      <c r="DE3055" s="1"/>
      <c r="DF3055" s="1"/>
      <c r="DG3055" s="1"/>
      <c r="DH3055" s="1"/>
      <c r="DI3055" s="1"/>
      <c r="DJ3055" s="1"/>
      <c r="DK3055" s="1"/>
      <c r="DL3055" s="1"/>
      <c r="DM3055" s="1"/>
      <c r="DN3055" s="1"/>
      <c r="DO3055" s="1"/>
      <c r="DP3055" s="1"/>
      <c r="DQ3055" s="1"/>
      <c r="DR3055" s="1"/>
      <c r="DS3055" s="1"/>
      <c r="DT3055" s="1"/>
      <c r="DU3055" s="1"/>
      <c r="DV3055" s="1"/>
      <c r="DW3055" s="1"/>
      <c r="DX3055" s="1"/>
      <c r="DY3055" s="1"/>
      <c r="DZ3055" s="1"/>
      <c r="EA3055" s="1"/>
      <c r="EB3055" s="1"/>
      <c r="EC3055" s="1"/>
      <c r="ED3055" s="1"/>
      <c r="EE3055" s="1"/>
      <c r="EF3055" s="1"/>
      <c r="EG3055" s="1"/>
      <c r="EH3055" s="1"/>
      <c r="EI3055" s="1"/>
      <c r="EJ3055" s="1"/>
      <c r="EK3055" s="1"/>
      <c r="EL3055" s="1"/>
      <c r="EM3055" s="1"/>
      <c r="EN3055" s="1"/>
      <c r="EO3055" s="1"/>
      <c r="EP3055" s="1"/>
      <c r="EQ3055" s="1"/>
      <c r="ER3055" s="1"/>
      <c r="ES3055" s="1"/>
      <c r="ET3055" s="1"/>
      <c r="EU3055" s="1"/>
      <c r="EV3055" s="1"/>
      <c r="EW3055" s="1"/>
      <c r="EX3055" s="1"/>
      <c r="EY3055" s="1"/>
      <c r="EZ3055" s="1"/>
      <c r="FA3055" s="1"/>
      <c r="FB3055" s="1"/>
      <c r="FC3055" s="1"/>
      <c r="FD3055" s="1"/>
      <c r="FE3055" s="1"/>
      <c r="FF3055" s="1"/>
      <c r="FG3055" s="1"/>
      <c r="FH3055" s="1"/>
      <c r="FI3055" s="1"/>
      <c r="FJ3055" s="1"/>
      <c r="FK3055" s="1"/>
      <c r="FL3055" s="1"/>
      <c r="FM3055" s="1"/>
      <c r="FN3055" s="1"/>
      <c r="FO3055" s="1"/>
      <c r="FP3055" s="1"/>
      <c r="FQ3055" s="1"/>
      <c r="FR3055" s="1"/>
      <c r="FS3055" s="1"/>
      <c r="FT3055" s="1"/>
      <c r="FU3055" s="1"/>
      <c r="FV3055" s="1"/>
      <c r="FW3055" s="1"/>
      <c r="FX3055" s="1"/>
      <c r="FY3055" s="1"/>
      <c r="FZ3055" s="1"/>
      <c r="GA3055" s="1"/>
      <c r="GB3055" s="1"/>
      <c r="GC3055" s="1"/>
      <c r="GD3055" s="1"/>
      <c r="GE3055" s="1"/>
      <c r="GF3055" s="1"/>
      <c r="GG3055" s="1"/>
      <c r="GH3055" s="1"/>
      <c r="GI3055" s="1"/>
      <c r="GJ3055" s="1"/>
      <c r="GK3055" s="1"/>
      <c r="GL3055" s="1"/>
      <c r="GM3055" s="1"/>
      <c r="GN3055" s="1"/>
      <c r="GO3055" s="1"/>
      <c r="GP3055" s="1"/>
      <c r="GQ3055" s="1"/>
      <c r="GR3055" s="1"/>
      <c r="GS3055" s="1"/>
      <c r="GT3055" s="1"/>
      <c r="GU3055" s="1"/>
      <c r="GV3055" s="1"/>
      <c r="GW3055" s="1"/>
      <c r="GX3055" s="1"/>
      <c r="GY3055" s="1"/>
      <c r="GZ3055" s="1"/>
      <c r="HA3055" s="1"/>
      <c r="HB3055" s="1"/>
      <c r="HC3055" s="1"/>
      <c r="HD3055" s="1"/>
      <c r="HE3055" s="1"/>
      <c r="HF3055" s="1"/>
      <c r="HG3055" s="1"/>
      <c r="HH3055" s="1"/>
      <c r="HI3055" s="1"/>
      <c r="HJ3055" s="1"/>
      <c r="HK3055" s="1"/>
      <c r="HL3055" s="1"/>
      <c r="HM3055" s="1"/>
      <c r="HN3055" s="1"/>
      <c r="HO3055" s="1"/>
      <c r="HP3055" s="1"/>
      <c r="HQ3055" s="1"/>
    </row>
    <row r="3056" spans="1:225" x14ac:dyDescent="0.35">
      <c r="A3056" s="321"/>
      <c r="B3056" s="321"/>
      <c r="C3056" s="252"/>
      <c r="D3056" s="264"/>
      <c r="E3056" s="264"/>
      <c r="F3056" s="267"/>
      <c r="G3056" s="258"/>
      <c r="H3056" s="163" t="s">
        <v>76</v>
      </c>
      <c r="I3056" s="219">
        <f>D3054*K3056</f>
        <v>143724</v>
      </c>
      <c r="J3056" s="219">
        <f>I3056/D3054</f>
        <v>59</v>
      </c>
      <c r="K3056" s="219">
        <v>59</v>
      </c>
      <c r="L3056" s="1"/>
      <c r="M3056" s="1"/>
      <c r="N3056" s="1"/>
      <c r="O3056" s="1"/>
      <c r="P3056" s="1"/>
      <c r="Q3056" s="1"/>
      <c r="R3056" s="1"/>
      <c r="S3056" s="1"/>
      <c r="T3056" s="1"/>
      <c r="U3056" s="1"/>
      <c r="V3056" s="1"/>
      <c r="W3056" s="1"/>
      <c r="X3056" s="1"/>
      <c r="Y3056" s="1"/>
      <c r="Z3056" s="1"/>
      <c r="AA3056" s="1"/>
      <c r="AB3056" s="1"/>
      <c r="AC3056" s="1"/>
      <c r="AD3056" s="1"/>
      <c r="AE3056" s="1"/>
      <c r="AF3056" s="1"/>
      <c r="AG3056" s="1"/>
      <c r="AH3056" s="1"/>
      <c r="AI3056" s="1"/>
      <c r="AJ3056" s="1"/>
      <c r="AK3056" s="1"/>
      <c r="AL3056" s="1"/>
      <c r="AM3056" s="1"/>
      <c r="AN3056" s="1"/>
      <c r="AO3056" s="1"/>
      <c r="AP3056" s="1"/>
      <c r="AQ3056" s="1"/>
      <c r="AR3056" s="1"/>
      <c r="AS3056" s="1"/>
      <c r="AT3056" s="1"/>
      <c r="AU3056" s="1"/>
      <c r="AV3056" s="1"/>
      <c r="AW3056" s="1"/>
      <c r="AX3056" s="1"/>
      <c r="AY3056" s="1"/>
      <c r="AZ3056" s="1"/>
      <c r="BA3056" s="1"/>
      <c r="BB3056" s="1"/>
      <c r="BC3056" s="1"/>
      <c r="BD3056" s="1"/>
      <c r="BE3056" s="1"/>
      <c r="BF3056" s="1"/>
      <c r="BG3056" s="1"/>
      <c r="BH3056" s="1"/>
      <c r="BI3056" s="1"/>
      <c r="BJ3056" s="1"/>
      <c r="BK3056" s="1"/>
      <c r="BL3056" s="1"/>
      <c r="BM3056" s="1"/>
      <c r="BN3056" s="1"/>
      <c r="BO3056" s="1"/>
      <c r="BP3056" s="1"/>
      <c r="BQ3056" s="1"/>
      <c r="BR3056" s="1"/>
      <c r="BS3056" s="1"/>
      <c r="BT3056" s="1"/>
      <c r="BU3056" s="1"/>
      <c r="BV3056" s="1"/>
      <c r="BW3056" s="1"/>
      <c r="BX3056" s="1"/>
      <c r="BY3056" s="1"/>
      <c r="BZ3056" s="1"/>
      <c r="CA3056" s="1"/>
      <c r="CB3056" s="1"/>
      <c r="CC3056" s="1"/>
      <c r="CD3056" s="1"/>
      <c r="CE3056" s="1"/>
      <c r="CF3056" s="1"/>
      <c r="CG3056" s="1"/>
      <c r="CH3056" s="1"/>
      <c r="CI3056" s="1"/>
      <c r="CJ3056" s="1"/>
      <c r="CK3056" s="1"/>
      <c r="CL3056" s="1"/>
      <c r="CM3056" s="1"/>
      <c r="CN3056" s="1"/>
      <c r="CO3056" s="1"/>
      <c r="CP3056" s="1"/>
      <c r="CQ3056" s="1"/>
      <c r="CR3056" s="1"/>
      <c r="CS3056" s="1"/>
      <c r="CT3056" s="1"/>
      <c r="CU3056" s="1"/>
      <c r="CV3056" s="1"/>
      <c r="CW3056" s="1"/>
      <c r="CX3056" s="1"/>
      <c r="CY3056" s="1"/>
      <c r="CZ3056" s="1"/>
      <c r="DA3056" s="1"/>
      <c r="DB3056" s="1"/>
      <c r="DC3056" s="1"/>
      <c r="DD3056" s="1"/>
      <c r="DE3056" s="1"/>
      <c r="DF3056" s="1"/>
      <c r="DG3056" s="1"/>
      <c r="DH3056" s="1"/>
      <c r="DI3056" s="1"/>
      <c r="DJ3056" s="1"/>
      <c r="DK3056" s="1"/>
      <c r="DL3056" s="1"/>
      <c r="DM3056" s="1"/>
      <c r="DN3056" s="1"/>
      <c r="DO3056" s="1"/>
      <c r="DP3056" s="1"/>
      <c r="DQ3056" s="1"/>
      <c r="DR3056" s="1"/>
      <c r="DS3056" s="1"/>
      <c r="DT3056" s="1"/>
      <c r="DU3056" s="1"/>
      <c r="DV3056" s="1"/>
      <c r="DW3056" s="1"/>
      <c r="DX3056" s="1"/>
      <c r="DY3056" s="1"/>
      <c r="DZ3056" s="1"/>
      <c r="EA3056" s="1"/>
      <c r="EB3056" s="1"/>
      <c r="EC3056" s="1"/>
      <c r="ED3056" s="1"/>
      <c r="EE3056" s="1"/>
      <c r="EF3056" s="1"/>
      <c r="EG3056" s="1"/>
      <c r="EH3056" s="1"/>
      <c r="EI3056" s="1"/>
      <c r="EJ3056" s="1"/>
      <c r="EK3056" s="1"/>
      <c r="EL3056" s="1"/>
      <c r="EM3056" s="1"/>
      <c r="EN3056" s="1"/>
      <c r="EO3056" s="1"/>
      <c r="EP3056" s="1"/>
      <c r="EQ3056" s="1"/>
      <c r="ER3056" s="1"/>
      <c r="ES3056" s="1"/>
      <c r="ET3056" s="1"/>
      <c r="EU3056" s="1"/>
      <c r="EV3056" s="1"/>
      <c r="EW3056" s="1"/>
      <c r="EX3056" s="1"/>
      <c r="EY3056" s="1"/>
      <c r="EZ3056" s="1"/>
      <c r="FA3056" s="1"/>
      <c r="FB3056" s="1"/>
      <c r="FC3056" s="1"/>
      <c r="FD3056" s="1"/>
      <c r="FE3056" s="1"/>
      <c r="FF3056" s="1"/>
      <c r="FG3056" s="1"/>
      <c r="FH3056" s="1"/>
      <c r="FI3056" s="1"/>
      <c r="FJ3056" s="1"/>
      <c r="FK3056" s="1"/>
      <c r="FL3056" s="1"/>
      <c r="FM3056" s="1"/>
      <c r="FN3056" s="1"/>
      <c r="FO3056" s="1"/>
      <c r="FP3056" s="1"/>
      <c r="FQ3056" s="1"/>
      <c r="FR3056" s="1"/>
      <c r="FS3056" s="1"/>
      <c r="FT3056" s="1"/>
      <c r="FU3056" s="1"/>
      <c r="FV3056" s="1"/>
      <c r="FW3056" s="1"/>
      <c r="FX3056" s="1"/>
      <c r="FY3056" s="1"/>
      <c r="FZ3056" s="1"/>
      <c r="GA3056" s="1"/>
      <c r="GB3056" s="1"/>
      <c r="GC3056" s="1"/>
      <c r="GD3056" s="1"/>
      <c r="GE3056" s="1"/>
      <c r="GF3056" s="1"/>
      <c r="GG3056" s="1"/>
      <c r="GH3056" s="1"/>
      <c r="GI3056" s="1"/>
      <c r="GJ3056" s="1"/>
      <c r="GK3056" s="1"/>
      <c r="GL3056" s="1"/>
      <c r="GM3056" s="1"/>
      <c r="GN3056" s="1"/>
      <c r="GO3056" s="1"/>
      <c r="GP3056" s="1"/>
      <c r="GQ3056" s="1"/>
      <c r="GR3056" s="1"/>
      <c r="GS3056" s="1"/>
      <c r="GT3056" s="1"/>
      <c r="GU3056" s="1"/>
      <c r="GV3056" s="1"/>
      <c r="GW3056" s="1"/>
      <c r="GX3056" s="1"/>
      <c r="GY3056" s="1"/>
      <c r="GZ3056" s="1"/>
      <c r="HA3056" s="1"/>
      <c r="HB3056" s="1"/>
      <c r="HC3056" s="1"/>
      <c r="HD3056" s="1"/>
      <c r="HE3056" s="1"/>
      <c r="HF3056" s="1"/>
      <c r="HG3056" s="1"/>
      <c r="HH3056" s="1"/>
      <c r="HI3056" s="1"/>
      <c r="HJ3056" s="1"/>
      <c r="HK3056" s="1"/>
      <c r="HL3056" s="1"/>
      <c r="HM3056" s="1"/>
      <c r="HN3056" s="1"/>
      <c r="HO3056" s="1"/>
      <c r="HP3056" s="1"/>
      <c r="HQ3056" s="1"/>
    </row>
    <row r="3057" spans="1:225" ht="15.75" customHeight="1" x14ac:dyDescent="0.35">
      <c r="A3057" s="305">
        <f>A3054+1</f>
        <v>2</v>
      </c>
      <c r="B3057" s="305">
        <v>6890</v>
      </c>
      <c r="C3057" s="259" t="s">
        <v>800</v>
      </c>
      <c r="D3057" s="262">
        <v>2688.38</v>
      </c>
      <c r="E3057" s="262" t="s">
        <v>75</v>
      </c>
      <c r="F3057" s="265">
        <v>5</v>
      </c>
      <c r="G3057" s="256" t="s">
        <v>85</v>
      </c>
      <c r="H3057" s="159" t="s">
        <v>73</v>
      </c>
      <c r="I3057" s="158">
        <f>SUM(I3058:I3061)</f>
        <v>13535993.300000001</v>
      </c>
      <c r="J3057" s="158">
        <f>SUM(J3058:J3061)</f>
        <v>5035</v>
      </c>
      <c r="K3057" s="158">
        <f>SUM(K3058:K3061)</f>
        <v>5035</v>
      </c>
      <c r="L3057" s="8"/>
      <c r="M3057" s="8"/>
      <c r="N3057" s="8"/>
      <c r="O3057" s="8"/>
      <c r="P3057" s="8"/>
      <c r="Q3057" s="8"/>
      <c r="R3057" s="8"/>
      <c r="S3057" s="8"/>
      <c r="T3057" s="8"/>
      <c r="U3057" s="8"/>
      <c r="V3057" s="8"/>
      <c r="W3057" s="8"/>
      <c r="X3057" s="8"/>
      <c r="Y3057" s="8"/>
      <c r="Z3057" s="8"/>
      <c r="AA3057" s="8"/>
      <c r="AB3057" s="8"/>
      <c r="AC3057" s="8"/>
      <c r="AD3057" s="8"/>
      <c r="AE3057" s="8"/>
      <c r="AF3057" s="8"/>
      <c r="AG3057" s="8"/>
      <c r="AH3057" s="8"/>
      <c r="AI3057" s="8"/>
      <c r="AJ3057" s="8"/>
      <c r="AK3057" s="8"/>
      <c r="AL3057" s="8"/>
      <c r="AM3057" s="8"/>
      <c r="AN3057" s="8"/>
      <c r="AO3057" s="8"/>
      <c r="AP3057" s="8"/>
      <c r="AQ3057" s="8"/>
      <c r="AR3057" s="8"/>
      <c r="AS3057" s="8"/>
      <c r="AT3057" s="8"/>
      <c r="AU3057" s="8"/>
      <c r="AV3057" s="8"/>
      <c r="AW3057" s="8"/>
      <c r="AX3057" s="8"/>
      <c r="AY3057" s="8"/>
      <c r="AZ3057" s="8"/>
      <c r="BA3057" s="8"/>
      <c r="BB3057" s="8"/>
      <c r="BC3057" s="8"/>
      <c r="BD3057" s="8"/>
      <c r="BE3057" s="8"/>
      <c r="BF3057" s="8"/>
      <c r="BG3057" s="8"/>
      <c r="BH3057" s="8"/>
      <c r="BI3057" s="8"/>
      <c r="BJ3057" s="8"/>
      <c r="BK3057" s="8"/>
      <c r="BL3057" s="8"/>
      <c r="BM3057" s="8"/>
      <c r="BN3057" s="8"/>
      <c r="BO3057" s="8"/>
      <c r="BP3057" s="8"/>
      <c r="BQ3057" s="8"/>
      <c r="BR3057" s="8"/>
      <c r="BS3057" s="8"/>
      <c r="BT3057" s="8"/>
      <c r="BU3057" s="8"/>
      <c r="BV3057" s="8"/>
      <c r="BW3057" s="8"/>
      <c r="BX3057" s="8"/>
      <c r="BY3057" s="8"/>
      <c r="BZ3057" s="8"/>
      <c r="CA3057" s="8"/>
      <c r="CB3057" s="8"/>
      <c r="CC3057" s="8"/>
      <c r="CD3057" s="8"/>
      <c r="CE3057" s="8"/>
      <c r="CF3057" s="8"/>
      <c r="CG3057" s="8"/>
      <c r="CH3057" s="8"/>
      <c r="CI3057" s="8"/>
      <c r="CJ3057" s="8"/>
      <c r="CK3057" s="8"/>
      <c r="CL3057" s="8"/>
      <c r="CM3057" s="8"/>
      <c r="CN3057" s="8"/>
      <c r="CO3057" s="8"/>
      <c r="CP3057" s="8"/>
      <c r="CQ3057" s="8"/>
      <c r="CR3057" s="8"/>
      <c r="CS3057" s="8"/>
      <c r="CT3057" s="8"/>
      <c r="CU3057" s="8"/>
      <c r="CV3057" s="8"/>
      <c r="CW3057" s="8"/>
      <c r="CX3057" s="8"/>
      <c r="CY3057" s="8"/>
      <c r="CZ3057" s="8"/>
      <c r="DA3057" s="8"/>
      <c r="DB3057" s="8"/>
      <c r="DC3057" s="8"/>
      <c r="DD3057" s="8"/>
      <c r="DE3057" s="8"/>
      <c r="DF3057" s="8"/>
      <c r="DG3057" s="8"/>
      <c r="DH3057" s="8"/>
      <c r="DI3057" s="8"/>
      <c r="DJ3057" s="8"/>
      <c r="DK3057" s="8"/>
      <c r="DL3057" s="8"/>
      <c r="DM3057" s="8"/>
      <c r="DN3057" s="8"/>
      <c r="DO3057" s="8"/>
      <c r="DP3057" s="8"/>
      <c r="DQ3057" s="8"/>
      <c r="DR3057" s="8"/>
      <c r="DS3057" s="8"/>
      <c r="DT3057" s="8"/>
      <c r="DU3057" s="8"/>
      <c r="DV3057" s="8"/>
      <c r="DW3057" s="8"/>
      <c r="DX3057" s="8"/>
      <c r="DY3057" s="8"/>
      <c r="DZ3057" s="8"/>
      <c r="EA3057" s="8"/>
      <c r="EB3057" s="8"/>
      <c r="EC3057" s="8"/>
      <c r="ED3057" s="8"/>
      <c r="EE3057" s="8"/>
      <c r="EF3057" s="8"/>
      <c r="EG3057" s="8"/>
      <c r="EH3057" s="8"/>
      <c r="EI3057" s="8"/>
      <c r="EJ3057" s="8"/>
      <c r="EK3057" s="8"/>
      <c r="EL3057" s="8"/>
      <c r="EM3057" s="8"/>
      <c r="EN3057" s="8"/>
      <c r="EO3057" s="8"/>
      <c r="EP3057" s="8"/>
      <c r="EQ3057" s="8"/>
      <c r="ER3057" s="8"/>
      <c r="ES3057" s="8"/>
      <c r="ET3057" s="8"/>
      <c r="EU3057" s="8"/>
      <c r="EV3057" s="8"/>
      <c r="EW3057" s="8"/>
      <c r="EX3057" s="8"/>
      <c r="EY3057" s="8"/>
      <c r="EZ3057" s="8"/>
      <c r="FA3057" s="8"/>
      <c r="FB3057" s="8"/>
      <c r="FC3057" s="8"/>
      <c r="FD3057" s="8"/>
      <c r="FE3057" s="8"/>
      <c r="FF3057" s="8"/>
      <c r="FG3057" s="8"/>
      <c r="FH3057" s="8"/>
      <c r="FI3057" s="8"/>
      <c r="FJ3057" s="8"/>
      <c r="FK3057" s="8"/>
      <c r="FL3057" s="8"/>
      <c r="FM3057" s="8"/>
      <c r="FN3057" s="8"/>
      <c r="FO3057" s="8"/>
      <c r="FP3057" s="8"/>
      <c r="FQ3057" s="8"/>
      <c r="FR3057" s="8"/>
      <c r="FS3057" s="8"/>
      <c r="FT3057" s="8"/>
      <c r="FU3057" s="8"/>
      <c r="FV3057" s="8"/>
      <c r="FW3057" s="8"/>
      <c r="FX3057" s="8"/>
      <c r="FY3057" s="8"/>
      <c r="FZ3057" s="8"/>
      <c r="GA3057" s="8"/>
      <c r="GB3057" s="8"/>
      <c r="GC3057" s="8"/>
      <c r="GD3057" s="8"/>
      <c r="GE3057" s="8"/>
      <c r="GF3057" s="8"/>
      <c r="GG3057" s="8"/>
      <c r="GH3057" s="8"/>
      <c r="GI3057" s="8"/>
      <c r="GJ3057" s="8"/>
      <c r="GK3057" s="8"/>
      <c r="GL3057" s="8"/>
      <c r="GM3057" s="8"/>
      <c r="GN3057" s="8"/>
      <c r="GO3057" s="8"/>
      <c r="GP3057" s="8"/>
      <c r="GQ3057" s="8"/>
      <c r="GR3057" s="8"/>
      <c r="GS3057" s="8"/>
      <c r="GT3057" s="8"/>
      <c r="GU3057" s="8"/>
      <c r="GV3057" s="8"/>
      <c r="GW3057" s="8"/>
      <c r="GX3057" s="8"/>
      <c r="GY3057" s="8"/>
      <c r="GZ3057" s="8"/>
      <c r="HA3057" s="8"/>
      <c r="HB3057" s="8"/>
      <c r="HC3057" s="8"/>
      <c r="HD3057" s="8"/>
      <c r="HE3057" s="8"/>
      <c r="HF3057" s="8"/>
      <c r="HG3057" s="8"/>
      <c r="HH3057" s="8"/>
      <c r="HI3057" s="8"/>
      <c r="HJ3057" s="8"/>
      <c r="HK3057" s="8"/>
      <c r="HL3057" s="8"/>
      <c r="HM3057" s="8"/>
      <c r="HN3057" s="8"/>
      <c r="HO3057" s="8"/>
      <c r="HP3057" s="8"/>
      <c r="HQ3057" s="8"/>
    </row>
    <row r="3058" spans="1:225" x14ac:dyDescent="0.35">
      <c r="A3058" s="306"/>
      <c r="B3058" s="306"/>
      <c r="C3058" s="260"/>
      <c r="D3058" s="263"/>
      <c r="E3058" s="263"/>
      <c r="F3058" s="266"/>
      <c r="G3058" s="257"/>
      <c r="H3058" s="159" t="s">
        <v>74</v>
      </c>
      <c r="I3058" s="158">
        <f>D3057*K3058</f>
        <v>2744835.98</v>
      </c>
      <c r="J3058" s="158">
        <f>I3058/D3057</f>
        <v>1021</v>
      </c>
      <c r="K3058" s="158">
        <v>1021</v>
      </c>
      <c r="L3058" s="8"/>
      <c r="M3058" s="8"/>
      <c r="N3058" s="8"/>
      <c r="O3058" s="8"/>
      <c r="P3058" s="8"/>
      <c r="Q3058" s="8"/>
      <c r="R3058" s="8"/>
      <c r="S3058" s="8"/>
      <c r="T3058" s="8"/>
      <c r="U3058" s="8"/>
      <c r="V3058" s="8"/>
      <c r="W3058" s="8"/>
      <c r="X3058" s="8"/>
      <c r="Y3058" s="8"/>
      <c r="Z3058" s="8"/>
      <c r="AA3058" s="8"/>
      <c r="AB3058" s="8"/>
      <c r="AC3058" s="8"/>
      <c r="AD3058" s="8"/>
      <c r="AE3058" s="8"/>
      <c r="AF3058" s="8"/>
      <c r="AG3058" s="8"/>
      <c r="AH3058" s="8"/>
      <c r="AI3058" s="8"/>
      <c r="AJ3058" s="8"/>
      <c r="AK3058" s="8"/>
      <c r="AL3058" s="8"/>
      <c r="AM3058" s="8"/>
      <c r="AN3058" s="8"/>
      <c r="AO3058" s="8"/>
      <c r="AP3058" s="8"/>
      <c r="AQ3058" s="8"/>
      <c r="AR3058" s="8"/>
      <c r="AS3058" s="8"/>
      <c r="AT3058" s="8"/>
      <c r="AU3058" s="8"/>
      <c r="AV3058" s="8"/>
      <c r="AW3058" s="8"/>
      <c r="AX3058" s="8"/>
      <c r="AY3058" s="8"/>
      <c r="AZ3058" s="8"/>
      <c r="BA3058" s="8"/>
      <c r="BB3058" s="8"/>
      <c r="BC3058" s="8"/>
      <c r="BD3058" s="8"/>
      <c r="BE3058" s="8"/>
      <c r="BF3058" s="8"/>
      <c r="BG3058" s="8"/>
      <c r="BH3058" s="8"/>
      <c r="BI3058" s="8"/>
      <c r="BJ3058" s="8"/>
      <c r="BK3058" s="8"/>
      <c r="BL3058" s="8"/>
      <c r="BM3058" s="8"/>
      <c r="BN3058" s="8"/>
      <c r="BO3058" s="8"/>
      <c r="BP3058" s="8"/>
      <c r="BQ3058" s="8"/>
      <c r="BR3058" s="8"/>
      <c r="BS3058" s="8"/>
      <c r="BT3058" s="8"/>
      <c r="BU3058" s="8"/>
      <c r="BV3058" s="8"/>
      <c r="BW3058" s="8"/>
      <c r="BX3058" s="8"/>
      <c r="BY3058" s="8"/>
      <c r="BZ3058" s="8"/>
      <c r="CA3058" s="8"/>
      <c r="CB3058" s="8"/>
      <c r="CC3058" s="8"/>
      <c r="CD3058" s="8"/>
      <c r="CE3058" s="8"/>
      <c r="CF3058" s="8"/>
      <c r="CG3058" s="8"/>
      <c r="CH3058" s="8"/>
      <c r="CI3058" s="8"/>
      <c r="CJ3058" s="8"/>
      <c r="CK3058" s="8"/>
      <c r="CL3058" s="8"/>
      <c r="CM3058" s="8"/>
      <c r="CN3058" s="8"/>
      <c r="CO3058" s="8"/>
      <c r="CP3058" s="8"/>
      <c r="CQ3058" s="8"/>
      <c r="CR3058" s="8"/>
      <c r="CS3058" s="8"/>
      <c r="CT3058" s="8"/>
      <c r="CU3058" s="8"/>
      <c r="CV3058" s="8"/>
      <c r="CW3058" s="8"/>
      <c r="CX3058" s="8"/>
      <c r="CY3058" s="8"/>
      <c r="CZ3058" s="8"/>
      <c r="DA3058" s="8"/>
      <c r="DB3058" s="8"/>
      <c r="DC3058" s="8"/>
      <c r="DD3058" s="8"/>
      <c r="DE3058" s="8"/>
      <c r="DF3058" s="8"/>
      <c r="DG3058" s="8"/>
      <c r="DH3058" s="8"/>
      <c r="DI3058" s="8"/>
      <c r="DJ3058" s="8"/>
      <c r="DK3058" s="8"/>
      <c r="DL3058" s="8"/>
      <c r="DM3058" s="8"/>
      <c r="DN3058" s="8"/>
      <c r="DO3058" s="8"/>
      <c r="DP3058" s="8"/>
      <c r="DQ3058" s="8"/>
      <c r="DR3058" s="8"/>
      <c r="DS3058" s="8"/>
      <c r="DT3058" s="8"/>
      <c r="DU3058" s="8"/>
      <c r="DV3058" s="8"/>
      <c r="DW3058" s="8"/>
      <c r="DX3058" s="8"/>
      <c r="DY3058" s="8"/>
      <c r="DZ3058" s="8"/>
      <c r="EA3058" s="8"/>
      <c r="EB3058" s="8"/>
      <c r="EC3058" s="8"/>
      <c r="ED3058" s="8"/>
      <c r="EE3058" s="8"/>
      <c r="EF3058" s="8"/>
      <c r="EG3058" s="8"/>
      <c r="EH3058" s="8"/>
      <c r="EI3058" s="8"/>
      <c r="EJ3058" s="8"/>
      <c r="EK3058" s="8"/>
      <c r="EL3058" s="8"/>
      <c r="EM3058" s="8"/>
      <c r="EN3058" s="8"/>
      <c r="EO3058" s="8"/>
      <c r="EP3058" s="8"/>
      <c r="EQ3058" s="8"/>
      <c r="ER3058" s="8"/>
      <c r="ES3058" s="8"/>
      <c r="ET3058" s="8"/>
      <c r="EU3058" s="8"/>
      <c r="EV3058" s="8"/>
      <c r="EW3058" s="8"/>
      <c r="EX3058" s="8"/>
      <c r="EY3058" s="8"/>
      <c r="EZ3058" s="8"/>
      <c r="FA3058" s="8"/>
      <c r="FB3058" s="8"/>
      <c r="FC3058" s="8"/>
      <c r="FD3058" s="8"/>
      <c r="FE3058" s="8"/>
      <c r="FF3058" s="8"/>
      <c r="FG3058" s="8"/>
      <c r="FH3058" s="8"/>
      <c r="FI3058" s="8"/>
      <c r="FJ3058" s="8"/>
      <c r="FK3058" s="8"/>
      <c r="FL3058" s="8"/>
      <c r="FM3058" s="8"/>
      <c r="FN3058" s="8"/>
      <c r="FO3058" s="8"/>
      <c r="FP3058" s="8"/>
      <c r="FQ3058" s="8"/>
      <c r="FR3058" s="8"/>
      <c r="FS3058" s="8"/>
      <c r="FT3058" s="8"/>
      <c r="FU3058" s="8"/>
      <c r="FV3058" s="8"/>
      <c r="FW3058" s="8"/>
      <c r="FX3058" s="8"/>
      <c r="FY3058" s="8"/>
      <c r="FZ3058" s="8"/>
      <c r="GA3058" s="8"/>
      <c r="GB3058" s="8"/>
      <c r="GC3058" s="8"/>
      <c r="GD3058" s="8"/>
      <c r="GE3058" s="8"/>
      <c r="GF3058" s="8"/>
      <c r="GG3058" s="8"/>
      <c r="GH3058" s="8"/>
      <c r="GI3058" s="8"/>
      <c r="GJ3058" s="8"/>
      <c r="GK3058" s="8"/>
      <c r="GL3058" s="8"/>
      <c r="GM3058" s="8"/>
      <c r="GN3058" s="8"/>
      <c r="GO3058" s="8"/>
      <c r="GP3058" s="8"/>
      <c r="GQ3058" s="8"/>
      <c r="GR3058" s="8"/>
      <c r="GS3058" s="8"/>
      <c r="GT3058" s="8"/>
      <c r="GU3058" s="8"/>
      <c r="GV3058" s="8"/>
      <c r="GW3058" s="8"/>
      <c r="GX3058" s="8"/>
      <c r="GY3058" s="8"/>
      <c r="GZ3058" s="8"/>
      <c r="HA3058" s="8"/>
      <c r="HB3058" s="8"/>
      <c r="HC3058" s="8"/>
      <c r="HD3058" s="8"/>
      <c r="HE3058" s="8"/>
      <c r="HF3058" s="8"/>
      <c r="HG3058" s="8"/>
      <c r="HH3058" s="8"/>
      <c r="HI3058" s="8"/>
      <c r="HJ3058" s="8"/>
      <c r="HK3058" s="8"/>
      <c r="HL3058" s="8"/>
      <c r="HM3058" s="8"/>
      <c r="HN3058" s="8"/>
      <c r="HO3058" s="8"/>
      <c r="HP3058" s="8"/>
      <c r="HQ3058" s="8"/>
    </row>
    <row r="3059" spans="1:225" x14ac:dyDescent="0.35">
      <c r="A3059" s="306"/>
      <c r="B3059" s="306"/>
      <c r="C3059" s="260"/>
      <c r="D3059" s="263"/>
      <c r="E3059" s="263"/>
      <c r="F3059" s="266"/>
      <c r="G3059" s="257"/>
      <c r="H3059" s="159" t="s">
        <v>76</v>
      </c>
      <c r="I3059" s="158">
        <f>D3057*K3059</f>
        <v>59144.36</v>
      </c>
      <c r="J3059" s="158">
        <f>I3059/D3057</f>
        <v>22</v>
      </c>
      <c r="K3059" s="158">
        <v>22</v>
      </c>
      <c r="L3059" s="8"/>
      <c r="M3059" s="8"/>
      <c r="N3059" s="8"/>
      <c r="O3059" s="8"/>
      <c r="P3059" s="8"/>
      <c r="Q3059" s="8"/>
      <c r="R3059" s="8"/>
      <c r="S3059" s="8"/>
      <c r="T3059" s="8"/>
      <c r="U3059" s="8"/>
      <c r="V3059" s="8"/>
      <c r="W3059" s="8"/>
      <c r="X3059" s="8"/>
      <c r="Y3059" s="8"/>
      <c r="Z3059" s="8"/>
      <c r="AA3059" s="8"/>
      <c r="AB3059" s="8"/>
      <c r="AC3059" s="8"/>
      <c r="AD3059" s="8"/>
      <c r="AE3059" s="8"/>
      <c r="AF3059" s="8"/>
      <c r="AG3059" s="8"/>
      <c r="AH3059" s="8"/>
      <c r="AI3059" s="8"/>
      <c r="AJ3059" s="8"/>
      <c r="AK3059" s="8"/>
      <c r="AL3059" s="8"/>
      <c r="AM3059" s="8"/>
      <c r="AN3059" s="8"/>
      <c r="AO3059" s="8"/>
      <c r="AP3059" s="8"/>
      <c r="AQ3059" s="8"/>
      <c r="AR3059" s="8"/>
      <c r="AS3059" s="8"/>
      <c r="AT3059" s="8"/>
      <c r="AU3059" s="8"/>
      <c r="AV3059" s="8"/>
      <c r="AW3059" s="8"/>
      <c r="AX3059" s="8"/>
      <c r="AY3059" s="8"/>
      <c r="AZ3059" s="8"/>
      <c r="BA3059" s="8"/>
      <c r="BB3059" s="8"/>
      <c r="BC3059" s="8"/>
      <c r="BD3059" s="8"/>
      <c r="BE3059" s="8"/>
      <c r="BF3059" s="8"/>
      <c r="BG3059" s="8"/>
      <c r="BH3059" s="8"/>
      <c r="BI3059" s="8"/>
      <c r="BJ3059" s="8"/>
      <c r="BK3059" s="8"/>
      <c r="BL3059" s="8"/>
      <c r="BM3059" s="8"/>
      <c r="BN3059" s="8"/>
      <c r="BO3059" s="8"/>
      <c r="BP3059" s="8"/>
      <c r="BQ3059" s="8"/>
      <c r="BR3059" s="8"/>
      <c r="BS3059" s="8"/>
      <c r="BT3059" s="8"/>
      <c r="BU3059" s="8"/>
      <c r="BV3059" s="8"/>
      <c r="BW3059" s="8"/>
      <c r="BX3059" s="8"/>
      <c r="BY3059" s="8"/>
      <c r="BZ3059" s="8"/>
      <c r="CA3059" s="8"/>
      <c r="CB3059" s="8"/>
      <c r="CC3059" s="8"/>
      <c r="CD3059" s="8"/>
      <c r="CE3059" s="8"/>
      <c r="CF3059" s="8"/>
      <c r="CG3059" s="8"/>
      <c r="CH3059" s="8"/>
      <c r="CI3059" s="8"/>
      <c r="CJ3059" s="8"/>
      <c r="CK3059" s="8"/>
      <c r="CL3059" s="8"/>
      <c r="CM3059" s="8"/>
      <c r="CN3059" s="8"/>
      <c r="CO3059" s="8"/>
      <c r="CP3059" s="8"/>
      <c r="CQ3059" s="8"/>
      <c r="CR3059" s="8"/>
      <c r="CS3059" s="8"/>
      <c r="CT3059" s="8"/>
      <c r="CU3059" s="8"/>
      <c r="CV3059" s="8"/>
      <c r="CW3059" s="8"/>
      <c r="CX3059" s="8"/>
      <c r="CY3059" s="8"/>
      <c r="CZ3059" s="8"/>
      <c r="DA3059" s="8"/>
      <c r="DB3059" s="8"/>
      <c r="DC3059" s="8"/>
      <c r="DD3059" s="8"/>
      <c r="DE3059" s="8"/>
      <c r="DF3059" s="8"/>
      <c r="DG3059" s="8"/>
      <c r="DH3059" s="8"/>
      <c r="DI3059" s="8"/>
      <c r="DJ3059" s="8"/>
      <c r="DK3059" s="8"/>
      <c r="DL3059" s="8"/>
      <c r="DM3059" s="8"/>
      <c r="DN3059" s="8"/>
      <c r="DO3059" s="8"/>
      <c r="DP3059" s="8"/>
      <c r="DQ3059" s="8"/>
      <c r="DR3059" s="8"/>
      <c r="DS3059" s="8"/>
      <c r="DT3059" s="8"/>
      <c r="DU3059" s="8"/>
      <c r="DV3059" s="8"/>
      <c r="DW3059" s="8"/>
      <c r="DX3059" s="8"/>
      <c r="DY3059" s="8"/>
      <c r="DZ3059" s="8"/>
      <c r="EA3059" s="8"/>
      <c r="EB3059" s="8"/>
      <c r="EC3059" s="8"/>
      <c r="ED3059" s="8"/>
      <c r="EE3059" s="8"/>
      <c r="EF3059" s="8"/>
      <c r="EG3059" s="8"/>
      <c r="EH3059" s="8"/>
      <c r="EI3059" s="8"/>
      <c r="EJ3059" s="8"/>
      <c r="EK3059" s="8"/>
      <c r="EL3059" s="8"/>
      <c r="EM3059" s="8"/>
      <c r="EN3059" s="8"/>
      <c r="EO3059" s="8"/>
      <c r="EP3059" s="8"/>
      <c r="EQ3059" s="8"/>
      <c r="ER3059" s="8"/>
      <c r="ES3059" s="8"/>
      <c r="ET3059" s="8"/>
      <c r="EU3059" s="8"/>
      <c r="EV3059" s="8"/>
      <c r="EW3059" s="8"/>
      <c r="EX3059" s="8"/>
      <c r="EY3059" s="8"/>
      <c r="EZ3059" s="8"/>
      <c r="FA3059" s="8"/>
      <c r="FB3059" s="8"/>
      <c r="FC3059" s="8"/>
      <c r="FD3059" s="8"/>
      <c r="FE3059" s="8"/>
      <c r="FF3059" s="8"/>
      <c r="FG3059" s="8"/>
      <c r="FH3059" s="8"/>
      <c r="FI3059" s="8"/>
      <c r="FJ3059" s="8"/>
      <c r="FK3059" s="8"/>
      <c r="FL3059" s="8"/>
      <c r="FM3059" s="8"/>
      <c r="FN3059" s="8"/>
      <c r="FO3059" s="8"/>
      <c r="FP3059" s="8"/>
      <c r="FQ3059" s="8"/>
      <c r="FR3059" s="8"/>
      <c r="FS3059" s="8"/>
      <c r="FT3059" s="8"/>
      <c r="FU3059" s="8"/>
      <c r="FV3059" s="8"/>
      <c r="FW3059" s="8"/>
      <c r="FX3059" s="8"/>
      <c r="FY3059" s="8"/>
      <c r="FZ3059" s="8"/>
      <c r="GA3059" s="8"/>
      <c r="GB3059" s="8"/>
      <c r="GC3059" s="8"/>
      <c r="GD3059" s="8"/>
      <c r="GE3059" s="8"/>
      <c r="GF3059" s="8"/>
      <c r="GG3059" s="8"/>
      <c r="GH3059" s="8"/>
      <c r="GI3059" s="8"/>
      <c r="GJ3059" s="8"/>
      <c r="GK3059" s="8"/>
      <c r="GL3059" s="8"/>
      <c r="GM3059" s="8"/>
      <c r="GN3059" s="8"/>
      <c r="GO3059" s="8"/>
      <c r="GP3059" s="8"/>
      <c r="GQ3059" s="8"/>
      <c r="GR3059" s="8"/>
      <c r="GS3059" s="8"/>
      <c r="GT3059" s="8"/>
      <c r="GU3059" s="8"/>
      <c r="GV3059" s="8"/>
      <c r="GW3059" s="8"/>
      <c r="GX3059" s="8"/>
      <c r="GY3059" s="8"/>
      <c r="GZ3059" s="8"/>
      <c r="HA3059" s="8"/>
      <c r="HB3059" s="8"/>
      <c r="HC3059" s="8"/>
      <c r="HD3059" s="8"/>
      <c r="HE3059" s="8"/>
      <c r="HF3059" s="8"/>
      <c r="HG3059" s="8"/>
      <c r="HH3059" s="8"/>
      <c r="HI3059" s="8"/>
      <c r="HJ3059" s="8"/>
      <c r="HK3059" s="8"/>
      <c r="HL3059" s="8"/>
      <c r="HM3059" s="8"/>
      <c r="HN3059" s="8"/>
      <c r="HO3059" s="8"/>
      <c r="HP3059" s="8"/>
      <c r="HQ3059" s="8"/>
    </row>
    <row r="3060" spans="1:225" x14ac:dyDescent="0.35">
      <c r="A3060" s="306"/>
      <c r="B3060" s="306"/>
      <c r="C3060" s="260"/>
      <c r="D3060" s="263"/>
      <c r="E3060" s="263"/>
      <c r="F3060" s="266"/>
      <c r="G3060" s="257"/>
      <c r="H3060" s="159" t="s">
        <v>708</v>
      </c>
      <c r="I3060" s="158">
        <f>D3057*K3060</f>
        <v>10506189.039999999</v>
      </c>
      <c r="J3060" s="158">
        <f>I3060/D3057</f>
        <v>3908</v>
      </c>
      <c r="K3060" s="158">
        <v>3908</v>
      </c>
      <c r="L3060" s="8"/>
      <c r="M3060" s="8"/>
      <c r="N3060" s="8"/>
      <c r="O3060" s="8"/>
      <c r="P3060" s="8"/>
      <c r="Q3060" s="8"/>
      <c r="R3060" s="8"/>
      <c r="S3060" s="8"/>
      <c r="T3060" s="8"/>
      <c r="U3060" s="8"/>
      <c r="V3060" s="8"/>
      <c r="W3060" s="8"/>
      <c r="X3060" s="8"/>
      <c r="Y3060" s="8"/>
      <c r="Z3060" s="8"/>
      <c r="AA3060" s="8"/>
      <c r="AB3060" s="8"/>
      <c r="AC3060" s="8"/>
      <c r="AD3060" s="8"/>
      <c r="AE3060" s="8"/>
      <c r="AF3060" s="8"/>
      <c r="AG3060" s="8"/>
      <c r="AH3060" s="8"/>
      <c r="AI3060" s="8"/>
      <c r="AJ3060" s="8"/>
      <c r="AK3060" s="8"/>
      <c r="AL3060" s="8"/>
      <c r="AM3060" s="8"/>
      <c r="AN3060" s="8"/>
      <c r="AO3060" s="8"/>
      <c r="AP3060" s="8"/>
      <c r="AQ3060" s="8"/>
      <c r="AR3060" s="8"/>
      <c r="AS3060" s="8"/>
      <c r="AT3060" s="8"/>
      <c r="AU3060" s="8"/>
      <c r="AV3060" s="8"/>
      <c r="AW3060" s="8"/>
      <c r="AX3060" s="8"/>
      <c r="AY3060" s="8"/>
      <c r="AZ3060" s="8"/>
      <c r="BA3060" s="8"/>
      <c r="BB3060" s="8"/>
      <c r="BC3060" s="8"/>
      <c r="BD3060" s="8"/>
      <c r="BE3060" s="8"/>
      <c r="BF3060" s="8"/>
      <c r="BG3060" s="8"/>
      <c r="BH3060" s="8"/>
      <c r="BI3060" s="8"/>
      <c r="BJ3060" s="8"/>
      <c r="BK3060" s="8"/>
      <c r="BL3060" s="8"/>
      <c r="BM3060" s="8"/>
      <c r="BN3060" s="8"/>
      <c r="BO3060" s="8"/>
      <c r="BP3060" s="8"/>
      <c r="BQ3060" s="8"/>
      <c r="BR3060" s="8"/>
      <c r="BS3060" s="8"/>
      <c r="BT3060" s="8"/>
      <c r="BU3060" s="8"/>
      <c r="BV3060" s="8"/>
      <c r="BW3060" s="8"/>
      <c r="BX3060" s="8"/>
      <c r="BY3060" s="8"/>
      <c r="BZ3060" s="8"/>
      <c r="CA3060" s="8"/>
      <c r="CB3060" s="8"/>
      <c r="CC3060" s="8"/>
      <c r="CD3060" s="8"/>
      <c r="CE3060" s="8"/>
      <c r="CF3060" s="8"/>
      <c r="CG3060" s="8"/>
      <c r="CH3060" s="8"/>
      <c r="CI3060" s="8"/>
      <c r="CJ3060" s="8"/>
      <c r="CK3060" s="8"/>
      <c r="CL3060" s="8"/>
      <c r="CM3060" s="8"/>
      <c r="CN3060" s="8"/>
      <c r="CO3060" s="8"/>
      <c r="CP3060" s="8"/>
      <c r="CQ3060" s="8"/>
      <c r="CR3060" s="8"/>
      <c r="CS3060" s="8"/>
      <c r="CT3060" s="8"/>
      <c r="CU3060" s="8"/>
      <c r="CV3060" s="8"/>
      <c r="CW3060" s="8"/>
      <c r="CX3060" s="8"/>
      <c r="CY3060" s="8"/>
      <c r="CZ3060" s="8"/>
      <c r="DA3060" s="8"/>
      <c r="DB3060" s="8"/>
      <c r="DC3060" s="8"/>
      <c r="DD3060" s="8"/>
      <c r="DE3060" s="8"/>
      <c r="DF3060" s="8"/>
      <c r="DG3060" s="8"/>
      <c r="DH3060" s="8"/>
      <c r="DI3060" s="8"/>
      <c r="DJ3060" s="8"/>
      <c r="DK3060" s="8"/>
      <c r="DL3060" s="8"/>
      <c r="DM3060" s="8"/>
      <c r="DN3060" s="8"/>
      <c r="DO3060" s="8"/>
      <c r="DP3060" s="8"/>
      <c r="DQ3060" s="8"/>
      <c r="DR3060" s="8"/>
      <c r="DS3060" s="8"/>
      <c r="DT3060" s="8"/>
      <c r="DU3060" s="8"/>
      <c r="DV3060" s="8"/>
      <c r="DW3060" s="8"/>
      <c r="DX3060" s="8"/>
      <c r="DY3060" s="8"/>
      <c r="DZ3060" s="8"/>
      <c r="EA3060" s="8"/>
      <c r="EB3060" s="8"/>
      <c r="EC3060" s="8"/>
      <c r="ED3060" s="8"/>
      <c r="EE3060" s="8"/>
      <c r="EF3060" s="8"/>
      <c r="EG3060" s="8"/>
      <c r="EH3060" s="8"/>
      <c r="EI3060" s="8"/>
      <c r="EJ3060" s="8"/>
      <c r="EK3060" s="8"/>
      <c r="EL3060" s="8"/>
      <c r="EM3060" s="8"/>
      <c r="EN3060" s="8"/>
      <c r="EO3060" s="8"/>
      <c r="EP3060" s="8"/>
      <c r="EQ3060" s="8"/>
      <c r="ER3060" s="8"/>
      <c r="ES3060" s="8"/>
      <c r="ET3060" s="8"/>
      <c r="EU3060" s="8"/>
      <c r="EV3060" s="8"/>
      <c r="EW3060" s="8"/>
      <c r="EX3060" s="8"/>
      <c r="EY3060" s="8"/>
      <c r="EZ3060" s="8"/>
      <c r="FA3060" s="8"/>
      <c r="FB3060" s="8"/>
      <c r="FC3060" s="8"/>
      <c r="FD3060" s="8"/>
      <c r="FE3060" s="8"/>
      <c r="FF3060" s="8"/>
      <c r="FG3060" s="8"/>
      <c r="FH3060" s="8"/>
      <c r="FI3060" s="8"/>
      <c r="FJ3060" s="8"/>
      <c r="FK3060" s="8"/>
      <c r="FL3060" s="8"/>
      <c r="FM3060" s="8"/>
      <c r="FN3060" s="8"/>
      <c r="FO3060" s="8"/>
      <c r="FP3060" s="8"/>
      <c r="FQ3060" s="8"/>
      <c r="FR3060" s="8"/>
      <c r="FS3060" s="8"/>
      <c r="FT3060" s="8"/>
      <c r="FU3060" s="8"/>
      <c r="FV3060" s="8"/>
      <c r="FW3060" s="8"/>
      <c r="FX3060" s="8"/>
      <c r="FY3060" s="8"/>
      <c r="FZ3060" s="8"/>
      <c r="GA3060" s="8"/>
      <c r="GB3060" s="8"/>
      <c r="GC3060" s="8"/>
      <c r="GD3060" s="8"/>
      <c r="GE3060" s="8"/>
      <c r="GF3060" s="8"/>
      <c r="GG3060" s="8"/>
      <c r="GH3060" s="8"/>
      <c r="GI3060" s="8"/>
      <c r="GJ3060" s="8"/>
      <c r="GK3060" s="8"/>
      <c r="GL3060" s="8"/>
      <c r="GM3060" s="8"/>
      <c r="GN3060" s="8"/>
      <c r="GO3060" s="8"/>
      <c r="GP3060" s="8"/>
      <c r="GQ3060" s="8"/>
      <c r="GR3060" s="8"/>
      <c r="GS3060" s="8"/>
      <c r="GT3060" s="8"/>
      <c r="GU3060" s="8"/>
      <c r="GV3060" s="8"/>
      <c r="GW3060" s="8"/>
      <c r="GX3060" s="8"/>
      <c r="GY3060" s="8"/>
      <c r="GZ3060" s="8"/>
      <c r="HA3060" s="8"/>
      <c r="HB3060" s="8"/>
      <c r="HC3060" s="8"/>
      <c r="HD3060" s="8"/>
      <c r="HE3060" s="8"/>
      <c r="HF3060" s="8"/>
      <c r="HG3060" s="8"/>
      <c r="HH3060" s="8"/>
      <c r="HI3060" s="8"/>
      <c r="HJ3060" s="8"/>
      <c r="HK3060" s="8"/>
      <c r="HL3060" s="8"/>
      <c r="HM3060" s="8"/>
      <c r="HN3060" s="8"/>
      <c r="HO3060" s="8"/>
      <c r="HP3060" s="8"/>
      <c r="HQ3060" s="8"/>
    </row>
    <row r="3061" spans="1:225" x14ac:dyDescent="0.35">
      <c r="A3061" s="321"/>
      <c r="B3061" s="321"/>
      <c r="C3061" s="261"/>
      <c r="D3061" s="264"/>
      <c r="E3061" s="264"/>
      <c r="F3061" s="267"/>
      <c r="G3061" s="258"/>
      <c r="H3061" s="159" t="s">
        <v>76</v>
      </c>
      <c r="I3061" s="158">
        <f>D3057*K3061</f>
        <v>225823.92</v>
      </c>
      <c r="J3061" s="158">
        <f>I3061/D3057</f>
        <v>84</v>
      </c>
      <c r="K3061" s="158">
        <v>84</v>
      </c>
      <c r="L3061" s="8"/>
      <c r="M3061" s="8"/>
      <c r="N3061" s="8"/>
      <c r="O3061" s="8"/>
      <c r="P3061" s="8"/>
      <c r="Q3061" s="8"/>
      <c r="R3061" s="8"/>
      <c r="S3061" s="8"/>
      <c r="T3061" s="8"/>
      <c r="U3061" s="8"/>
      <c r="V3061" s="8"/>
      <c r="W3061" s="8"/>
      <c r="X3061" s="8"/>
      <c r="Y3061" s="8"/>
      <c r="Z3061" s="8"/>
      <c r="AA3061" s="8"/>
      <c r="AB3061" s="8"/>
      <c r="AC3061" s="8"/>
      <c r="AD3061" s="8"/>
      <c r="AE3061" s="8"/>
      <c r="AF3061" s="8"/>
      <c r="AG3061" s="8"/>
      <c r="AH3061" s="8"/>
      <c r="AI3061" s="8"/>
      <c r="AJ3061" s="8"/>
      <c r="AK3061" s="8"/>
      <c r="AL3061" s="8"/>
      <c r="AM3061" s="8"/>
      <c r="AN3061" s="8"/>
      <c r="AO3061" s="8"/>
      <c r="AP3061" s="8"/>
      <c r="AQ3061" s="8"/>
      <c r="AR3061" s="8"/>
      <c r="AS3061" s="8"/>
      <c r="AT3061" s="8"/>
      <c r="AU3061" s="8"/>
      <c r="AV3061" s="8"/>
      <c r="AW3061" s="8"/>
      <c r="AX3061" s="8"/>
      <c r="AY3061" s="8"/>
      <c r="AZ3061" s="8"/>
      <c r="BA3061" s="8"/>
      <c r="BB3061" s="8"/>
      <c r="BC3061" s="8"/>
      <c r="BD3061" s="8"/>
      <c r="BE3061" s="8"/>
      <c r="BF3061" s="8"/>
      <c r="BG3061" s="8"/>
      <c r="BH3061" s="8"/>
      <c r="BI3061" s="8"/>
      <c r="BJ3061" s="8"/>
      <c r="BK3061" s="8"/>
      <c r="BL3061" s="8"/>
      <c r="BM3061" s="8"/>
      <c r="BN3061" s="8"/>
      <c r="BO3061" s="8"/>
      <c r="BP3061" s="8"/>
      <c r="BQ3061" s="8"/>
      <c r="BR3061" s="8"/>
      <c r="BS3061" s="8"/>
      <c r="BT3061" s="8"/>
      <c r="BU3061" s="8"/>
      <c r="BV3061" s="8"/>
      <c r="BW3061" s="8"/>
      <c r="BX3061" s="8"/>
      <c r="BY3061" s="8"/>
      <c r="BZ3061" s="8"/>
      <c r="CA3061" s="8"/>
      <c r="CB3061" s="8"/>
      <c r="CC3061" s="8"/>
      <c r="CD3061" s="8"/>
      <c r="CE3061" s="8"/>
      <c r="CF3061" s="8"/>
      <c r="CG3061" s="8"/>
      <c r="CH3061" s="8"/>
      <c r="CI3061" s="8"/>
      <c r="CJ3061" s="8"/>
      <c r="CK3061" s="8"/>
      <c r="CL3061" s="8"/>
      <c r="CM3061" s="8"/>
      <c r="CN3061" s="8"/>
      <c r="CO3061" s="8"/>
      <c r="CP3061" s="8"/>
      <c r="CQ3061" s="8"/>
      <c r="CR3061" s="8"/>
      <c r="CS3061" s="8"/>
      <c r="CT3061" s="8"/>
      <c r="CU3061" s="8"/>
      <c r="CV3061" s="8"/>
      <c r="CW3061" s="8"/>
      <c r="CX3061" s="8"/>
      <c r="CY3061" s="8"/>
      <c r="CZ3061" s="8"/>
      <c r="DA3061" s="8"/>
      <c r="DB3061" s="8"/>
      <c r="DC3061" s="8"/>
      <c r="DD3061" s="8"/>
      <c r="DE3061" s="8"/>
      <c r="DF3061" s="8"/>
      <c r="DG3061" s="8"/>
      <c r="DH3061" s="8"/>
      <c r="DI3061" s="8"/>
      <c r="DJ3061" s="8"/>
      <c r="DK3061" s="8"/>
      <c r="DL3061" s="8"/>
      <c r="DM3061" s="8"/>
      <c r="DN3061" s="8"/>
      <c r="DO3061" s="8"/>
      <c r="DP3061" s="8"/>
      <c r="DQ3061" s="8"/>
      <c r="DR3061" s="8"/>
      <c r="DS3061" s="8"/>
      <c r="DT3061" s="8"/>
      <c r="DU3061" s="8"/>
      <c r="DV3061" s="8"/>
      <c r="DW3061" s="8"/>
      <c r="DX3061" s="8"/>
      <c r="DY3061" s="8"/>
      <c r="DZ3061" s="8"/>
      <c r="EA3061" s="8"/>
      <c r="EB3061" s="8"/>
      <c r="EC3061" s="8"/>
      <c r="ED3061" s="8"/>
      <c r="EE3061" s="8"/>
      <c r="EF3061" s="8"/>
      <c r="EG3061" s="8"/>
      <c r="EH3061" s="8"/>
      <c r="EI3061" s="8"/>
      <c r="EJ3061" s="8"/>
      <c r="EK3061" s="8"/>
      <c r="EL3061" s="8"/>
      <c r="EM3061" s="8"/>
      <c r="EN3061" s="8"/>
      <c r="EO3061" s="8"/>
      <c r="EP3061" s="8"/>
      <c r="EQ3061" s="8"/>
      <c r="ER3061" s="8"/>
      <c r="ES3061" s="8"/>
      <c r="ET3061" s="8"/>
      <c r="EU3061" s="8"/>
      <c r="EV3061" s="8"/>
      <c r="EW3061" s="8"/>
      <c r="EX3061" s="8"/>
      <c r="EY3061" s="8"/>
      <c r="EZ3061" s="8"/>
      <c r="FA3061" s="8"/>
      <c r="FB3061" s="8"/>
      <c r="FC3061" s="8"/>
      <c r="FD3061" s="8"/>
      <c r="FE3061" s="8"/>
      <c r="FF3061" s="8"/>
      <c r="FG3061" s="8"/>
      <c r="FH3061" s="8"/>
      <c r="FI3061" s="8"/>
      <c r="FJ3061" s="8"/>
      <c r="FK3061" s="8"/>
      <c r="FL3061" s="8"/>
      <c r="FM3061" s="8"/>
      <c r="FN3061" s="8"/>
      <c r="FO3061" s="8"/>
      <c r="FP3061" s="8"/>
      <c r="FQ3061" s="8"/>
      <c r="FR3061" s="8"/>
      <c r="FS3061" s="8"/>
      <c r="FT3061" s="8"/>
      <c r="FU3061" s="8"/>
      <c r="FV3061" s="8"/>
      <c r="FW3061" s="8"/>
      <c r="FX3061" s="8"/>
      <c r="FY3061" s="8"/>
      <c r="FZ3061" s="8"/>
      <c r="GA3061" s="8"/>
      <c r="GB3061" s="8"/>
      <c r="GC3061" s="8"/>
      <c r="GD3061" s="8"/>
      <c r="GE3061" s="8"/>
      <c r="GF3061" s="8"/>
      <c r="GG3061" s="8"/>
      <c r="GH3061" s="8"/>
      <c r="GI3061" s="8"/>
      <c r="GJ3061" s="8"/>
      <c r="GK3061" s="8"/>
      <c r="GL3061" s="8"/>
      <c r="GM3061" s="8"/>
      <c r="GN3061" s="8"/>
      <c r="GO3061" s="8"/>
      <c r="GP3061" s="8"/>
      <c r="GQ3061" s="8"/>
      <c r="GR3061" s="8"/>
      <c r="GS3061" s="8"/>
      <c r="GT3061" s="8"/>
      <c r="GU3061" s="8"/>
      <c r="GV3061" s="8"/>
      <c r="GW3061" s="8"/>
      <c r="GX3061" s="8"/>
      <c r="GY3061" s="8"/>
      <c r="GZ3061" s="8"/>
      <c r="HA3061" s="8"/>
      <c r="HB3061" s="8"/>
      <c r="HC3061" s="8"/>
      <c r="HD3061" s="8"/>
      <c r="HE3061" s="8"/>
      <c r="HF3061" s="8"/>
      <c r="HG3061" s="8"/>
      <c r="HH3061" s="8"/>
      <c r="HI3061" s="8"/>
      <c r="HJ3061" s="8"/>
      <c r="HK3061" s="8"/>
      <c r="HL3061" s="8"/>
      <c r="HM3061" s="8"/>
      <c r="HN3061" s="8"/>
      <c r="HO3061" s="8"/>
      <c r="HP3061" s="8"/>
      <c r="HQ3061" s="8"/>
    </row>
    <row r="3062" spans="1:225" ht="15.75" customHeight="1" x14ac:dyDescent="0.35">
      <c r="A3062" s="307">
        <f>A3057+1</f>
        <v>3</v>
      </c>
      <c r="B3062" s="307">
        <v>6834</v>
      </c>
      <c r="C3062" s="252" t="s">
        <v>644</v>
      </c>
      <c r="D3062" s="262">
        <v>341.7</v>
      </c>
      <c r="E3062" s="262" t="s">
        <v>75</v>
      </c>
      <c r="F3062" s="265">
        <v>2</v>
      </c>
      <c r="G3062" s="256" t="s">
        <v>72</v>
      </c>
      <c r="H3062" s="163" t="s">
        <v>73</v>
      </c>
      <c r="I3062" s="219">
        <f>I3063+I3064</f>
        <v>2414452.2000000002</v>
      </c>
      <c r="J3062" s="219">
        <f>J3063+J3064</f>
        <v>7066</v>
      </c>
      <c r="K3062" s="219">
        <f>K3063+K3064</f>
        <v>7066</v>
      </c>
      <c r="L3062" s="8"/>
      <c r="M3062" s="8"/>
      <c r="N3062" s="8"/>
      <c r="O3062" s="8"/>
      <c r="P3062" s="8"/>
      <c r="Q3062" s="8"/>
      <c r="R3062" s="8"/>
      <c r="S3062" s="8"/>
      <c r="T3062" s="8"/>
      <c r="U3062" s="8"/>
      <c r="V3062" s="8"/>
      <c r="W3062" s="8"/>
      <c r="X3062" s="8"/>
      <c r="Y3062" s="8"/>
      <c r="Z3062" s="8"/>
      <c r="AA3062" s="8"/>
      <c r="AB3062" s="8"/>
      <c r="AC3062" s="8"/>
      <c r="AD3062" s="8"/>
      <c r="AE3062" s="8"/>
      <c r="AF3062" s="8"/>
      <c r="AG3062" s="8"/>
      <c r="AH3062" s="8"/>
      <c r="AI3062" s="8"/>
      <c r="AJ3062" s="8"/>
      <c r="AK3062" s="8"/>
      <c r="AL3062" s="8"/>
      <c r="AM3062" s="8"/>
      <c r="AN3062" s="8"/>
      <c r="AO3062" s="8"/>
      <c r="AP3062" s="8"/>
      <c r="AQ3062" s="8"/>
      <c r="AR3062" s="8"/>
      <c r="AS3062" s="8"/>
      <c r="AT3062" s="8"/>
      <c r="AU3062" s="8"/>
      <c r="AV3062" s="8"/>
      <c r="AW3062" s="8"/>
      <c r="AX3062" s="8"/>
      <c r="AY3062" s="8"/>
      <c r="AZ3062" s="8"/>
      <c r="BA3062" s="8"/>
      <c r="BB3062" s="8"/>
      <c r="BC3062" s="8"/>
      <c r="BD3062" s="8"/>
      <c r="BE3062" s="8"/>
      <c r="BF3062" s="8"/>
      <c r="BG3062" s="8"/>
      <c r="BH3062" s="8"/>
      <c r="BI3062" s="8"/>
      <c r="BJ3062" s="8"/>
      <c r="BK3062" s="8"/>
      <c r="BL3062" s="8"/>
      <c r="BM3062" s="8"/>
      <c r="BN3062" s="8"/>
      <c r="BO3062" s="8"/>
      <c r="BP3062" s="8"/>
      <c r="BQ3062" s="8"/>
      <c r="BR3062" s="8"/>
      <c r="BS3062" s="8"/>
      <c r="BT3062" s="8"/>
      <c r="BU3062" s="8"/>
      <c r="BV3062" s="8"/>
      <c r="BW3062" s="8"/>
      <c r="BX3062" s="8"/>
      <c r="BY3062" s="8"/>
      <c r="BZ3062" s="8"/>
      <c r="CA3062" s="8"/>
      <c r="CB3062" s="8"/>
      <c r="CC3062" s="8"/>
      <c r="CD3062" s="8"/>
      <c r="CE3062" s="8"/>
      <c r="CF3062" s="8"/>
      <c r="CG3062" s="8"/>
      <c r="CH3062" s="8"/>
      <c r="CI3062" s="8"/>
      <c r="CJ3062" s="8"/>
      <c r="CK3062" s="8"/>
      <c r="CL3062" s="8"/>
      <c r="CM3062" s="8"/>
      <c r="CN3062" s="8"/>
      <c r="CO3062" s="8"/>
      <c r="CP3062" s="8"/>
      <c r="CQ3062" s="8"/>
      <c r="CR3062" s="8"/>
      <c r="CS3062" s="8"/>
      <c r="CT3062" s="8"/>
      <c r="CU3062" s="8"/>
      <c r="CV3062" s="8"/>
      <c r="CW3062" s="8"/>
      <c r="CX3062" s="8"/>
      <c r="CY3062" s="8"/>
      <c r="CZ3062" s="8"/>
      <c r="DA3062" s="8"/>
      <c r="DB3062" s="8"/>
      <c r="DC3062" s="8"/>
      <c r="DD3062" s="8"/>
      <c r="DE3062" s="8"/>
      <c r="DF3062" s="8"/>
      <c r="DG3062" s="8"/>
      <c r="DH3062" s="8"/>
      <c r="DI3062" s="8"/>
      <c r="DJ3062" s="8"/>
      <c r="DK3062" s="8"/>
      <c r="DL3062" s="8"/>
      <c r="DM3062" s="8"/>
      <c r="DN3062" s="8"/>
      <c r="DO3062" s="8"/>
      <c r="DP3062" s="8"/>
      <c r="DQ3062" s="8"/>
      <c r="DR3062" s="8"/>
      <c r="DS3062" s="8"/>
      <c r="DT3062" s="8"/>
      <c r="DU3062" s="8"/>
      <c r="DV3062" s="8"/>
      <c r="DW3062" s="8"/>
      <c r="DX3062" s="8"/>
      <c r="DY3062" s="8"/>
      <c r="DZ3062" s="8"/>
      <c r="EA3062" s="8"/>
      <c r="EB3062" s="8"/>
      <c r="EC3062" s="8"/>
      <c r="ED3062" s="8"/>
      <c r="EE3062" s="8"/>
      <c r="EF3062" s="8"/>
      <c r="EG3062" s="8"/>
      <c r="EH3062" s="8"/>
      <c r="EI3062" s="8"/>
      <c r="EJ3062" s="8"/>
      <c r="EK3062" s="8"/>
      <c r="EL3062" s="8"/>
      <c r="EM3062" s="8"/>
      <c r="EN3062" s="8"/>
      <c r="EO3062" s="8"/>
      <c r="EP3062" s="8"/>
      <c r="EQ3062" s="8"/>
      <c r="ER3062" s="8"/>
      <c r="ES3062" s="8"/>
      <c r="ET3062" s="8"/>
      <c r="EU3062" s="8"/>
      <c r="EV3062" s="8"/>
      <c r="EW3062" s="8"/>
      <c r="EX3062" s="8"/>
      <c r="EY3062" s="8"/>
      <c r="EZ3062" s="8"/>
      <c r="FA3062" s="8"/>
      <c r="FB3062" s="8"/>
      <c r="FC3062" s="8"/>
      <c r="FD3062" s="8"/>
      <c r="FE3062" s="8"/>
      <c r="FF3062" s="8"/>
      <c r="FG3062" s="8"/>
      <c r="FH3062" s="8"/>
      <c r="FI3062" s="8"/>
      <c r="FJ3062" s="8"/>
      <c r="FK3062" s="8"/>
      <c r="FL3062" s="8"/>
      <c r="FM3062" s="8"/>
      <c r="FN3062" s="8"/>
      <c r="FO3062" s="8"/>
      <c r="FP3062" s="8"/>
      <c r="FQ3062" s="8"/>
      <c r="FR3062" s="8"/>
      <c r="FS3062" s="8"/>
      <c r="FT3062" s="8"/>
      <c r="FU3062" s="8"/>
      <c r="FV3062" s="8"/>
      <c r="FW3062" s="8"/>
      <c r="FX3062" s="8"/>
      <c r="FY3062" s="8"/>
      <c r="FZ3062" s="8"/>
      <c r="GA3062" s="8"/>
      <c r="GB3062" s="8"/>
      <c r="GC3062" s="8"/>
      <c r="GD3062" s="8"/>
      <c r="GE3062" s="8"/>
      <c r="GF3062" s="8"/>
      <c r="GG3062" s="8"/>
      <c r="GH3062" s="8"/>
      <c r="GI3062" s="8"/>
      <c r="GJ3062" s="8"/>
      <c r="GK3062" s="8"/>
      <c r="GL3062" s="8"/>
      <c r="GM3062" s="8"/>
      <c r="GN3062" s="8"/>
      <c r="GO3062" s="8"/>
      <c r="GP3062" s="8"/>
      <c r="GQ3062" s="8"/>
      <c r="GR3062" s="8"/>
      <c r="GS3062" s="8"/>
      <c r="GT3062" s="8"/>
      <c r="GU3062" s="8"/>
      <c r="GV3062" s="8"/>
      <c r="GW3062" s="8"/>
      <c r="GX3062" s="8"/>
      <c r="GY3062" s="8"/>
      <c r="GZ3062" s="8"/>
      <c r="HA3062" s="8"/>
      <c r="HB3062" s="8"/>
      <c r="HC3062" s="8"/>
      <c r="HD3062" s="8"/>
      <c r="HE3062" s="8"/>
      <c r="HF3062" s="8"/>
      <c r="HG3062" s="8"/>
      <c r="HH3062" s="8"/>
      <c r="HI3062" s="8"/>
      <c r="HJ3062" s="8"/>
      <c r="HK3062" s="8"/>
      <c r="HL3062" s="8"/>
      <c r="HM3062" s="8"/>
      <c r="HN3062" s="8"/>
      <c r="HO3062" s="8"/>
      <c r="HP3062" s="8"/>
      <c r="HQ3062" s="8"/>
    </row>
    <row r="3063" spans="1:225" x14ac:dyDescent="0.35">
      <c r="A3063" s="344"/>
      <c r="B3063" s="344"/>
      <c r="C3063" s="252"/>
      <c r="D3063" s="263"/>
      <c r="E3063" s="263"/>
      <c r="F3063" s="266"/>
      <c r="G3063" s="257"/>
      <c r="H3063" s="163" t="s">
        <v>74</v>
      </c>
      <c r="I3063" s="219">
        <f>D3062*K3063</f>
        <v>2363880.6</v>
      </c>
      <c r="J3063" s="219">
        <f>I3063/D3062</f>
        <v>6918</v>
      </c>
      <c r="K3063" s="219">
        <v>6918</v>
      </c>
      <c r="L3063" s="8"/>
      <c r="M3063" s="8"/>
      <c r="N3063" s="8"/>
      <c r="O3063" s="8"/>
      <c r="P3063" s="8"/>
      <c r="Q3063" s="8"/>
      <c r="R3063" s="8"/>
      <c r="S3063" s="8"/>
      <c r="T3063" s="8"/>
      <c r="U3063" s="8"/>
      <c r="V3063" s="8"/>
      <c r="W3063" s="8"/>
      <c r="X3063" s="8"/>
      <c r="Y3063" s="8"/>
      <c r="Z3063" s="8"/>
      <c r="AA3063" s="8"/>
      <c r="AB3063" s="8"/>
      <c r="AC3063" s="8"/>
      <c r="AD3063" s="8"/>
      <c r="AE3063" s="8"/>
      <c r="AF3063" s="8"/>
      <c r="AG3063" s="8"/>
      <c r="AH3063" s="8"/>
      <c r="AI3063" s="8"/>
      <c r="AJ3063" s="8"/>
      <c r="AK3063" s="8"/>
      <c r="AL3063" s="8"/>
      <c r="AM3063" s="8"/>
      <c r="AN3063" s="8"/>
      <c r="AO3063" s="8"/>
      <c r="AP3063" s="8"/>
      <c r="AQ3063" s="8"/>
      <c r="AR3063" s="8"/>
      <c r="AS3063" s="8"/>
      <c r="AT3063" s="8"/>
      <c r="AU3063" s="8"/>
      <c r="AV3063" s="8"/>
      <c r="AW3063" s="8"/>
      <c r="AX3063" s="8"/>
      <c r="AY3063" s="8"/>
      <c r="AZ3063" s="8"/>
      <c r="BA3063" s="8"/>
      <c r="BB3063" s="8"/>
      <c r="BC3063" s="8"/>
      <c r="BD3063" s="8"/>
      <c r="BE3063" s="8"/>
      <c r="BF3063" s="8"/>
      <c r="BG3063" s="8"/>
      <c r="BH3063" s="8"/>
      <c r="BI3063" s="8"/>
      <c r="BJ3063" s="8"/>
      <c r="BK3063" s="8"/>
      <c r="BL3063" s="8"/>
      <c r="BM3063" s="8"/>
      <c r="BN3063" s="8"/>
      <c r="BO3063" s="8"/>
      <c r="BP3063" s="8"/>
      <c r="BQ3063" s="8"/>
      <c r="BR3063" s="8"/>
      <c r="BS3063" s="8"/>
      <c r="BT3063" s="8"/>
      <c r="BU3063" s="8"/>
      <c r="BV3063" s="8"/>
      <c r="BW3063" s="8"/>
      <c r="BX3063" s="8"/>
      <c r="BY3063" s="8"/>
      <c r="BZ3063" s="8"/>
      <c r="CA3063" s="8"/>
      <c r="CB3063" s="8"/>
      <c r="CC3063" s="8"/>
      <c r="CD3063" s="8"/>
      <c r="CE3063" s="8"/>
      <c r="CF3063" s="8"/>
      <c r="CG3063" s="8"/>
      <c r="CH3063" s="8"/>
      <c r="CI3063" s="8"/>
      <c r="CJ3063" s="8"/>
      <c r="CK3063" s="8"/>
      <c r="CL3063" s="8"/>
      <c r="CM3063" s="8"/>
      <c r="CN3063" s="8"/>
      <c r="CO3063" s="8"/>
      <c r="CP3063" s="8"/>
      <c r="CQ3063" s="8"/>
      <c r="CR3063" s="8"/>
      <c r="CS3063" s="8"/>
      <c r="CT3063" s="8"/>
      <c r="CU3063" s="8"/>
      <c r="CV3063" s="8"/>
      <c r="CW3063" s="8"/>
      <c r="CX3063" s="8"/>
      <c r="CY3063" s="8"/>
      <c r="CZ3063" s="8"/>
      <c r="DA3063" s="8"/>
      <c r="DB3063" s="8"/>
      <c r="DC3063" s="8"/>
      <c r="DD3063" s="8"/>
      <c r="DE3063" s="8"/>
      <c r="DF3063" s="8"/>
      <c r="DG3063" s="8"/>
      <c r="DH3063" s="8"/>
      <c r="DI3063" s="8"/>
      <c r="DJ3063" s="8"/>
      <c r="DK3063" s="8"/>
      <c r="DL3063" s="8"/>
      <c r="DM3063" s="8"/>
      <c r="DN3063" s="8"/>
      <c r="DO3063" s="8"/>
      <c r="DP3063" s="8"/>
      <c r="DQ3063" s="8"/>
      <c r="DR3063" s="8"/>
      <c r="DS3063" s="8"/>
      <c r="DT3063" s="8"/>
      <c r="DU3063" s="8"/>
      <c r="DV3063" s="8"/>
      <c r="DW3063" s="8"/>
      <c r="DX3063" s="8"/>
      <c r="DY3063" s="8"/>
      <c r="DZ3063" s="8"/>
      <c r="EA3063" s="8"/>
      <c r="EB3063" s="8"/>
      <c r="EC3063" s="8"/>
      <c r="ED3063" s="8"/>
      <c r="EE3063" s="8"/>
      <c r="EF3063" s="8"/>
      <c r="EG3063" s="8"/>
      <c r="EH3063" s="8"/>
      <c r="EI3063" s="8"/>
      <c r="EJ3063" s="8"/>
      <c r="EK3063" s="8"/>
      <c r="EL3063" s="8"/>
      <c r="EM3063" s="8"/>
      <c r="EN3063" s="8"/>
      <c r="EO3063" s="8"/>
      <c r="EP3063" s="8"/>
      <c r="EQ3063" s="8"/>
      <c r="ER3063" s="8"/>
      <c r="ES3063" s="8"/>
      <c r="ET3063" s="8"/>
      <c r="EU3063" s="8"/>
      <c r="EV3063" s="8"/>
      <c r="EW3063" s="8"/>
      <c r="EX3063" s="8"/>
      <c r="EY3063" s="8"/>
      <c r="EZ3063" s="8"/>
      <c r="FA3063" s="8"/>
      <c r="FB3063" s="8"/>
      <c r="FC3063" s="8"/>
      <c r="FD3063" s="8"/>
      <c r="FE3063" s="8"/>
      <c r="FF3063" s="8"/>
      <c r="FG3063" s="8"/>
      <c r="FH3063" s="8"/>
      <c r="FI3063" s="8"/>
      <c r="FJ3063" s="8"/>
      <c r="FK3063" s="8"/>
      <c r="FL3063" s="8"/>
      <c r="FM3063" s="8"/>
      <c r="FN3063" s="8"/>
      <c r="FO3063" s="8"/>
      <c r="FP3063" s="8"/>
      <c r="FQ3063" s="8"/>
      <c r="FR3063" s="8"/>
      <c r="FS3063" s="8"/>
      <c r="FT3063" s="8"/>
      <c r="FU3063" s="8"/>
      <c r="FV3063" s="8"/>
      <c r="FW3063" s="8"/>
      <c r="FX3063" s="8"/>
      <c r="FY3063" s="8"/>
      <c r="FZ3063" s="8"/>
      <c r="GA3063" s="8"/>
      <c r="GB3063" s="8"/>
      <c r="GC3063" s="8"/>
      <c r="GD3063" s="8"/>
      <c r="GE3063" s="8"/>
      <c r="GF3063" s="8"/>
      <c r="GG3063" s="8"/>
      <c r="GH3063" s="8"/>
      <c r="GI3063" s="8"/>
      <c r="GJ3063" s="8"/>
      <c r="GK3063" s="8"/>
      <c r="GL3063" s="8"/>
      <c r="GM3063" s="8"/>
      <c r="GN3063" s="8"/>
      <c r="GO3063" s="8"/>
      <c r="GP3063" s="8"/>
      <c r="GQ3063" s="8"/>
      <c r="GR3063" s="8"/>
      <c r="GS3063" s="8"/>
      <c r="GT3063" s="8"/>
      <c r="GU3063" s="8"/>
      <c r="GV3063" s="8"/>
      <c r="GW3063" s="8"/>
      <c r="GX3063" s="8"/>
      <c r="GY3063" s="8"/>
      <c r="GZ3063" s="8"/>
      <c r="HA3063" s="8"/>
      <c r="HB3063" s="8"/>
      <c r="HC3063" s="8"/>
      <c r="HD3063" s="8"/>
      <c r="HE3063" s="8"/>
      <c r="HF3063" s="8"/>
      <c r="HG3063" s="8"/>
      <c r="HH3063" s="8"/>
      <c r="HI3063" s="8"/>
      <c r="HJ3063" s="8"/>
      <c r="HK3063" s="8"/>
      <c r="HL3063" s="8"/>
      <c r="HM3063" s="8"/>
      <c r="HN3063" s="8"/>
      <c r="HO3063" s="8"/>
      <c r="HP3063" s="8"/>
      <c r="HQ3063" s="8"/>
    </row>
    <row r="3064" spans="1:225" x14ac:dyDescent="0.35">
      <c r="A3064" s="338"/>
      <c r="B3064" s="338"/>
      <c r="C3064" s="252"/>
      <c r="D3064" s="264"/>
      <c r="E3064" s="264"/>
      <c r="F3064" s="267"/>
      <c r="G3064" s="258"/>
      <c r="H3064" s="163" t="s">
        <v>76</v>
      </c>
      <c r="I3064" s="219">
        <f>D3062*K3064</f>
        <v>50571.6</v>
      </c>
      <c r="J3064" s="219">
        <f>I3064/D3062</f>
        <v>148</v>
      </c>
      <c r="K3064" s="219">
        <v>148</v>
      </c>
      <c r="L3064" s="8"/>
      <c r="M3064" s="8"/>
      <c r="N3064" s="8"/>
      <c r="O3064" s="8"/>
      <c r="P3064" s="8"/>
      <c r="Q3064" s="8"/>
      <c r="R3064" s="8"/>
      <c r="S3064" s="8"/>
      <c r="T3064" s="8"/>
      <c r="U3064" s="8"/>
      <c r="V3064" s="8"/>
      <c r="W3064" s="8"/>
      <c r="X3064" s="8"/>
      <c r="Y3064" s="8"/>
      <c r="Z3064" s="8"/>
      <c r="AA3064" s="8"/>
      <c r="AB3064" s="8"/>
      <c r="AC3064" s="8"/>
      <c r="AD3064" s="8"/>
      <c r="AE3064" s="8"/>
      <c r="AF3064" s="8"/>
      <c r="AG3064" s="8"/>
      <c r="AH3064" s="8"/>
      <c r="AI3064" s="8"/>
      <c r="AJ3064" s="8"/>
      <c r="AK3064" s="8"/>
      <c r="AL3064" s="8"/>
      <c r="AM3064" s="8"/>
      <c r="AN3064" s="8"/>
      <c r="AO3064" s="8"/>
      <c r="AP3064" s="8"/>
      <c r="AQ3064" s="8"/>
      <c r="AR3064" s="8"/>
      <c r="AS3064" s="8"/>
      <c r="AT3064" s="8"/>
      <c r="AU3064" s="8"/>
      <c r="AV3064" s="8"/>
      <c r="AW3064" s="8"/>
      <c r="AX3064" s="8"/>
      <c r="AY3064" s="8"/>
      <c r="AZ3064" s="8"/>
      <c r="BA3064" s="8"/>
      <c r="BB3064" s="8"/>
      <c r="BC3064" s="8"/>
      <c r="BD3064" s="8"/>
      <c r="BE3064" s="8"/>
      <c r="BF3064" s="8"/>
      <c r="BG3064" s="8"/>
      <c r="BH3064" s="8"/>
      <c r="BI3064" s="8"/>
      <c r="BJ3064" s="8"/>
      <c r="BK3064" s="8"/>
      <c r="BL3064" s="8"/>
      <c r="BM3064" s="8"/>
      <c r="BN3064" s="8"/>
      <c r="BO3064" s="8"/>
      <c r="BP3064" s="8"/>
      <c r="BQ3064" s="8"/>
      <c r="BR3064" s="8"/>
      <c r="BS3064" s="8"/>
      <c r="BT3064" s="8"/>
      <c r="BU3064" s="8"/>
      <c r="BV3064" s="8"/>
      <c r="BW3064" s="8"/>
      <c r="BX3064" s="8"/>
      <c r="BY3064" s="8"/>
      <c r="BZ3064" s="8"/>
      <c r="CA3064" s="8"/>
      <c r="CB3064" s="8"/>
      <c r="CC3064" s="8"/>
      <c r="CD3064" s="8"/>
      <c r="CE3064" s="8"/>
      <c r="CF3064" s="8"/>
      <c r="CG3064" s="8"/>
      <c r="CH3064" s="8"/>
      <c r="CI3064" s="8"/>
      <c r="CJ3064" s="8"/>
      <c r="CK3064" s="8"/>
      <c r="CL3064" s="8"/>
      <c r="CM3064" s="8"/>
      <c r="CN3064" s="8"/>
      <c r="CO3064" s="8"/>
      <c r="CP3064" s="8"/>
      <c r="CQ3064" s="8"/>
      <c r="CR3064" s="8"/>
      <c r="CS3064" s="8"/>
      <c r="CT3064" s="8"/>
      <c r="CU3064" s="8"/>
      <c r="CV3064" s="8"/>
      <c r="CW3064" s="8"/>
      <c r="CX3064" s="8"/>
      <c r="CY3064" s="8"/>
      <c r="CZ3064" s="8"/>
      <c r="DA3064" s="8"/>
      <c r="DB3064" s="8"/>
      <c r="DC3064" s="8"/>
      <c r="DD3064" s="8"/>
      <c r="DE3064" s="8"/>
      <c r="DF3064" s="8"/>
      <c r="DG3064" s="8"/>
      <c r="DH3064" s="8"/>
      <c r="DI3064" s="8"/>
      <c r="DJ3064" s="8"/>
      <c r="DK3064" s="8"/>
      <c r="DL3064" s="8"/>
      <c r="DM3064" s="8"/>
      <c r="DN3064" s="8"/>
      <c r="DO3064" s="8"/>
      <c r="DP3064" s="8"/>
      <c r="DQ3064" s="8"/>
      <c r="DR3064" s="8"/>
      <c r="DS3064" s="8"/>
      <c r="DT3064" s="8"/>
      <c r="DU3064" s="8"/>
      <c r="DV3064" s="8"/>
      <c r="DW3064" s="8"/>
      <c r="DX3064" s="8"/>
      <c r="DY3064" s="8"/>
      <c r="DZ3064" s="8"/>
      <c r="EA3064" s="8"/>
      <c r="EB3064" s="8"/>
      <c r="EC3064" s="8"/>
      <c r="ED3064" s="8"/>
      <c r="EE3064" s="8"/>
      <c r="EF3064" s="8"/>
      <c r="EG3064" s="8"/>
      <c r="EH3064" s="8"/>
      <c r="EI3064" s="8"/>
      <c r="EJ3064" s="8"/>
      <c r="EK3064" s="8"/>
      <c r="EL3064" s="8"/>
      <c r="EM3064" s="8"/>
      <c r="EN3064" s="8"/>
      <c r="EO3064" s="8"/>
      <c r="EP3064" s="8"/>
      <c r="EQ3064" s="8"/>
      <c r="ER3064" s="8"/>
      <c r="ES3064" s="8"/>
      <c r="ET3064" s="8"/>
      <c r="EU3064" s="8"/>
      <c r="EV3064" s="8"/>
      <c r="EW3064" s="8"/>
      <c r="EX3064" s="8"/>
      <c r="EY3064" s="8"/>
      <c r="EZ3064" s="8"/>
      <c r="FA3064" s="8"/>
      <c r="FB3064" s="8"/>
      <c r="FC3064" s="8"/>
      <c r="FD3064" s="8"/>
      <c r="FE3064" s="8"/>
      <c r="FF3064" s="8"/>
      <c r="FG3064" s="8"/>
      <c r="FH3064" s="8"/>
      <c r="FI3064" s="8"/>
      <c r="FJ3064" s="8"/>
      <c r="FK3064" s="8"/>
      <c r="FL3064" s="8"/>
      <c r="FM3064" s="8"/>
      <c r="FN3064" s="8"/>
      <c r="FO3064" s="8"/>
      <c r="FP3064" s="8"/>
      <c r="FQ3064" s="8"/>
      <c r="FR3064" s="8"/>
      <c r="FS3064" s="8"/>
      <c r="FT3064" s="8"/>
      <c r="FU3064" s="8"/>
      <c r="FV3064" s="8"/>
      <c r="FW3064" s="8"/>
      <c r="FX3064" s="8"/>
      <c r="FY3064" s="8"/>
      <c r="FZ3064" s="8"/>
      <c r="GA3064" s="8"/>
      <c r="GB3064" s="8"/>
      <c r="GC3064" s="8"/>
      <c r="GD3064" s="8"/>
      <c r="GE3064" s="8"/>
      <c r="GF3064" s="8"/>
      <c r="GG3064" s="8"/>
      <c r="GH3064" s="8"/>
      <c r="GI3064" s="8"/>
      <c r="GJ3064" s="8"/>
      <c r="GK3064" s="8"/>
      <c r="GL3064" s="8"/>
      <c r="GM3064" s="8"/>
      <c r="GN3064" s="8"/>
      <c r="GO3064" s="8"/>
      <c r="GP3064" s="8"/>
      <c r="GQ3064" s="8"/>
      <c r="GR3064" s="8"/>
      <c r="GS3064" s="8"/>
      <c r="GT3064" s="8"/>
      <c r="GU3064" s="8"/>
      <c r="GV3064" s="8"/>
      <c r="GW3064" s="8"/>
      <c r="GX3064" s="8"/>
      <c r="GY3064" s="8"/>
      <c r="GZ3064" s="8"/>
      <c r="HA3064" s="8"/>
      <c r="HB3064" s="8"/>
      <c r="HC3064" s="8"/>
      <c r="HD3064" s="8"/>
      <c r="HE3064" s="8"/>
      <c r="HF3064" s="8"/>
      <c r="HG3064" s="8"/>
      <c r="HH3064" s="8"/>
      <c r="HI3064" s="8"/>
      <c r="HJ3064" s="8"/>
      <c r="HK3064" s="8"/>
      <c r="HL3064" s="8"/>
      <c r="HM3064" s="8"/>
      <c r="HN3064" s="8"/>
      <c r="HO3064" s="8"/>
      <c r="HP3064" s="8"/>
      <c r="HQ3064" s="8"/>
    </row>
    <row r="3065" spans="1:225" ht="15.75" customHeight="1" x14ac:dyDescent="0.35">
      <c r="A3065" s="307">
        <f>A3062+1</f>
        <v>4</v>
      </c>
      <c r="B3065" s="307">
        <v>6835</v>
      </c>
      <c r="C3065" s="252" t="s">
        <v>645</v>
      </c>
      <c r="D3065" s="262">
        <v>356.8</v>
      </c>
      <c r="E3065" s="262" t="s">
        <v>75</v>
      </c>
      <c r="F3065" s="265">
        <v>2</v>
      </c>
      <c r="G3065" s="256" t="s">
        <v>72</v>
      </c>
      <c r="H3065" s="163" t="s">
        <v>73</v>
      </c>
      <c r="I3065" s="219">
        <f>I3066+I3067</f>
        <v>2521148.7999999998</v>
      </c>
      <c r="J3065" s="219">
        <f>J3066+J3067</f>
        <v>7066</v>
      </c>
      <c r="K3065" s="219">
        <f>K3066+K3067</f>
        <v>7066</v>
      </c>
      <c r="L3065" s="1"/>
      <c r="M3065" s="1"/>
      <c r="N3065" s="1"/>
      <c r="O3065" s="1"/>
      <c r="P3065" s="1"/>
      <c r="Q3065" s="1"/>
      <c r="R3065" s="1"/>
      <c r="S3065" s="1"/>
      <c r="T3065" s="1"/>
      <c r="U3065" s="1"/>
      <c r="V3065" s="1"/>
      <c r="W3065" s="1"/>
      <c r="X3065" s="1"/>
      <c r="Y3065" s="1"/>
      <c r="Z3065" s="1"/>
      <c r="AA3065" s="1"/>
      <c r="AB3065" s="1"/>
      <c r="AC3065" s="1"/>
      <c r="AD3065" s="1"/>
      <c r="AE3065" s="1"/>
      <c r="AF3065" s="1"/>
      <c r="AG3065" s="1"/>
      <c r="AH3065" s="1"/>
      <c r="AI3065" s="1"/>
      <c r="AJ3065" s="1"/>
      <c r="AK3065" s="1"/>
      <c r="AL3065" s="1"/>
      <c r="AM3065" s="1"/>
      <c r="AN3065" s="1"/>
      <c r="AO3065" s="1"/>
      <c r="AP3065" s="1"/>
      <c r="AQ3065" s="1"/>
      <c r="AR3065" s="1"/>
      <c r="AS3065" s="1"/>
      <c r="AT3065" s="1"/>
      <c r="AU3065" s="1"/>
      <c r="AV3065" s="1"/>
      <c r="AW3065" s="1"/>
      <c r="AX3065" s="1"/>
      <c r="AY3065" s="1"/>
      <c r="AZ3065" s="1"/>
      <c r="BA3065" s="1"/>
      <c r="BB3065" s="1"/>
      <c r="BC3065" s="1"/>
      <c r="BD3065" s="1"/>
      <c r="BE3065" s="1"/>
      <c r="BF3065" s="1"/>
      <c r="BG3065" s="1"/>
      <c r="BH3065" s="1"/>
      <c r="BI3065" s="1"/>
      <c r="BJ3065" s="1"/>
      <c r="BK3065" s="1"/>
      <c r="BL3065" s="1"/>
      <c r="BM3065" s="1"/>
      <c r="BN3065" s="1"/>
      <c r="BO3065" s="1"/>
      <c r="BP3065" s="1"/>
      <c r="BQ3065" s="1"/>
      <c r="BR3065" s="1"/>
      <c r="BS3065" s="1"/>
      <c r="BT3065" s="1"/>
      <c r="BU3065" s="1"/>
      <c r="BV3065" s="1"/>
      <c r="BW3065" s="1"/>
      <c r="BX3065" s="1"/>
      <c r="BY3065" s="1"/>
      <c r="BZ3065" s="1"/>
      <c r="CA3065" s="1"/>
      <c r="CB3065" s="1"/>
      <c r="CC3065" s="1"/>
      <c r="CD3065" s="1"/>
      <c r="CE3065" s="1"/>
      <c r="CF3065" s="1"/>
      <c r="CG3065" s="1"/>
      <c r="CH3065" s="1"/>
      <c r="CI3065" s="1"/>
      <c r="CJ3065" s="1"/>
      <c r="CK3065" s="1"/>
      <c r="CL3065" s="1"/>
      <c r="CM3065" s="1"/>
      <c r="CN3065" s="1"/>
      <c r="CO3065" s="1"/>
      <c r="CP3065" s="1"/>
      <c r="CQ3065" s="1"/>
      <c r="CR3065" s="1"/>
      <c r="CS3065" s="1"/>
      <c r="CT3065" s="1"/>
      <c r="CU3065" s="1"/>
      <c r="CV3065" s="1"/>
      <c r="CW3065" s="1"/>
      <c r="CX3065" s="1"/>
      <c r="CY3065" s="1"/>
      <c r="CZ3065" s="1"/>
      <c r="DA3065" s="1"/>
      <c r="DB3065" s="1"/>
      <c r="DC3065" s="1"/>
      <c r="DD3065" s="1"/>
      <c r="DE3065" s="1"/>
      <c r="DF3065" s="1"/>
      <c r="DG3065" s="1"/>
      <c r="DH3065" s="1"/>
      <c r="DI3065" s="1"/>
      <c r="DJ3065" s="1"/>
      <c r="DK3065" s="1"/>
      <c r="DL3065" s="1"/>
      <c r="DM3065" s="1"/>
      <c r="DN3065" s="1"/>
      <c r="DO3065" s="1"/>
      <c r="DP3065" s="1"/>
      <c r="DQ3065" s="1"/>
      <c r="DR3065" s="1"/>
      <c r="DS3065" s="1"/>
      <c r="DT3065" s="1"/>
      <c r="DU3065" s="1"/>
      <c r="DV3065" s="1"/>
      <c r="DW3065" s="1"/>
      <c r="DX3065" s="1"/>
      <c r="DY3065" s="1"/>
      <c r="DZ3065" s="1"/>
      <c r="EA3065" s="1"/>
      <c r="EB3065" s="1"/>
      <c r="EC3065" s="1"/>
      <c r="ED3065" s="1"/>
      <c r="EE3065" s="1"/>
      <c r="EF3065" s="1"/>
      <c r="EG3065" s="1"/>
      <c r="EH3065" s="1"/>
      <c r="EI3065" s="1"/>
      <c r="EJ3065" s="1"/>
      <c r="EK3065" s="1"/>
      <c r="EL3065" s="1"/>
      <c r="EM3065" s="1"/>
      <c r="EN3065" s="1"/>
      <c r="EO3065" s="1"/>
      <c r="EP3065" s="1"/>
      <c r="EQ3065" s="1"/>
      <c r="ER3065" s="1"/>
      <c r="ES3065" s="1"/>
      <c r="ET3065" s="1"/>
      <c r="EU3065" s="1"/>
      <c r="EV3065" s="1"/>
      <c r="EW3065" s="1"/>
      <c r="EX3065" s="1"/>
      <c r="EY3065" s="1"/>
      <c r="EZ3065" s="1"/>
      <c r="FA3065" s="1"/>
      <c r="FB3065" s="1"/>
      <c r="FC3065" s="1"/>
      <c r="FD3065" s="1"/>
      <c r="FE3065" s="1"/>
      <c r="FF3065" s="1"/>
      <c r="FG3065" s="1"/>
      <c r="FH3065" s="1"/>
      <c r="FI3065" s="1"/>
      <c r="FJ3065" s="1"/>
      <c r="FK3065" s="1"/>
      <c r="FL3065" s="1"/>
      <c r="FM3065" s="1"/>
      <c r="FN3065" s="1"/>
      <c r="FO3065" s="1"/>
      <c r="FP3065" s="1"/>
      <c r="FQ3065" s="1"/>
      <c r="FR3065" s="1"/>
      <c r="FS3065" s="1"/>
      <c r="FT3065" s="1"/>
      <c r="FU3065" s="1"/>
      <c r="FV3065" s="1"/>
      <c r="FW3065" s="1"/>
      <c r="FX3065" s="1"/>
      <c r="FY3065" s="1"/>
      <c r="FZ3065" s="1"/>
      <c r="GA3065" s="1"/>
      <c r="GB3065" s="1"/>
      <c r="GC3065" s="1"/>
      <c r="GD3065" s="1"/>
      <c r="GE3065" s="1"/>
      <c r="GF3065" s="1"/>
      <c r="GG3065" s="1"/>
      <c r="GH3065" s="1"/>
      <c r="GI3065" s="1"/>
      <c r="GJ3065" s="1"/>
      <c r="GK3065" s="1"/>
      <c r="GL3065" s="1"/>
      <c r="GM3065" s="1"/>
      <c r="GN3065" s="1"/>
      <c r="GO3065" s="1"/>
      <c r="GP3065" s="1"/>
      <c r="GQ3065" s="1"/>
      <c r="GR3065" s="1"/>
      <c r="GS3065" s="1"/>
      <c r="GT3065" s="1"/>
      <c r="GU3065" s="1"/>
      <c r="GV3065" s="1"/>
      <c r="GW3065" s="1"/>
      <c r="GX3065" s="1"/>
      <c r="GY3065" s="1"/>
      <c r="GZ3065" s="1"/>
      <c r="HA3065" s="1"/>
      <c r="HB3065" s="1"/>
      <c r="HC3065" s="1"/>
      <c r="HD3065" s="1"/>
      <c r="HE3065" s="1"/>
      <c r="HF3065" s="1"/>
      <c r="HG3065" s="1"/>
      <c r="HH3065" s="1"/>
      <c r="HI3065" s="1"/>
      <c r="HJ3065" s="1"/>
      <c r="HK3065" s="1"/>
      <c r="HL3065" s="1"/>
      <c r="HM3065" s="1"/>
      <c r="HN3065" s="1"/>
      <c r="HO3065" s="1"/>
      <c r="HP3065" s="1"/>
      <c r="HQ3065" s="1"/>
    </row>
    <row r="3066" spans="1:225" x14ac:dyDescent="0.35">
      <c r="A3066" s="344"/>
      <c r="B3066" s="344"/>
      <c r="C3066" s="252"/>
      <c r="D3066" s="263"/>
      <c r="E3066" s="263"/>
      <c r="F3066" s="266"/>
      <c r="G3066" s="257"/>
      <c r="H3066" s="163" t="s">
        <v>74</v>
      </c>
      <c r="I3066" s="219">
        <f>D3065*K3066</f>
        <v>2468342.4</v>
      </c>
      <c r="J3066" s="219">
        <f>I3066/D3065</f>
        <v>6918</v>
      </c>
      <c r="K3066" s="219">
        <v>6918</v>
      </c>
      <c r="L3066" s="1"/>
      <c r="M3066" s="1"/>
      <c r="N3066" s="1"/>
      <c r="O3066" s="1"/>
      <c r="P3066" s="1"/>
      <c r="Q3066" s="1"/>
      <c r="R3066" s="1"/>
      <c r="S3066" s="1"/>
      <c r="T3066" s="1"/>
      <c r="U3066" s="1"/>
      <c r="V3066" s="1"/>
      <c r="W3066" s="1"/>
      <c r="X3066" s="1"/>
      <c r="Y3066" s="1"/>
      <c r="Z3066" s="1"/>
      <c r="AA3066" s="1"/>
      <c r="AB3066" s="1"/>
      <c r="AC3066" s="1"/>
      <c r="AD3066" s="1"/>
      <c r="AE3066" s="1"/>
      <c r="AF3066" s="1"/>
      <c r="AG3066" s="1"/>
      <c r="AH3066" s="1"/>
      <c r="AI3066" s="1"/>
      <c r="AJ3066" s="1"/>
      <c r="AK3066" s="1"/>
      <c r="AL3066" s="1"/>
      <c r="AM3066" s="1"/>
      <c r="AN3066" s="1"/>
      <c r="AO3066" s="1"/>
      <c r="AP3066" s="1"/>
      <c r="AQ3066" s="1"/>
      <c r="AR3066" s="1"/>
      <c r="AS3066" s="1"/>
      <c r="AT3066" s="1"/>
      <c r="AU3066" s="1"/>
      <c r="AV3066" s="1"/>
      <c r="AW3066" s="1"/>
      <c r="AX3066" s="1"/>
      <c r="AY3066" s="1"/>
      <c r="AZ3066" s="1"/>
      <c r="BA3066" s="1"/>
      <c r="BB3066" s="1"/>
      <c r="BC3066" s="1"/>
      <c r="BD3066" s="1"/>
      <c r="BE3066" s="1"/>
      <c r="BF3066" s="1"/>
      <c r="BG3066" s="1"/>
      <c r="BH3066" s="1"/>
      <c r="BI3066" s="1"/>
      <c r="BJ3066" s="1"/>
      <c r="BK3066" s="1"/>
      <c r="BL3066" s="1"/>
      <c r="BM3066" s="1"/>
      <c r="BN3066" s="1"/>
      <c r="BO3066" s="1"/>
      <c r="BP3066" s="1"/>
      <c r="BQ3066" s="1"/>
      <c r="BR3066" s="1"/>
      <c r="BS3066" s="1"/>
      <c r="BT3066" s="1"/>
      <c r="BU3066" s="1"/>
      <c r="BV3066" s="1"/>
      <c r="BW3066" s="1"/>
      <c r="BX3066" s="1"/>
      <c r="BY3066" s="1"/>
      <c r="BZ3066" s="1"/>
      <c r="CA3066" s="1"/>
      <c r="CB3066" s="1"/>
      <c r="CC3066" s="1"/>
      <c r="CD3066" s="1"/>
      <c r="CE3066" s="1"/>
      <c r="CF3066" s="1"/>
      <c r="CG3066" s="1"/>
      <c r="CH3066" s="1"/>
      <c r="CI3066" s="1"/>
      <c r="CJ3066" s="1"/>
      <c r="CK3066" s="1"/>
      <c r="CL3066" s="1"/>
      <c r="CM3066" s="1"/>
      <c r="CN3066" s="1"/>
      <c r="CO3066" s="1"/>
      <c r="CP3066" s="1"/>
      <c r="CQ3066" s="1"/>
      <c r="CR3066" s="1"/>
      <c r="CS3066" s="1"/>
      <c r="CT3066" s="1"/>
      <c r="CU3066" s="1"/>
      <c r="CV3066" s="1"/>
      <c r="CW3066" s="1"/>
      <c r="CX3066" s="1"/>
      <c r="CY3066" s="1"/>
      <c r="CZ3066" s="1"/>
      <c r="DA3066" s="1"/>
      <c r="DB3066" s="1"/>
      <c r="DC3066" s="1"/>
      <c r="DD3066" s="1"/>
      <c r="DE3066" s="1"/>
      <c r="DF3066" s="1"/>
      <c r="DG3066" s="1"/>
      <c r="DH3066" s="1"/>
      <c r="DI3066" s="1"/>
      <c r="DJ3066" s="1"/>
      <c r="DK3066" s="1"/>
      <c r="DL3066" s="1"/>
      <c r="DM3066" s="1"/>
      <c r="DN3066" s="1"/>
      <c r="DO3066" s="1"/>
      <c r="DP3066" s="1"/>
      <c r="DQ3066" s="1"/>
      <c r="DR3066" s="1"/>
      <c r="DS3066" s="1"/>
      <c r="DT3066" s="1"/>
      <c r="DU3066" s="1"/>
      <c r="DV3066" s="1"/>
      <c r="DW3066" s="1"/>
      <c r="DX3066" s="1"/>
      <c r="DY3066" s="1"/>
      <c r="DZ3066" s="1"/>
      <c r="EA3066" s="1"/>
      <c r="EB3066" s="1"/>
      <c r="EC3066" s="1"/>
      <c r="ED3066" s="1"/>
      <c r="EE3066" s="1"/>
      <c r="EF3066" s="1"/>
      <c r="EG3066" s="1"/>
      <c r="EH3066" s="1"/>
      <c r="EI3066" s="1"/>
      <c r="EJ3066" s="1"/>
      <c r="EK3066" s="1"/>
      <c r="EL3066" s="1"/>
      <c r="EM3066" s="1"/>
      <c r="EN3066" s="1"/>
      <c r="EO3066" s="1"/>
      <c r="EP3066" s="1"/>
      <c r="EQ3066" s="1"/>
      <c r="ER3066" s="1"/>
      <c r="ES3066" s="1"/>
      <c r="ET3066" s="1"/>
      <c r="EU3066" s="1"/>
      <c r="EV3066" s="1"/>
      <c r="EW3066" s="1"/>
      <c r="EX3066" s="1"/>
      <c r="EY3066" s="1"/>
      <c r="EZ3066" s="1"/>
      <c r="FA3066" s="1"/>
      <c r="FB3066" s="1"/>
      <c r="FC3066" s="1"/>
      <c r="FD3066" s="1"/>
      <c r="FE3066" s="1"/>
      <c r="FF3066" s="1"/>
      <c r="FG3066" s="1"/>
      <c r="FH3066" s="1"/>
      <c r="FI3066" s="1"/>
      <c r="FJ3066" s="1"/>
      <c r="FK3066" s="1"/>
      <c r="FL3066" s="1"/>
      <c r="FM3066" s="1"/>
      <c r="FN3066" s="1"/>
      <c r="FO3066" s="1"/>
      <c r="FP3066" s="1"/>
      <c r="FQ3066" s="1"/>
      <c r="FR3066" s="1"/>
      <c r="FS3066" s="1"/>
      <c r="FT3066" s="1"/>
      <c r="FU3066" s="1"/>
      <c r="FV3066" s="1"/>
      <c r="FW3066" s="1"/>
      <c r="FX3066" s="1"/>
      <c r="FY3066" s="1"/>
      <c r="FZ3066" s="1"/>
      <c r="GA3066" s="1"/>
      <c r="GB3066" s="1"/>
      <c r="GC3066" s="1"/>
      <c r="GD3066" s="1"/>
      <c r="GE3066" s="1"/>
      <c r="GF3066" s="1"/>
      <c r="GG3066" s="1"/>
      <c r="GH3066" s="1"/>
      <c r="GI3066" s="1"/>
      <c r="GJ3066" s="1"/>
      <c r="GK3066" s="1"/>
      <c r="GL3066" s="1"/>
      <c r="GM3066" s="1"/>
      <c r="GN3066" s="1"/>
      <c r="GO3066" s="1"/>
      <c r="GP3066" s="1"/>
      <c r="GQ3066" s="1"/>
      <c r="GR3066" s="1"/>
      <c r="GS3066" s="1"/>
      <c r="GT3066" s="1"/>
      <c r="GU3066" s="1"/>
      <c r="GV3066" s="1"/>
      <c r="GW3066" s="1"/>
      <c r="GX3066" s="1"/>
      <c r="GY3066" s="1"/>
      <c r="GZ3066" s="1"/>
      <c r="HA3066" s="1"/>
      <c r="HB3066" s="1"/>
      <c r="HC3066" s="1"/>
      <c r="HD3066" s="1"/>
      <c r="HE3066" s="1"/>
      <c r="HF3066" s="1"/>
      <c r="HG3066" s="1"/>
      <c r="HH3066" s="1"/>
      <c r="HI3066" s="1"/>
      <c r="HJ3066" s="1"/>
      <c r="HK3066" s="1"/>
      <c r="HL3066" s="1"/>
      <c r="HM3066" s="1"/>
      <c r="HN3066" s="1"/>
      <c r="HO3066" s="1"/>
      <c r="HP3066" s="1"/>
      <c r="HQ3066" s="1"/>
    </row>
    <row r="3067" spans="1:225" x14ac:dyDescent="0.35">
      <c r="A3067" s="338"/>
      <c r="B3067" s="338"/>
      <c r="C3067" s="252"/>
      <c r="D3067" s="264"/>
      <c r="E3067" s="264"/>
      <c r="F3067" s="267"/>
      <c r="G3067" s="258"/>
      <c r="H3067" s="163" t="s">
        <v>76</v>
      </c>
      <c r="I3067" s="219">
        <f>D3065*K3067</f>
        <v>52806.400000000001</v>
      </c>
      <c r="J3067" s="219">
        <f>I3067/D3065</f>
        <v>148</v>
      </c>
      <c r="K3067" s="219">
        <v>148</v>
      </c>
      <c r="L3067" s="1"/>
      <c r="M3067" s="1"/>
      <c r="N3067" s="1"/>
      <c r="O3067" s="1"/>
      <c r="P3067" s="1"/>
      <c r="Q3067" s="1"/>
      <c r="R3067" s="1"/>
      <c r="S3067" s="1"/>
      <c r="T3067" s="1"/>
      <c r="U3067" s="1"/>
      <c r="V3067" s="1"/>
      <c r="W3067" s="1"/>
      <c r="X3067" s="1"/>
      <c r="Y3067" s="1"/>
      <c r="Z3067" s="1"/>
      <c r="AA3067" s="1"/>
      <c r="AB3067" s="1"/>
      <c r="AC3067" s="1"/>
      <c r="AD3067" s="1"/>
      <c r="AE3067" s="1"/>
      <c r="AF3067" s="1"/>
      <c r="AG3067" s="1"/>
      <c r="AH3067" s="1"/>
      <c r="AI3067" s="1"/>
      <c r="AJ3067" s="1"/>
      <c r="AK3067" s="1"/>
      <c r="AL3067" s="1"/>
      <c r="AM3067" s="1"/>
      <c r="AN3067" s="1"/>
      <c r="AO3067" s="1"/>
      <c r="AP3067" s="1"/>
      <c r="AQ3067" s="1"/>
      <c r="AR3067" s="1"/>
      <c r="AS3067" s="1"/>
      <c r="AT3067" s="1"/>
      <c r="AU3067" s="1"/>
      <c r="AV3067" s="1"/>
      <c r="AW3067" s="1"/>
      <c r="AX3067" s="1"/>
      <c r="AY3067" s="1"/>
      <c r="AZ3067" s="1"/>
      <c r="BA3067" s="1"/>
      <c r="BB3067" s="1"/>
      <c r="BC3067" s="1"/>
      <c r="BD3067" s="1"/>
      <c r="BE3067" s="1"/>
      <c r="BF3067" s="1"/>
      <c r="BG3067" s="1"/>
      <c r="BH3067" s="1"/>
      <c r="BI3067" s="1"/>
      <c r="BJ3067" s="1"/>
      <c r="BK3067" s="1"/>
      <c r="BL3067" s="1"/>
      <c r="BM3067" s="1"/>
      <c r="BN3067" s="1"/>
      <c r="BO3067" s="1"/>
      <c r="BP3067" s="1"/>
      <c r="BQ3067" s="1"/>
      <c r="BR3067" s="1"/>
      <c r="BS3067" s="1"/>
      <c r="BT3067" s="1"/>
      <c r="BU3067" s="1"/>
      <c r="BV3067" s="1"/>
      <c r="BW3067" s="1"/>
      <c r="BX3067" s="1"/>
      <c r="BY3067" s="1"/>
      <c r="BZ3067" s="1"/>
      <c r="CA3067" s="1"/>
      <c r="CB3067" s="1"/>
      <c r="CC3067" s="1"/>
      <c r="CD3067" s="1"/>
      <c r="CE3067" s="1"/>
      <c r="CF3067" s="1"/>
      <c r="CG3067" s="1"/>
      <c r="CH3067" s="1"/>
      <c r="CI3067" s="1"/>
      <c r="CJ3067" s="1"/>
      <c r="CK3067" s="1"/>
      <c r="CL3067" s="1"/>
      <c r="CM3067" s="1"/>
      <c r="CN3067" s="1"/>
      <c r="CO3067" s="1"/>
      <c r="CP3067" s="1"/>
      <c r="CQ3067" s="1"/>
      <c r="CR3067" s="1"/>
      <c r="CS3067" s="1"/>
      <c r="CT3067" s="1"/>
      <c r="CU3067" s="1"/>
      <c r="CV3067" s="1"/>
      <c r="CW3067" s="1"/>
      <c r="CX3067" s="1"/>
      <c r="CY3067" s="1"/>
      <c r="CZ3067" s="1"/>
      <c r="DA3067" s="1"/>
      <c r="DB3067" s="1"/>
      <c r="DC3067" s="1"/>
      <c r="DD3067" s="1"/>
      <c r="DE3067" s="1"/>
      <c r="DF3067" s="1"/>
      <c r="DG3067" s="1"/>
      <c r="DH3067" s="1"/>
      <c r="DI3067" s="1"/>
      <c r="DJ3067" s="1"/>
      <c r="DK3067" s="1"/>
      <c r="DL3067" s="1"/>
      <c r="DM3067" s="1"/>
      <c r="DN3067" s="1"/>
      <c r="DO3067" s="1"/>
      <c r="DP3067" s="1"/>
      <c r="DQ3067" s="1"/>
      <c r="DR3067" s="1"/>
      <c r="DS3067" s="1"/>
      <c r="DT3067" s="1"/>
      <c r="DU3067" s="1"/>
      <c r="DV3067" s="1"/>
      <c r="DW3067" s="1"/>
      <c r="DX3067" s="1"/>
      <c r="DY3067" s="1"/>
      <c r="DZ3067" s="1"/>
      <c r="EA3067" s="1"/>
      <c r="EB3067" s="1"/>
      <c r="EC3067" s="1"/>
      <c r="ED3067" s="1"/>
      <c r="EE3067" s="1"/>
      <c r="EF3067" s="1"/>
      <c r="EG3067" s="1"/>
      <c r="EH3067" s="1"/>
      <c r="EI3067" s="1"/>
      <c r="EJ3067" s="1"/>
      <c r="EK3067" s="1"/>
      <c r="EL3067" s="1"/>
      <c r="EM3067" s="1"/>
      <c r="EN3067" s="1"/>
      <c r="EO3067" s="1"/>
      <c r="EP3067" s="1"/>
      <c r="EQ3067" s="1"/>
      <c r="ER3067" s="1"/>
      <c r="ES3067" s="1"/>
      <c r="ET3067" s="1"/>
      <c r="EU3067" s="1"/>
      <c r="EV3067" s="1"/>
      <c r="EW3067" s="1"/>
      <c r="EX3067" s="1"/>
      <c r="EY3067" s="1"/>
      <c r="EZ3067" s="1"/>
      <c r="FA3067" s="1"/>
      <c r="FB3067" s="1"/>
      <c r="FC3067" s="1"/>
      <c r="FD3067" s="1"/>
      <c r="FE3067" s="1"/>
      <c r="FF3067" s="1"/>
      <c r="FG3067" s="1"/>
      <c r="FH3067" s="1"/>
      <c r="FI3067" s="1"/>
      <c r="FJ3067" s="1"/>
      <c r="FK3067" s="1"/>
      <c r="FL3067" s="1"/>
      <c r="FM3067" s="1"/>
      <c r="FN3067" s="1"/>
      <c r="FO3067" s="1"/>
      <c r="FP3067" s="1"/>
      <c r="FQ3067" s="1"/>
      <c r="FR3067" s="1"/>
      <c r="FS3067" s="1"/>
      <c r="FT3067" s="1"/>
      <c r="FU3067" s="1"/>
      <c r="FV3067" s="1"/>
      <c r="FW3067" s="1"/>
      <c r="FX3067" s="1"/>
      <c r="FY3067" s="1"/>
      <c r="FZ3067" s="1"/>
      <c r="GA3067" s="1"/>
      <c r="GB3067" s="1"/>
      <c r="GC3067" s="1"/>
      <c r="GD3067" s="1"/>
      <c r="GE3067" s="1"/>
      <c r="GF3067" s="1"/>
      <c r="GG3067" s="1"/>
      <c r="GH3067" s="1"/>
      <c r="GI3067" s="1"/>
      <c r="GJ3067" s="1"/>
      <c r="GK3067" s="1"/>
      <c r="GL3067" s="1"/>
      <c r="GM3067" s="1"/>
      <c r="GN3067" s="1"/>
      <c r="GO3067" s="1"/>
      <c r="GP3067" s="1"/>
      <c r="GQ3067" s="1"/>
      <c r="GR3067" s="1"/>
      <c r="GS3067" s="1"/>
      <c r="GT3067" s="1"/>
      <c r="GU3067" s="1"/>
      <c r="GV3067" s="1"/>
      <c r="GW3067" s="1"/>
      <c r="GX3067" s="1"/>
      <c r="GY3067" s="1"/>
      <c r="GZ3067" s="1"/>
      <c r="HA3067" s="1"/>
      <c r="HB3067" s="1"/>
      <c r="HC3067" s="1"/>
      <c r="HD3067" s="1"/>
      <c r="HE3067" s="1"/>
      <c r="HF3067" s="1"/>
      <c r="HG3067" s="1"/>
      <c r="HH3067" s="1"/>
      <c r="HI3067" s="1"/>
      <c r="HJ3067" s="1"/>
      <c r="HK3067" s="1"/>
      <c r="HL3067" s="1"/>
      <c r="HM3067" s="1"/>
      <c r="HN3067" s="1"/>
      <c r="HO3067" s="1"/>
      <c r="HP3067" s="1"/>
      <c r="HQ3067" s="1"/>
    </row>
    <row r="3068" spans="1:225" ht="15.75" customHeight="1" x14ac:dyDescent="0.35">
      <c r="A3068" s="307">
        <f>A3065+1</f>
        <v>5</v>
      </c>
      <c r="B3068" s="307">
        <v>7095</v>
      </c>
      <c r="C3068" s="252" t="s">
        <v>646</v>
      </c>
      <c r="D3068" s="262">
        <v>1205</v>
      </c>
      <c r="E3068" s="262" t="s">
        <v>75</v>
      </c>
      <c r="F3068" s="265">
        <v>6</v>
      </c>
      <c r="G3068" s="256" t="s">
        <v>72</v>
      </c>
      <c r="H3068" s="163" t="s">
        <v>73</v>
      </c>
      <c r="I3068" s="219">
        <f>I3069+I3070</f>
        <v>3411355</v>
      </c>
      <c r="J3068" s="219">
        <f>J3069+J3070</f>
        <v>2831</v>
      </c>
      <c r="K3068" s="219">
        <f>K3069+K3070</f>
        <v>2831</v>
      </c>
      <c r="L3068" s="1"/>
      <c r="M3068" s="1"/>
      <c r="N3068" s="1"/>
      <c r="O3068" s="1"/>
      <c r="P3068" s="1"/>
      <c r="Q3068" s="1"/>
      <c r="R3068" s="1"/>
      <c r="S3068" s="1"/>
      <c r="T3068" s="1"/>
      <c r="U3068" s="1"/>
      <c r="V3068" s="1"/>
      <c r="W3068" s="1"/>
      <c r="X3068" s="1"/>
      <c r="Y3068" s="1"/>
      <c r="Z3068" s="1"/>
      <c r="AA3068" s="1"/>
      <c r="AB3068" s="1"/>
      <c r="AC3068" s="1"/>
      <c r="AD3068" s="1"/>
      <c r="AE3068" s="1"/>
      <c r="AF3068" s="1"/>
      <c r="AG3068" s="1"/>
      <c r="AH3068" s="1"/>
      <c r="AI3068" s="1"/>
      <c r="AJ3068" s="1"/>
      <c r="AK3068" s="1"/>
      <c r="AL3068" s="1"/>
      <c r="AM3068" s="1"/>
      <c r="AN3068" s="1"/>
      <c r="AO3068" s="1"/>
      <c r="AP3068" s="1"/>
      <c r="AQ3068" s="1"/>
      <c r="AR3068" s="1"/>
      <c r="AS3068" s="1"/>
      <c r="AT3068" s="1"/>
      <c r="AU3068" s="1"/>
      <c r="AV3068" s="1"/>
      <c r="AW3068" s="1"/>
      <c r="AX3068" s="1"/>
      <c r="AY3068" s="1"/>
      <c r="AZ3068" s="1"/>
      <c r="BA3068" s="1"/>
      <c r="BB3068" s="1"/>
      <c r="BC3068" s="1"/>
      <c r="BD3068" s="1"/>
      <c r="BE3068" s="1"/>
      <c r="BF3068" s="1"/>
      <c r="BG3068" s="1"/>
      <c r="BH3068" s="1"/>
      <c r="BI3068" s="1"/>
      <c r="BJ3068" s="1"/>
      <c r="BK3068" s="1"/>
      <c r="BL3068" s="1"/>
      <c r="BM3068" s="1"/>
      <c r="BN3068" s="1"/>
      <c r="BO3068" s="1"/>
      <c r="BP3068" s="1"/>
      <c r="BQ3068" s="1"/>
      <c r="BR3068" s="1"/>
      <c r="BS3068" s="1"/>
      <c r="BT3068" s="1"/>
      <c r="BU3068" s="1"/>
      <c r="BV3068" s="1"/>
      <c r="BW3068" s="1"/>
      <c r="BX3068" s="1"/>
      <c r="BY3068" s="1"/>
      <c r="BZ3068" s="1"/>
      <c r="CA3068" s="1"/>
      <c r="CB3068" s="1"/>
      <c r="CC3068" s="1"/>
      <c r="CD3068" s="1"/>
      <c r="CE3068" s="1"/>
      <c r="CF3068" s="1"/>
      <c r="CG3068" s="1"/>
      <c r="CH3068" s="1"/>
      <c r="CI3068" s="1"/>
      <c r="CJ3068" s="1"/>
      <c r="CK3068" s="1"/>
      <c r="CL3068" s="1"/>
      <c r="CM3068" s="1"/>
      <c r="CN3068" s="1"/>
      <c r="CO3068" s="1"/>
      <c r="CP3068" s="1"/>
      <c r="CQ3068" s="1"/>
      <c r="CR3068" s="1"/>
      <c r="CS3068" s="1"/>
      <c r="CT3068" s="1"/>
      <c r="CU3068" s="1"/>
      <c r="CV3068" s="1"/>
      <c r="CW3068" s="1"/>
      <c r="CX3068" s="1"/>
      <c r="CY3068" s="1"/>
      <c r="CZ3068" s="1"/>
      <c r="DA3068" s="1"/>
      <c r="DB3068" s="1"/>
      <c r="DC3068" s="1"/>
      <c r="DD3068" s="1"/>
      <c r="DE3068" s="1"/>
      <c r="DF3068" s="1"/>
      <c r="DG3068" s="1"/>
      <c r="DH3068" s="1"/>
      <c r="DI3068" s="1"/>
      <c r="DJ3068" s="1"/>
      <c r="DK3068" s="1"/>
      <c r="DL3068" s="1"/>
      <c r="DM3068" s="1"/>
      <c r="DN3068" s="1"/>
      <c r="DO3068" s="1"/>
      <c r="DP3068" s="1"/>
      <c r="DQ3068" s="1"/>
      <c r="DR3068" s="1"/>
      <c r="DS3068" s="1"/>
      <c r="DT3068" s="1"/>
      <c r="DU3068" s="1"/>
      <c r="DV3068" s="1"/>
      <c r="DW3068" s="1"/>
      <c r="DX3068" s="1"/>
      <c r="DY3068" s="1"/>
      <c r="DZ3068" s="1"/>
      <c r="EA3068" s="1"/>
      <c r="EB3068" s="1"/>
      <c r="EC3068" s="1"/>
      <c r="ED3068" s="1"/>
      <c r="EE3068" s="1"/>
      <c r="EF3068" s="1"/>
      <c r="EG3068" s="1"/>
      <c r="EH3068" s="1"/>
      <c r="EI3068" s="1"/>
      <c r="EJ3068" s="1"/>
      <c r="EK3068" s="1"/>
      <c r="EL3068" s="1"/>
      <c r="EM3068" s="1"/>
      <c r="EN3068" s="1"/>
      <c r="EO3068" s="1"/>
      <c r="EP3068" s="1"/>
      <c r="EQ3068" s="1"/>
      <c r="ER3068" s="1"/>
      <c r="ES3068" s="1"/>
      <c r="ET3068" s="1"/>
      <c r="EU3068" s="1"/>
      <c r="EV3068" s="1"/>
      <c r="EW3068" s="1"/>
      <c r="EX3068" s="1"/>
      <c r="EY3068" s="1"/>
      <c r="EZ3068" s="1"/>
      <c r="FA3068" s="1"/>
      <c r="FB3068" s="1"/>
      <c r="FC3068" s="1"/>
      <c r="FD3068" s="1"/>
      <c r="FE3068" s="1"/>
      <c r="FF3068" s="1"/>
      <c r="FG3068" s="1"/>
      <c r="FH3068" s="1"/>
      <c r="FI3068" s="1"/>
      <c r="FJ3068" s="1"/>
      <c r="FK3068" s="1"/>
      <c r="FL3068" s="1"/>
      <c r="FM3068" s="1"/>
      <c r="FN3068" s="1"/>
      <c r="FO3068" s="1"/>
      <c r="FP3068" s="1"/>
      <c r="FQ3068" s="1"/>
      <c r="FR3068" s="1"/>
      <c r="FS3068" s="1"/>
      <c r="FT3068" s="1"/>
      <c r="FU3068" s="1"/>
      <c r="FV3068" s="1"/>
      <c r="FW3068" s="1"/>
      <c r="FX3068" s="1"/>
      <c r="FY3068" s="1"/>
      <c r="FZ3068" s="1"/>
      <c r="GA3068" s="1"/>
      <c r="GB3068" s="1"/>
      <c r="GC3068" s="1"/>
      <c r="GD3068" s="1"/>
      <c r="GE3068" s="1"/>
      <c r="GF3068" s="1"/>
      <c r="GG3068" s="1"/>
      <c r="GH3068" s="1"/>
      <c r="GI3068" s="1"/>
      <c r="GJ3068" s="1"/>
      <c r="GK3068" s="1"/>
      <c r="GL3068" s="1"/>
      <c r="GM3068" s="1"/>
      <c r="GN3068" s="1"/>
      <c r="GO3068" s="1"/>
      <c r="GP3068" s="1"/>
      <c r="GQ3068" s="1"/>
      <c r="GR3068" s="1"/>
      <c r="GS3068" s="1"/>
      <c r="GT3068" s="1"/>
      <c r="GU3068" s="1"/>
      <c r="GV3068" s="1"/>
      <c r="GW3068" s="1"/>
      <c r="GX3068" s="1"/>
      <c r="GY3068" s="1"/>
      <c r="GZ3068" s="1"/>
      <c r="HA3068" s="1"/>
      <c r="HB3068" s="1"/>
      <c r="HC3068" s="1"/>
      <c r="HD3068" s="1"/>
      <c r="HE3068" s="1"/>
      <c r="HF3068" s="1"/>
      <c r="HG3068" s="1"/>
      <c r="HH3068" s="1"/>
      <c r="HI3068" s="1"/>
      <c r="HJ3068" s="1"/>
      <c r="HK3068" s="1"/>
      <c r="HL3068" s="1"/>
      <c r="HM3068" s="1"/>
      <c r="HN3068" s="1"/>
      <c r="HO3068" s="1"/>
      <c r="HP3068" s="1"/>
      <c r="HQ3068" s="1"/>
    </row>
    <row r="3069" spans="1:225" x14ac:dyDescent="0.35">
      <c r="A3069" s="344"/>
      <c r="B3069" s="344"/>
      <c r="C3069" s="252"/>
      <c r="D3069" s="263"/>
      <c r="E3069" s="263"/>
      <c r="F3069" s="266"/>
      <c r="G3069" s="257"/>
      <c r="H3069" s="163" t="s">
        <v>74</v>
      </c>
      <c r="I3069" s="219">
        <f>D3068*K3069</f>
        <v>3340260</v>
      </c>
      <c r="J3069" s="219">
        <f>I3069/D3068</f>
        <v>2772</v>
      </c>
      <c r="K3069" s="219">
        <v>2772</v>
      </c>
      <c r="L3069" s="1"/>
      <c r="M3069" s="1"/>
      <c r="N3069" s="1"/>
      <c r="O3069" s="1"/>
      <c r="P3069" s="1"/>
      <c r="Q3069" s="1"/>
      <c r="R3069" s="1"/>
      <c r="S3069" s="1"/>
      <c r="T3069" s="1"/>
      <c r="U3069" s="1"/>
      <c r="V3069" s="1"/>
      <c r="W3069" s="1"/>
      <c r="X3069" s="1"/>
      <c r="Y3069" s="1"/>
      <c r="Z3069" s="1"/>
      <c r="AA3069" s="1"/>
      <c r="AB3069" s="1"/>
      <c r="AC3069" s="1"/>
      <c r="AD3069" s="1"/>
      <c r="AE3069" s="1"/>
      <c r="AF3069" s="1"/>
      <c r="AG3069" s="1"/>
      <c r="AH3069" s="1"/>
      <c r="AI3069" s="1"/>
      <c r="AJ3069" s="1"/>
      <c r="AK3069" s="1"/>
      <c r="AL3069" s="1"/>
      <c r="AM3069" s="1"/>
      <c r="AN3069" s="1"/>
      <c r="AO3069" s="1"/>
      <c r="AP3069" s="1"/>
      <c r="AQ3069" s="1"/>
      <c r="AR3069" s="1"/>
      <c r="AS3069" s="1"/>
      <c r="AT3069" s="1"/>
      <c r="AU3069" s="1"/>
      <c r="AV3069" s="1"/>
      <c r="AW3069" s="1"/>
      <c r="AX3069" s="1"/>
      <c r="AY3069" s="1"/>
      <c r="AZ3069" s="1"/>
      <c r="BA3069" s="1"/>
      <c r="BB3069" s="1"/>
      <c r="BC3069" s="1"/>
      <c r="BD3069" s="1"/>
      <c r="BE3069" s="1"/>
      <c r="BF3069" s="1"/>
      <c r="BG3069" s="1"/>
      <c r="BH3069" s="1"/>
      <c r="BI3069" s="1"/>
      <c r="BJ3069" s="1"/>
      <c r="BK3069" s="1"/>
      <c r="BL3069" s="1"/>
      <c r="BM3069" s="1"/>
      <c r="BN3069" s="1"/>
      <c r="BO3069" s="1"/>
      <c r="BP3069" s="1"/>
      <c r="BQ3069" s="1"/>
      <c r="BR3069" s="1"/>
      <c r="BS3069" s="1"/>
      <c r="BT3069" s="1"/>
      <c r="BU3069" s="1"/>
      <c r="BV3069" s="1"/>
      <c r="BW3069" s="1"/>
      <c r="BX3069" s="1"/>
      <c r="BY3069" s="1"/>
      <c r="BZ3069" s="1"/>
      <c r="CA3069" s="1"/>
      <c r="CB3069" s="1"/>
      <c r="CC3069" s="1"/>
      <c r="CD3069" s="1"/>
      <c r="CE3069" s="1"/>
      <c r="CF3069" s="1"/>
      <c r="CG3069" s="1"/>
      <c r="CH3069" s="1"/>
      <c r="CI3069" s="1"/>
      <c r="CJ3069" s="1"/>
      <c r="CK3069" s="1"/>
      <c r="CL3069" s="1"/>
      <c r="CM3069" s="1"/>
      <c r="CN3069" s="1"/>
      <c r="CO3069" s="1"/>
      <c r="CP3069" s="1"/>
      <c r="CQ3069" s="1"/>
      <c r="CR3069" s="1"/>
      <c r="CS3069" s="1"/>
      <c r="CT3069" s="1"/>
      <c r="CU3069" s="1"/>
      <c r="CV3069" s="1"/>
      <c r="CW3069" s="1"/>
      <c r="CX3069" s="1"/>
      <c r="CY3069" s="1"/>
      <c r="CZ3069" s="1"/>
      <c r="DA3069" s="1"/>
      <c r="DB3069" s="1"/>
      <c r="DC3069" s="1"/>
      <c r="DD3069" s="1"/>
      <c r="DE3069" s="1"/>
      <c r="DF3069" s="1"/>
      <c r="DG3069" s="1"/>
      <c r="DH3069" s="1"/>
      <c r="DI3069" s="1"/>
      <c r="DJ3069" s="1"/>
      <c r="DK3069" s="1"/>
      <c r="DL3069" s="1"/>
      <c r="DM3069" s="1"/>
      <c r="DN3069" s="1"/>
      <c r="DO3069" s="1"/>
      <c r="DP3069" s="1"/>
      <c r="DQ3069" s="1"/>
      <c r="DR3069" s="1"/>
      <c r="DS3069" s="1"/>
      <c r="DT3069" s="1"/>
      <c r="DU3069" s="1"/>
      <c r="DV3069" s="1"/>
      <c r="DW3069" s="1"/>
      <c r="DX3069" s="1"/>
      <c r="DY3069" s="1"/>
      <c r="DZ3069" s="1"/>
      <c r="EA3069" s="1"/>
      <c r="EB3069" s="1"/>
      <c r="EC3069" s="1"/>
      <c r="ED3069" s="1"/>
      <c r="EE3069" s="1"/>
      <c r="EF3069" s="1"/>
      <c r="EG3069" s="1"/>
      <c r="EH3069" s="1"/>
      <c r="EI3069" s="1"/>
      <c r="EJ3069" s="1"/>
      <c r="EK3069" s="1"/>
      <c r="EL3069" s="1"/>
      <c r="EM3069" s="1"/>
      <c r="EN3069" s="1"/>
      <c r="EO3069" s="1"/>
      <c r="EP3069" s="1"/>
      <c r="EQ3069" s="1"/>
      <c r="ER3069" s="1"/>
      <c r="ES3069" s="1"/>
      <c r="ET3069" s="1"/>
      <c r="EU3069" s="1"/>
      <c r="EV3069" s="1"/>
      <c r="EW3069" s="1"/>
      <c r="EX3069" s="1"/>
      <c r="EY3069" s="1"/>
      <c r="EZ3069" s="1"/>
      <c r="FA3069" s="1"/>
      <c r="FB3069" s="1"/>
      <c r="FC3069" s="1"/>
      <c r="FD3069" s="1"/>
      <c r="FE3069" s="1"/>
      <c r="FF3069" s="1"/>
      <c r="FG3069" s="1"/>
      <c r="FH3069" s="1"/>
      <c r="FI3069" s="1"/>
      <c r="FJ3069" s="1"/>
      <c r="FK3069" s="1"/>
      <c r="FL3069" s="1"/>
      <c r="FM3069" s="1"/>
      <c r="FN3069" s="1"/>
      <c r="FO3069" s="1"/>
      <c r="FP3069" s="1"/>
      <c r="FQ3069" s="1"/>
      <c r="FR3069" s="1"/>
      <c r="FS3069" s="1"/>
      <c r="FT3069" s="1"/>
      <c r="FU3069" s="1"/>
      <c r="FV3069" s="1"/>
      <c r="FW3069" s="1"/>
      <c r="FX3069" s="1"/>
      <c r="FY3069" s="1"/>
      <c r="FZ3069" s="1"/>
      <c r="GA3069" s="1"/>
      <c r="GB3069" s="1"/>
      <c r="GC3069" s="1"/>
      <c r="GD3069" s="1"/>
      <c r="GE3069" s="1"/>
      <c r="GF3069" s="1"/>
      <c r="GG3069" s="1"/>
      <c r="GH3069" s="1"/>
      <c r="GI3069" s="1"/>
      <c r="GJ3069" s="1"/>
      <c r="GK3069" s="1"/>
      <c r="GL3069" s="1"/>
      <c r="GM3069" s="1"/>
      <c r="GN3069" s="1"/>
      <c r="GO3069" s="1"/>
      <c r="GP3069" s="1"/>
      <c r="GQ3069" s="1"/>
      <c r="GR3069" s="1"/>
      <c r="GS3069" s="1"/>
      <c r="GT3069" s="1"/>
      <c r="GU3069" s="1"/>
      <c r="GV3069" s="1"/>
      <c r="GW3069" s="1"/>
      <c r="GX3069" s="1"/>
      <c r="GY3069" s="1"/>
      <c r="GZ3069" s="1"/>
      <c r="HA3069" s="1"/>
      <c r="HB3069" s="1"/>
      <c r="HC3069" s="1"/>
      <c r="HD3069" s="1"/>
      <c r="HE3069" s="1"/>
      <c r="HF3069" s="1"/>
      <c r="HG3069" s="1"/>
      <c r="HH3069" s="1"/>
      <c r="HI3069" s="1"/>
      <c r="HJ3069" s="1"/>
      <c r="HK3069" s="1"/>
      <c r="HL3069" s="1"/>
      <c r="HM3069" s="1"/>
      <c r="HN3069" s="1"/>
      <c r="HO3069" s="1"/>
      <c r="HP3069" s="1"/>
      <c r="HQ3069" s="1"/>
    </row>
    <row r="3070" spans="1:225" x14ac:dyDescent="0.35">
      <c r="A3070" s="338"/>
      <c r="B3070" s="338"/>
      <c r="C3070" s="252"/>
      <c r="D3070" s="264"/>
      <c r="E3070" s="264"/>
      <c r="F3070" s="267"/>
      <c r="G3070" s="258"/>
      <c r="H3070" s="163" t="s">
        <v>76</v>
      </c>
      <c r="I3070" s="219">
        <f>D3068*K3070</f>
        <v>71095</v>
      </c>
      <c r="J3070" s="219">
        <f>I3070/D3068</f>
        <v>59</v>
      </c>
      <c r="K3070" s="219">
        <v>59</v>
      </c>
      <c r="L3070" s="1"/>
      <c r="M3070" s="1"/>
      <c r="N3070" s="1"/>
      <c r="O3070" s="1"/>
      <c r="P3070" s="1"/>
      <c r="Q3070" s="1"/>
      <c r="R3070" s="1"/>
      <c r="S3070" s="1"/>
      <c r="T3070" s="1"/>
      <c r="U3070" s="1"/>
      <c r="V3070" s="1"/>
      <c r="W3070" s="1"/>
      <c r="X3070" s="1"/>
      <c r="Y3070" s="1"/>
      <c r="Z3070" s="1"/>
      <c r="AA3070" s="1"/>
      <c r="AB3070" s="1"/>
      <c r="AC3070" s="1"/>
      <c r="AD3070" s="1"/>
      <c r="AE3070" s="1"/>
      <c r="AF3070" s="1"/>
      <c r="AG3070" s="1"/>
      <c r="AH3070" s="1"/>
      <c r="AI3070" s="1"/>
      <c r="AJ3070" s="1"/>
      <c r="AK3070" s="1"/>
      <c r="AL3070" s="1"/>
      <c r="AM3070" s="1"/>
      <c r="AN3070" s="1"/>
      <c r="AO3070" s="1"/>
      <c r="AP3070" s="1"/>
      <c r="AQ3070" s="1"/>
      <c r="AR3070" s="1"/>
      <c r="AS3070" s="1"/>
      <c r="AT3070" s="1"/>
      <c r="AU3070" s="1"/>
      <c r="AV3070" s="1"/>
      <c r="AW3070" s="1"/>
      <c r="AX3070" s="1"/>
      <c r="AY3070" s="1"/>
      <c r="AZ3070" s="1"/>
      <c r="BA3070" s="1"/>
      <c r="BB3070" s="1"/>
      <c r="BC3070" s="1"/>
      <c r="BD3070" s="1"/>
      <c r="BE3070" s="1"/>
      <c r="BF3070" s="1"/>
      <c r="BG3070" s="1"/>
      <c r="BH3070" s="1"/>
      <c r="BI3070" s="1"/>
      <c r="BJ3070" s="1"/>
      <c r="BK3070" s="1"/>
      <c r="BL3070" s="1"/>
      <c r="BM3070" s="1"/>
      <c r="BN3070" s="1"/>
      <c r="BO3070" s="1"/>
      <c r="BP3070" s="1"/>
      <c r="BQ3070" s="1"/>
      <c r="BR3070" s="1"/>
      <c r="BS3070" s="1"/>
      <c r="BT3070" s="1"/>
      <c r="BU3070" s="1"/>
      <c r="BV3070" s="1"/>
      <c r="BW3070" s="1"/>
      <c r="BX3070" s="1"/>
      <c r="BY3070" s="1"/>
      <c r="BZ3070" s="1"/>
      <c r="CA3070" s="1"/>
      <c r="CB3070" s="1"/>
      <c r="CC3070" s="1"/>
      <c r="CD3070" s="1"/>
      <c r="CE3070" s="1"/>
      <c r="CF3070" s="1"/>
      <c r="CG3070" s="1"/>
      <c r="CH3070" s="1"/>
      <c r="CI3070" s="1"/>
      <c r="CJ3070" s="1"/>
      <c r="CK3070" s="1"/>
      <c r="CL3070" s="1"/>
      <c r="CM3070" s="1"/>
      <c r="CN3070" s="1"/>
      <c r="CO3070" s="1"/>
      <c r="CP3070" s="1"/>
      <c r="CQ3070" s="1"/>
      <c r="CR3070" s="1"/>
      <c r="CS3070" s="1"/>
      <c r="CT3070" s="1"/>
      <c r="CU3070" s="1"/>
      <c r="CV3070" s="1"/>
      <c r="CW3070" s="1"/>
      <c r="CX3070" s="1"/>
      <c r="CY3070" s="1"/>
      <c r="CZ3070" s="1"/>
      <c r="DA3070" s="1"/>
      <c r="DB3070" s="1"/>
      <c r="DC3070" s="1"/>
      <c r="DD3070" s="1"/>
      <c r="DE3070" s="1"/>
      <c r="DF3070" s="1"/>
      <c r="DG3070" s="1"/>
      <c r="DH3070" s="1"/>
      <c r="DI3070" s="1"/>
      <c r="DJ3070" s="1"/>
      <c r="DK3070" s="1"/>
      <c r="DL3070" s="1"/>
      <c r="DM3070" s="1"/>
      <c r="DN3070" s="1"/>
      <c r="DO3070" s="1"/>
      <c r="DP3070" s="1"/>
      <c r="DQ3070" s="1"/>
      <c r="DR3070" s="1"/>
      <c r="DS3070" s="1"/>
      <c r="DT3070" s="1"/>
      <c r="DU3070" s="1"/>
      <c r="DV3070" s="1"/>
      <c r="DW3070" s="1"/>
      <c r="DX3070" s="1"/>
      <c r="DY3070" s="1"/>
      <c r="DZ3070" s="1"/>
      <c r="EA3070" s="1"/>
      <c r="EB3070" s="1"/>
      <c r="EC3070" s="1"/>
      <c r="ED3070" s="1"/>
      <c r="EE3070" s="1"/>
      <c r="EF3070" s="1"/>
      <c r="EG3070" s="1"/>
      <c r="EH3070" s="1"/>
      <c r="EI3070" s="1"/>
      <c r="EJ3070" s="1"/>
      <c r="EK3070" s="1"/>
      <c r="EL3070" s="1"/>
      <c r="EM3070" s="1"/>
      <c r="EN3070" s="1"/>
      <c r="EO3070" s="1"/>
      <c r="EP3070" s="1"/>
      <c r="EQ3070" s="1"/>
      <c r="ER3070" s="1"/>
      <c r="ES3070" s="1"/>
      <c r="ET3070" s="1"/>
      <c r="EU3070" s="1"/>
      <c r="EV3070" s="1"/>
      <c r="EW3070" s="1"/>
      <c r="EX3070" s="1"/>
      <c r="EY3070" s="1"/>
      <c r="EZ3070" s="1"/>
      <c r="FA3070" s="1"/>
      <c r="FB3070" s="1"/>
      <c r="FC3070" s="1"/>
      <c r="FD3070" s="1"/>
      <c r="FE3070" s="1"/>
      <c r="FF3070" s="1"/>
      <c r="FG3070" s="1"/>
      <c r="FH3070" s="1"/>
      <c r="FI3070" s="1"/>
      <c r="FJ3070" s="1"/>
      <c r="FK3070" s="1"/>
      <c r="FL3070" s="1"/>
      <c r="FM3070" s="1"/>
      <c r="FN3070" s="1"/>
      <c r="FO3070" s="1"/>
      <c r="FP3070" s="1"/>
      <c r="FQ3070" s="1"/>
      <c r="FR3070" s="1"/>
      <c r="FS3070" s="1"/>
      <c r="FT3070" s="1"/>
      <c r="FU3070" s="1"/>
      <c r="FV3070" s="1"/>
      <c r="FW3070" s="1"/>
      <c r="FX3070" s="1"/>
      <c r="FY3070" s="1"/>
      <c r="FZ3070" s="1"/>
      <c r="GA3070" s="1"/>
      <c r="GB3070" s="1"/>
      <c r="GC3070" s="1"/>
      <c r="GD3070" s="1"/>
      <c r="GE3070" s="1"/>
      <c r="GF3070" s="1"/>
      <c r="GG3070" s="1"/>
      <c r="GH3070" s="1"/>
      <c r="GI3070" s="1"/>
      <c r="GJ3070" s="1"/>
      <c r="GK3070" s="1"/>
      <c r="GL3070" s="1"/>
      <c r="GM3070" s="1"/>
      <c r="GN3070" s="1"/>
      <c r="GO3070" s="1"/>
      <c r="GP3070" s="1"/>
      <c r="GQ3070" s="1"/>
      <c r="GR3070" s="1"/>
      <c r="GS3070" s="1"/>
      <c r="GT3070" s="1"/>
      <c r="GU3070" s="1"/>
      <c r="GV3070" s="1"/>
      <c r="GW3070" s="1"/>
      <c r="GX3070" s="1"/>
      <c r="GY3070" s="1"/>
      <c r="GZ3070" s="1"/>
      <c r="HA3070" s="1"/>
      <c r="HB3070" s="1"/>
      <c r="HC3070" s="1"/>
      <c r="HD3070" s="1"/>
      <c r="HE3070" s="1"/>
      <c r="HF3070" s="1"/>
      <c r="HG3070" s="1"/>
      <c r="HH3070" s="1"/>
      <c r="HI3070" s="1"/>
      <c r="HJ3070" s="1"/>
      <c r="HK3070" s="1"/>
      <c r="HL3070" s="1"/>
      <c r="HM3070" s="1"/>
      <c r="HN3070" s="1"/>
      <c r="HO3070" s="1"/>
      <c r="HP3070" s="1"/>
      <c r="HQ3070" s="1"/>
    </row>
    <row r="3071" spans="1:225" x14ac:dyDescent="0.35">
      <c r="A3071" s="212" t="s">
        <v>50</v>
      </c>
      <c r="B3071" s="213"/>
      <c r="C3071" s="156"/>
      <c r="D3071" s="125">
        <f>D3072</f>
        <v>620.70000000000005</v>
      </c>
      <c r="E3071" s="133"/>
      <c r="F3071" s="133"/>
      <c r="G3071" s="125"/>
      <c r="H3071" s="162"/>
      <c r="I3071" s="158">
        <f>I3072</f>
        <v>4385866.2</v>
      </c>
      <c r="J3071" s="158"/>
      <c r="K3071" s="158"/>
    </row>
    <row r="3072" spans="1:225" ht="15.75" customHeight="1" x14ac:dyDescent="0.35">
      <c r="A3072" s="256">
        <v>1</v>
      </c>
      <c r="B3072" s="256">
        <v>7203</v>
      </c>
      <c r="C3072" s="252" t="s">
        <v>650</v>
      </c>
      <c r="D3072" s="262">
        <v>620.70000000000005</v>
      </c>
      <c r="E3072" s="265" t="s">
        <v>75</v>
      </c>
      <c r="F3072" s="265">
        <v>2</v>
      </c>
      <c r="G3072" s="256" t="s">
        <v>72</v>
      </c>
      <c r="H3072" s="159" t="s">
        <v>73</v>
      </c>
      <c r="I3072" s="158">
        <f>I3074+I3073</f>
        <v>4385866.2</v>
      </c>
      <c r="J3072" s="158">
        <f>J3074+J3073</f>
        <v>7066</v>
      </c>
      <c r="K3072" s="158">
        <f>K3074+K3073</f>
        <v>7066</v>
      </c>
      <c r="L3072" s="1"/>
      <c r="M3072" s="1"/>
      <c r="N3072" s="1"/>
      <c r="O3072" s="1"/>
      <c r="P3072" s="1"/>
      <c r="Q3072" s="1"/>
      <c r="R3072" s="1"/>
      <c r="S3072" s="1"/>
      <c r="T3072" s="1"/>
      <c r="U3072" s="1"/>
      <c r="V3072" s="1"/>
      <c r="W3072" s="1"/>
      <c r="X3072" s="1"/>
      <c r="Y3072" s="1"/>
      <c r="Z3072" s="1"/>
      <c r="AA3072" s="1"/>
      <c r="AB3072" s="1"/>
      <c r="AC3072" s="1"/>
      <c r="AD3072" s="1"/>
      <c r="AE3072" s="1"/>
      <c r="AF3072" s="1"/>
      <c r="AG3072" s="1"/>
      <c r="AH3072" s="1"/>
      <c r="AI3072" s="1"/>
      <c r="AJ3072" s="1"/>
      <c r="AK3072" s="1"/>
      <c r="AL3072" s="1"/>
      <c r="AM3072" s="1"/>
      <c r="AN3072" s="1"/>
      <c r="AO3072" s="1"/>
      <c r="AP3072" s="1"/>
      <c r="AQ3072" s="1"/>
      <c r="AR3072" s="1"/>
      <c r="AS3072" s="1"/>
      <c r="AT3072" s="1"/>
      <c r="AU3072" s="1"/>
      <c r="AV3072" s="1"/>
      <c r="AW3072" s="1"/>
      <c r="AX3072" s="1"/>
      <c r="AY3072" s="1"/>
      <c r="AZ3072" s="1"/>
      <c r="BA3072" s="1"/>
      <c r="BB3072" s="1"/>
      <c r="BC3072" s="1"/>
      <c r="BD3072" s="1"/>
      <c r="BE3072" s="1"/>
      <c r="BF3072" s="1"/>
      <c r="BG3072" s="1"/>
      <c r="BH3072" s="1"/>
      <c r="BI3072" s="1"/>
      <c r="BJ3072" s="1"/>
      <c r="BK3072" s="1"/>
      <c r="BL3072" s="1"/>
      <c r="BM3072" s="1"/>
      <c r="BN3072" s="1"/>
      <c r="BO3072" s="1"/>
      <c r="BP3072" s="1"/>
      <c r="BQ3072" s="1"/>
      <c r="BR3072" s="1"/>
      <c r="BS3072" s="1"/>
      <c r="BT3072" s="1"/>
      <c r="BU3072" s="1"/>
      <c r="BV3072" s="1"/>
      <c r="BW3072" s="1"/>
      <c r="BX3072" s="1"/>
      <c r="BY3072" s="1"/>
      <c r="BZ3072" s="1"/>
      <c r="CA3072" s="1"/>
      <c r="CB3072" s="1"/>
      <c r="CC3072" s="1"/>
      <c r="CD3072" s="1"/>
      <c r="CE3072" s="1"/>
      <c r="CF3072" s="1"/>
      <c r="CG3072" s="1"/>
      <c r="CH3072" s="1"/>
      <c r="CI3072" s="1"/>
      <c r="CJ3072" s="1"/>
      <c r="CK3072" s="1"/>
      <c r="CL3072" s="1"/>
      <c r="CM3072" s="1"/>
      <c r="CN3072" s="1"/>
      <c r="CO3072" s="1"/>
      <c r="CP3072" s="1"/>
      <c r="CQ3072" s="1"/>
      <c r="CR3072" s="1"/>
      <c r="CS3072" s="1"/>
      <c r="CT3072" s="1"/>
      <c r="CU3072" s="1"/>
      <c r="CV3072" s="1"/>
      <c r="CW3072" s="1"/>
      <c r="CX3072" s="1"/>
      <c r="CY3072" s="1"/>
      <c r="CZ3072" s="1"/>
      <c r="DA3072" s="1"/>
      <c r="DB3072" s="1"/>
      <c r="DC3072" s="1"/>
      <c r="DD3072" s="1"/>
      <c r="DE3072" s="1"/>
      <c r="DF3072" s="1"/>
      <c r="DG3072" s="1"/>
      <c r="DH3072" s="1"/>
      <c r="DI3072" s="1"/>
      <c r="DJ3072" s="1"/>
      <c r="DK3072" s="1"/>
      <c r="DL3072" s="1"/>
      <c r="DM3072" s="1"/>
      <c r="DN3072" s="1"/>
      <c r="DO3072" s="1"/>
      <c r="DP3072" s="1"/>
      <c r="DQ3072" s="1"/>
      <c r="DR3072" s="1"/>
      <c r="DS3072" s="1"/>
      <c r="DT3072" s="1"/>
      <c r="DU3072" s="1"/>
      <c r="DV3072" s="1"/>
      <c r="DW3072" s="1"/>
      <c r="DX3072" s="1"/>
      <c r="DY3072" s="1"/>
      <c r="DZ3072" s="1"/>
      <c r="EA3072" s="1"/>
      <c r="EB3072" s="1"/>
      <c r="EC3072" s="1"/>
      <c r="ED3072" s="1"/>
      <c r="EE3072" s="1"/>
      <c r="EF3072" s="1"/>
      <c r="EG3072" s="1"/>
      <c r="EH3072" s="1"/>
      <c r="EI3072" s="1"/>
      <c r="EJ3072" s="1"/>
      <c r="EK3072" s="1"/>
      <c r="EL3072" s="1"/>
      <c r="EM3072" s="1"/>
      <c r="EN3072" s="1"/>
      <c r="EO3072" s="1"/>
      <c r="EP3072" s="1"/>
      <c r="EQ3072" s="1"/>
      <c r="ER3072" s="1"/>
      <c r="ES3072" s="1"/>
      <c r="ET3072" s="1"/>
      <c r="EU3072" s="1"/>
      <c r="EV3072" s="1"/>
      <c r="EW3072" s="1"/>
      <c r="EX3072" s="1"/>
      <c r="EY3072" s="1"/>
      <c r="EZ3072" s="1"/>
      <c r="FA3072" s="1"/>
      <c r="FB3072" s="1"/>
      <c r="FC3072" s="1"/>
      <c r="FD3072" s="1"/>
      <c r="FE3072" s="1"/>
      <c r="FF3072" s="1"/>
      <c r="FG3072" s="1"/>
      <c r="FH3072" s="1"/>
      <c r="FI3072" s="1"/>
      <c r="FJ3072" s="1"/>
      <c r="FK3072" s="1"/>
      <c r="FL3072" s="1"/>
      <c r="FM3072" s="1"/>
      <c r="FN3072" s="1"/>
      <c r="FO3072" s="1"/>
      <c r="FP3072" s="1"/>
      <c r="FQ3072" s="1"/>
      <c r="FR3072" s="1"/>
      <c r="FS3072" s="1"/>
      <c r="FT3072" s="1"/>
      <c r="FU3072" s="1"/>
      <c r="FV3072" s="1"/>
      <c r="FW3072" s="1"/>
      <c r="FX3072" s="1"/>
      <c r="FY3072" s="1"/>
      <c r="FZ3072" s="1"/>
      <c r="GA3072" s="1"/>
      <c r="GB3072" s="1"/>
      <c r="GC3072" s="1"/>
      <c r="GD3072" s="1"/>
      <c r="GE3072" s="1"/>
      <c r="GF3072" s="1"/>
      <c r="GG3072" s="1"/>
      <c r="GH3072" s="1"/>
      <c r="GI3072" s="1"/>
      <c r="GJ3072" s="1"/>
      <c r="GK3072" s="1"/>
      <c r="GL3072" s="1"/>
      <c r="GM3072" s="1"/>
      <c r="GN3072" s="1"/>
      <c r="GO3072" s="1"/>
      <c r="GP3072" s="1"/>
      <c r="GQ3072" s="1"/>
      <c r="GR3072" s="1"/>
      <c r="GS3072" s="1"/>
      <c r="GT3072" s="1"/>
      <c r="GU3072" s="1"/>
      <c r="GV3072" s="1"/>
      <c r="GW3072" s="1"/>
      <c r="GX3072" s="1"/>
      <c r="GY3072" s="1"/>
      <c r="GZ3072" s="1"/>
      <c r="HA3072" s="1"/>
      <c r="HB3072" s="1"/>
      <c r="HC3072" s="1"/>
      <c r="HD3072" s="1"/>
      <c r="HE3072" s="1"/>
      <c r="HF3072" s="1"/>
      <c r="HG3072" s="1"/>
      <c r="HH3072" s="1"/>
      <c r="HI3072" s="1"/>
      <c r="HJ3072" s="1"/>
      <c r="HK3072" s="1"/>
      <c r="HL3072" s="1"/>
      <c r="HM3072" s="1"/>
      <c r="HN3072" s="1"/>
      <c r="HO3072" s="1"/>
      <c r="HP3072" s="1"/>
      <c r="HQ3072" s="1"/>
    </row>
    <row r="3073" spans="1:225" x14ac:dyDescent="0.35">
      <c r="A3073" s="257"/>
      <c r="B3073" s="257"/>
      <c r="C3073" s="252"/>
      <c r="D3073" s="263"/>
      <c r="E3073" s="266"/>
      <c r="F3073" s="266"/>
      <c r="G3073" s="257"/>
      <c r="H3073" s="159" t="s">
        <v>74</v>
      </c>
      <c r="I3073" s="158">
        <f>K3073*D3072</f>
        <v>4294002.5999999996</v>
      </c>
      <c r="J3073" s="158">
        <f>I3073/D3072</f>
        <v>6918</v>
      </c>
      <c r="K3073" s="158">
        <v>6918</v>
      </c>
      <c r="L3073" s="1"/>
      <c r="M3073" s="1"/>
      <c r="N3073" s="1"/>
      <c r="O3073" s="1"/>
      <c r="P3073" s="1"/>
      <c r="Q3073" s="1"/>
      <c r="R3073" s="1"/>
      <c r="S3073" s="1"/>
      <c r="T3073" s="1"/>
      <c r="U3073" s="1"/>
      <c r="V3073" s="1"/>
      <c r="W3073" s="1"/>
      <c r="X3073" s="1"/>
      <c r="Y3073" s="1"/>
      <c r="Z3073" s="1"/>
      <c r="AA3073" s="1"/>
      <c r="AB3073" s="1"/>
      <c r="AC3073" s="1"/>
      <c r="AD3073" s="1"/>
      <c r="AE3073" s="1"/>
      <c r="AF3073" s="1"/>
      <c r="AG3073" s="1"/>
      <c r="AH3073" s="1"/>
      <c r="AI3073" s="1"/>
      <c r="AJ3073" s="1"/>
      <c r="AK3073" s="1"/>
      <c r="AL3073" s="1"/>
      <c r="AM3073" s="1"/>
      <c r="AN3073" s="1"/>
      <c r="AO3073" s="1"/>
      <c r="AP3073" s="1"/>
      <c r="AQ3073" s="1"/>
      <c r="AR3073" s="1"/>
      <c r="AS3073" s="1"/>
      <c r="AT3073" s="1"/>
      <c r="AU3073" s="1"/>
      <c r="AV3073" s="1"/>
      <c r="AW3073" s="1"/>
      <c r="AX3073" s="1"/>
      <c r="AY3073" s="1"/>
      <c r="AZ3073" s="1"/>
      <c r="BA3073" s="1"/>
      <c r="BB3073" s="1"/>
      <c r="BC3073" s="1"/>
      <c r="BD3073" s="1"/>
      <c r="BE3073" s="1"/>
      <c r="BF3073" s="1"/>
      <c r="BG3073" s="1"/>
      <c r="BH3073" s="1"/>
      <c r="BI3073" s="1"/>
      <c r="BJ3073" s="1"/>
      <c r="BK3073" s="1"/>
      <c r="BL3073" s="1"/>
      <c r="BM3073" s="1"/>
      <c r="BN3073" s="1"/>
      <c r="BO3073" s="1"/>
      <c r="BP3073" s="1"/>
      <c r="BQ3073" s="1"/>
      <c r="BR3073" s="1"/>
      <c r="BS3073" s="1"/>
      <c r="BT3073" s="1"/>
      <c r="BU3073" s="1"/>
      <c r="BV3073" s="1"/>
      <c r="BW3073" s="1"/>
      <c r="BX3073" s="1"/>
      <c r="BY3073" s="1"/>
      <c r="BZ3073" s="1"/>
      <c r="CA3073" s="1"/>
      <c r="CB3073" s="1"/>
      <c r="CC3073" s="1"/>
      <c r="CD3073" s="1"/>
      <c r="CE3073" s="1"/>
      <c r="CF3073" s="1"/>
      <c r="CG3073" s="1"/>
      <c r="CH3073" s="1"/>
      <c r="CI3073" s="1"/>
      <c r="CJ3073" s="1"/>
      <c r="CK3073" s="1"/>
      <c r="CL3073" s="1"/>
      <c r="CM3073" s="1"/>
      <c r="CN3073" s="1"/>
      <c r="CO3073" s="1"/>
      <c r="CP3073" s="1"/>
      <c r="CQ3073" s="1"/>
      <c r="CR3073" s="1"/>
      <c r="CS3073" s="1"/>
      <c r="CT3073" s="1"/>
      <c r="CU3073" s="1"/>
      <c r="CV3073" s="1"/>
      <c r="CW3073" s="1"/>
      <c r="CX3073" s="1"/>
      <c r="CY3073" s="1"/>
      <c r="CZ3073" s="1"/>
      <c r="DA3073" s="1"/>
      <c r="DB3073" s="1"/>
      <c r="DC3073" s="1"/>
      <c r="DD3073" s="1"/>
      <c r="DE3073" s="1"/>
      <c r="DF3073" s="1"/>
      <c r="DG3073" s="1"/>
      <c r="DH3073" s="1"/>
      <c r="DI3073" s="1"/>
      <c r="DJ3073" s="1"/>
      <c r="DK3073" s="1"/>
      <c r="DL3073" s="1"/>
      <c r="DM3073" s="1"/>
      <c r="DN3073" s="1"/>
      <c r="DO3073" s="1"/>
      <c r="DP3073" s="1"/>
      <c r="DQ3073" s="1"/>
      <c r="DR3073" s="1"/>
      <c r="DS3073" s="1"/>
      <c r="DT3073" s="1"/>
      <c r="DU3073" s="1"/>
      <c r="DV3073" s="1"/>
      <c r="DW3073" s="1"/>
      <c r="DX3073" s="1"/>
      <c r="DY3073" s="1"/>
      <c r="DZ3073" s="1"/>
      <c r="EA3073" s="1"/>
      <c r="EB3073" s="1"/>
      <c r="EC3073" s="1"/>
      <c r="ED3073" s="1"/>
      <c r="EE3073" s="1"/>
      <c r="EF3073" s="1"/>
      <c r="EG3073" s="1"/>
      <c r="EH3073" s="1"/>
      <c r="EI3073" s="1"/>
      <c r="EJ3073" s="1"/>
      <c r="EK3073" s="1"/>
      <c r="EL3073" s="1"/>
      <c r="EM3073" s="1"/>
      <c r="EN3073" s="1"/>
      <c r="EO3073" s="1"/>
      <c r="EP3073" s="1"/>
      <c r="EQ3073" s="1"/>
      <c r="ER3073" s="1"/>
      <c r="ES3073" s="1"/>
      <c r="ET3073" s="1"/>
      <c r="EU3073" s="1"/>
      <c r="EV3073" s="1"/>
      <c r="EW3073" s="1"/>
      <c r="EX3073" s="1"/>
      <c r="EY3073" s="1"/>
      <c r="EZ3073" s="1"/>
      <c r="FA3073" s="1"/>
      <c r="FB3073" s="1"/>
      <c r="FC3073" s="1"/>
      <c r="FD3073" s="1"/>
      <c r="FE3073" s="1"/>
      <c r="FF3073" s="1"/>
      <c r="FG3073" s="1"/>
      <c r="FH3073" s="1"/>
      <c r="FI3073" s="1"/>
      <c r="FJ3073" s="1"/>
      <c r="FK3073" s="1"/>
      <c r="FL3073" s="1"/>
      <c r="FM3073" s="1"/>
      <c r="FN3073" s="1"/>
      <c r="FO3073" s="1"/>
      <c r="FP3073" s="1"/>
      <c r="FQ3073" s="1"/>
      <c r="FR3073" s="1"/>
      <c r="FS3073" s="1"/>
      <c r="FT3073" s="1"/>
      <c r="FU3073" s="1"/>
      <c r="FV3073" s="1"/>
      <c r="FW3073" s="1"/>
      <c r="FX3073" s="1"/>
      <c r="FY3073" s="1"/>
      <c r="FZ3073" s="1"/>
      <c r="GA3073" s="1"/>
      <c r="GB3073" s="1"/>
      <c r="GC3073" s="1"/>
      <c r="GD3073" s="1"/>
      <c r="GE3073" s="1"/>
      <c r="GF3073" s="1"/>
      <c r="GG3073" s="1"/>
      <c r="GH3073" s="1"/>
      <c r="GI3073" s="1"/>
      <c r="GJ3073" s="1"/>
      <c r="GK3073" s="1"/>
      <c r="GL3073" s="1"/>
      <c r="GM3073" s="1"/>
      <c r="GN3073" s="1"/>
      <c r="GO3073" s="1"/>
      <c r="GP3073" s="1"/>
      <c r="GQ3073" s="1"/>
      <c r="GR3073" s="1"/>
      <c r="GS3073" s="1"/>
      <c r="GT3073" s="1"/>
      <c r="GU3073" s="1"/>
      <c r="GV3073" s="1"/>
      <c r="GW3073" s="1"/>
      <c r="GX3073" s="1"/>
      <c r="GY3073" s="1"/>
      <c r="GZ3073" s="1"/>
      <c r="HA3073" s="1"/>
      <c r="HB3073" s="1"/>
      <c r="HC3073" s="1"/>
      <c r="HD3073" s="1"/>
      <c r="HE3073" s="1"/>
      <c r="HF3073" s="1"/>
      <c r="HG3073" s="1"/>
      <c r="HH3073" s="1"/>
      <c r="HI3073" s="1"/>
      <c r="HJ3073" s="1"/>
      <c r="HK3073" s="1"/>
      <c r="HL3073" s="1"/>
      <c r="HM3073" s="1"/>
      <c r="HN3073" s="1"/>
      <c r="HO3073" s="1"/>
      <c r="HP3073" s="1"/>
      <c r="HQ3073" s="1"/>
    </row>
    <row r="3074" spans="1:225" x14ac:dyDescent="0.35">
      <c r="A3074" s="258"/>
      <c r="B3074" s="258"/>
      <c r="C3074" s="252"/>
      <c r="D3074" s="264"/>
      <c r="E3074" s="267"/>
      <c r="F3074" s="267"/>
      <c r="G3074" s="258"/>
      <c r="H3074" s="159" t="s">
        <v>76</v>
      </c>
      <c r="I3074" s="158">
        <f>K3074*D3072</f>
        <v>91863.6</v>
      </c>
      <c r="J3074" s="158">
        <f>I3074/D3072</f>
        <v>148</v>
      </c>
      <c r="K3074" s="158">
        <v>148</v>
      </c>
      <c r="L3074" s="1"/>
      <c r="M3074" s="1"/>
      <c r="N3074" s="1"/>
      <c r="O3074" s="1"/>
      <c r="P3074" s="1"/>
      <c r="Q3074" s="1"/>
      <c r="R3074" s="1"/>
      <c r="S3074" s="1"/>
      <c r="T3074" s="1"/>
      <c r="U3074" s="1"/>
      <c r="V3074" s="1"/>
      <c r="W3074" s="1"/>
      <c r="X3074" s="1"/>
      <c r="Y3074" s="1"/>
      <c r="Z3074" s="1"/>
      <c r="AA3074" s="1"/>
      <c r="AB3074" s="1"/>
      <c r="AC3074" s="1"/>
      <c r="AD3074" s="1"/>
      <c r="AE3074" s="1"/>
      <c r="AF3074" s="1"/>
      <c r="AG3074" s="1"/>
      <c r="AH3074" s="1"/>
      <c r="AI3074" s="1"/>
      <c r="AJ3074" s="1"/>
      <c r="AK3074" s="1"/>
      <c r="AL3074" s="1"/>
      <c r="AM3074" s="1"/>
      <c r="AN3074" s="1"/>
      <c r="AO3074" s="1"/>
      <c r="AP3074" s="1"/>
      <c r="AQ3074" s="1"/>
      <c r="AR3074" s="1"/>
      <c r="AS3074" s="1"/>
      <c r="AT3074" s="1"/>
      <c r="AU3074" s="1"/>
      <c r="AV3074" s="1"/>
      <c r="AW3074" s="1"/>
      <c r="AX3074" s="1"/>
      <c r="AY3074" s="1"/>
      <c r="AZ3074" s="1"/>
      <c r="BA3074" s="1"/>
      <c r="BB3074" s="1"/>
      <c r="BC3074" s="1"/>
      <c r="BD3074" s="1"/>
      <c r="BE3074" s="1"/>
      <c r="BF3074" s="1"/>
      <c r="BG3074" s="1"/>
      <c r="BH3074" s="1"/>
      <c r="BI3074" s="1"/>
      <c r="BJ3074" s="1"/>
      <c r="BK3074" s="1"/>
      <c r="BL3074" s="1"/>
      <c r="BM3074" s="1"/>
      <c r="BN3074" s="1"/>
      <c r="BO3074" s="1"/>
      <c r="BP3074" s="1"/>
      <c r="BQ3074" s="1"/>
      <c r="BR3074" s="1"/>
      <c r="BS3074" s="1"/>
      <c r="BT3074" s="1"/>
      <c r="BU3074" s="1"/>
      <c r="BV3074" s="1"/>
      <c r="BW3074" s="1"/>
      <c r="BX3074" s="1"/>
      <c r="BY3074" s="1"/>
      <c r="BZ3074" s="1"/>
      <c r="CA3074" s="1"/>
      <c r="CB3074" s="1"/>
      <c r="CC3074" s="1"/>
      <c r="CD3074" s="1"/>
      <c r="CE3074" s="1"/>
      <c r="CF3074" s="1"/>
      <c r="CG3074" s="1"/>
      <c r="CH3074" s="1"/>
      <c r="CI3074" s="1"/>
      <c r="CJ3074" s="1"/>
      <c r="CK3074" s="1"/>
      <c r="CL3074" s="1"/>
      <c r="CM3074" s="1"/>
      <c r="CN3074" s="1"/>
      <c r="CO3074" s="1"/>
      <c r="CP3074" s="1"/>
      <c r="CQ3074" s="1"/>
      <c r="CR3074" s="1"/>
      <c r="CS3074" s="1"/>
      <c r="CT3074" s="1"/>
      <c r="CU3074" s="1"/>
      <c r="CV3074" s="1"/>
      <c r="CW3074" s="1"/>
      <c r="CX3074" s="1"/>
      <c r="CY3074" s="1"/>
      <c r="CZ3074" s="1"/>
      <c r="DA3074" s="1"/>
      <c r="DB3074" s="1"/>
      <c r="DC3074" s="1"/>
      <c r="DD3074" s="1"/>
      <c r="DE3074" s="1"/>
      <c r="DF3074" s="1"/>
      <c r="DG3074" s="1"/>
      <c r="DH3074" s="1"/>
      <c r="DI3074" s="1"/>
      <c r="DJ3074" s="1"/>
      <c r="DK3074" s="1"/>
      <c r="DL3074" s="1"/>
      <c r="DM3074" s="1"/>
      <c r="DN3074" s="1"/>
      <c r="DO3074" s="1"/>
      <c r="DP3074" s="1"/>
      <c r="DQ3074" s="1"/>
      <c r="DR3074" s="1"/>
      <c r="DS3074" s="1"/>
      <c r="DT3074" s="1"/>
      <c r="DU3074" s="1"/>
      <c r="DV3074" s="1"/>
      <c r="DW3074" s="1"/>
      <c r="DX3074" s="1"/>
      <c r="DY3074" s="1"/>
      <c r="DZ3074" s="1"/>
      <c r="EA3074" s="1"/>
      <c r="EB3074" s="1"/>
      <c r="EC3074" s="1"/>
      <c r="ED3074" s="1"/>
      <c r="EE3074" s="1"/>
      <c r="EF3074" s="1"/>
      <c r="EG3074" s="1"/>
      <c r="EH3074" s="1"/>
      <c r="EI3074" s="1"/>
      <c r="EJ3074" s="1"/>
      <c r="EK3074" s="1"/>
      <c r="EL3074" s="1"/>
      <c r="EM3074" s="1"/>
      <c r="EN3074" s="1"/>
      <c r="EO3074" s="1"/>
      <c r="EP3074" s="1"/>
      <c r="EQ3074" s="1"/>
      <c r="ER3074" s="1"/>
      <c r="ES3074" s="1"/>
      <c r="ET3074" s="1"/>
      <c r="EU3074" s="1"/>
      <c r="EV3074" s="1"/>
      <c r="EW3074" s="1"/>
      <c r="EX3074" s="1"/>
      <c r="EY3074" s="1"/>
      <c r="EZ3074" s="1"/>
      <c r="FA3074" s="1"/>
      <c r="FB3074" s="1"/>
      <c r="FC3074" s="1"/>
      <c r="FD3074" s="1"/>
      <c r="FE3074" s="1"/>
      <c r="FF3074" s="1"/>
      <c r="FG3074" s="1"/>
      <c r="FH3074" s="1"/>
      <c r="FI3074" s="1"/>
      <c r="FJ3074" s="1"/>
      <c r="FK3074" s="1"/>
      <c r="FL3074" s="1"/>
      <c r="FM3074" s="1"/>
      <c r="FN3074" s="1"/>
      <c r="FO3074" s="1"/>
      <c r="FP3074" s="1"/>
      <c r="FQ3074" s="1"/>
      <c r="FR3074" s="1"/>
      <c r="FS3074" s="1"/>
      <c r="FT3074" s="1"/>
      <c r="FU3074" s="1"/>
      <c r="FV3074" s="1"/>
      <c r="FW3074" s="1"/>
      <c r="FX3074" s="1"/>
      <c r="FY3074" s="1"/>
      <c r="FZ3074" s="1"/>
      <c r="GA3074" s="1"/>
      <c r="GB3074" s="1"/>
      <c r="GC3074" s="1"/>
      <c r="GD3074" s="1"/>
      <c r="GE3074" s="1"/>
      <c r="GF3074" s="1"/>
      <c r="GG3074" s="1"/>
      <c r="GH3074" s="1"/>
      <c r="GI3074" s="1"/>
      <c r="GJ3074" s="1"/>
      <c r="GK3074" s="1"/>
      <c r="GL3074" s="1"/>
      <c r="GM3074" s="1"/>
      <c r="GN3074" s="1"/>
      <c r="GO3074" s="1"/>
      <c r="GP3074" s="1"/>
      <c r="GQ3074" s="1"/>
      <c r="GR3074" s="1"/>
      <c r="GS3074" s="1"/>
      <c r="GT3074" s="1"/>
      <c r="GU3074" s="1"/>
      <c r="GV3074" s="1"/>
      <c r="GW3074" s="1"/>
      <c r="GX3074" s="1"/>
      <c r="GY3074" s="1"/>
      <c r="GZ3074" s="1"/>
      <c r="HA3074" s="1"/>
      <c r="HB3074" s="1"/>
      <c r="HC3074" s="1"/>
      <c r="HD3074" s="1"/>
      <c r="HE3074" s="1"/>
      <c r="HF3074" s="1"/>
      <c r="HG3074" s="1"/>
      <c r="HH3074" s="1"/>
      <c r="HI3074" s="1"/>
      <c r="HJ3074" s="1"/>
      <c r="HK3074" s="1"/>
      <c r="HL3074" s="1"/>
      <c r="HM3074" s="1"/>
      <c r="HN3074" s="1"/>
      <c r="HO3074" s="1"/>
      <c r="HP3074" s="1"/>
      <c r="HQ3074" s="1"/>
    </row>
    <row r="3075" spans="1:225" x14ac:dyDescent="0.35">
      <c r="A3075" s="83"/>
      <c r="B3075" s="17"/>
      <c r="C3075" s="17"/>
      <c r="D3075" s="17"/>
      <c r="E3075" s="32"/>
      <c r="F3075" s="32"/>
      <c r="G3075" s="17"/>
      <c r="H3075" s="168"/>
      <c r="I3075" s="17"/>
      <c r="J3075" s="17"/>
      <c r="K3075" s="17"/>
    </row>
    <row r="3076" spans="1:225" ht="130.5" customHeight="1" x14ac:dyDescent="0.35">
      <c r="A3076" s="5" t="s">
        <v>63</v>
      </c>
      <c r="B3076" s="5"/>
      <c r="C3076" s="327" t="s">
        <v>794</v>
      </c>
      <c r="D3076" s="327"/>
      <c r="E3076" s="327"/>
      <c r="F3076" s="327"/>
      <c r="G3076" s="327"/>
      <c r="H3076" s="327"/>
      <c r="I3076" s="327"/>
      <c r="J3076" s="327"/>
      <c r="K3076" s="327"/>
      <c r="L3076" s="1"/>
      <c r="M3076" s="1"/>
      <c r="N3076" s="1"/>
      <c r="O3076" s="1"/>
      <c r="P3076" s="1"/>
      <c r="Q3076" s="1"/>
      <c r="R3076" s="1"/>
      <c r="S3076" s="1"/>
      <c r="T3076" s="1"/>
      <c r="U3076" s="1"/>
      <c r="V3076" s="1"/>
      <c r="W3076" s="1"/>
      <c r="X3076" s="1"/>
      <c r="Y3076" s="1"/>
      <c r="Z3076" s="1"/>
      <c r="AA3076" s="1"/>
      <c r="AB3076" s="1"/>
      <c r="AC3076" s="1"/>
      <c r="AD3076" s="1"/>
      <c r="AE3076" s="1"/>
      <c r="AF3076" s="1"/>
      <c r="AG3076" s="1"/>
      <c r="AH3076" s="1"/>
      <c r="AI3076" s="1"/>
      <c r="AJ3076" s="1"/>
      <c r="AK3076" s="1"/>
      <c r="AL3076" s="1"/>
      <c r="AM3076" s="1"/>
      <c r="AN3076" s="1"/>
      <c r="AO3076" s="1"/>
      <c r="AP3076" s="1"/>
      <c r="AQ3076" s="1"/>
      <c r="AR3076" s="1"/>
      <c r="AS3076" s="1"/>
      <c r="AT3076" s="1"/>
      <c r="AU3076" s="1"/>
      <c r="AV3076" s="1"/>
      <c r="AW3076" s="1"/>
      <c r="AX3076" s="1"/>
      <c r="AY3076" s="1"/>
      <c r="AZ3076" s="1"/>
      <c r="BA3076" s="1"/>
      <c r="BB3076" s="1"/>
      <c r="BC3076" s="1"/>
      <c r="BD3076" s="1"/>
      <c r="BE3076" s="1"/>
      <c r="BF3076" s="1"/>
      <c r="BG3076" s="1"/>
      <c r="BH3076" s="1"/>
      <c r="BI3076" s="1"/>
      <c r="BJ3076" s="1"/>
      <c r="BK3076" s="1"/>
      <c r="BL3076" s="1"/>
      <c r="BM3076" s="1"/>
      <c r="BN3076" s="1"/>
      <c r="BO3076" s="1"/>
      <c r="BP3076" s="1"/>
      <c r="BQ3076" s="1"/>
      <c r="BR3076" s="1"/>
      <c r="BS3076" s="1"/>
      <c r="BT3076" s="1"/>
      <c r="BU3076" s="1"/>
      <c r="BV3076" s="1"/>
      <c r="BW3076" s="1"/>
      <c r="BX3076" s="1"/>
      <c r="BY3076" s="1"/>
      <c r="BZ3076" s="1"/>
      <c r="CA3076" s="1"/>
      <c r="CB3076" s="1"/>
      <c r="CC3076" s="1"/>
      <c r="CD3076" s="1"/>
      <c r="CE3076" s="1"/>
      <c r="CF3076" s="1"/>
      <c r="CG3076" s="1"/>
      <c r="CH3076" s="1"/>
      <c r="CI3076" s="1"/>
      <c r="CJ3076" s="1"/>
      <c r="CK3076" s="1"/>
      <c r="CL3076" s="1"/>
      <c r="CM3076" s="1"/>
      <c r="CN3076" s="1"/>
      <c r="CO3076" s="1"/>
      <c r="CP3076" s="1"/>
      <c r="CQ3076" s="1"/>
      <c r="CR3076" s="1"/>
      <c r="CS3076" s="1"/>
      <c r="CT3076" s="1"/>
      <c r="CU3076" s="1"/>
      <c r="CV3076" s="1"/>
      <c r="CW3076" s="1"/>
      <c r="CX3076" s="1"/>
      <c r="CY3076" s="1"/>
      <c r="CZ3076" s="1"/>
      <c r="DA3076" s="1"/>
      <c r="DB3076" s="1"/>
      <c r="DC3076" s="1"/>
      <c r="DD3076" s="1"/>
      <c r="DE3076" s="1"/>
      <c r="DF3076" s="1"/>
      <c r="DG3076" s="1"/>
      <c r="DH3076" s="1"/>
      <c r="DI3076" s="1"/>
      <c r="DJ3076" s="1"/>
      <c r="DK3076" s="1"/>
      <c r="DL3076" s="1"/>
      <c r="DM3076" s="1"/>
      <c r="DN3076" s="1"/>
      <c r="DO3076" s="1"/>
      <c r="DP3076" s="1"/>
      <c r="DQ3076" s="1"/>
      <c r="DR3076" s="1"/>
      <c r="DS3076" s="1"/>
      <c r="DT3076" s="1"/>
      <c r="DU3076" s="1"/>
      <c r="DV3076" s="1"/>
      <c r="DW3076" s="1"/>
      <c r="DX3076" s="1"/>
      <c r="DY3076" s="1"/>
      <c r="DZ3076" s="1"/>
      <c r="EA3076" s="1"/>
      <c r="EB3076" s="1"/>
      <c r="EC3076" s="1"/>
      <c r="ED3076" s="1"/>
      <c r="EE3076" s="1"/>
      <c r="EF3076" s="1"/>
      <c r="EG3076" s="1"/>
      <c r="EH3076" s="1"/>
      <c r="EI3076" s="1"/>
      <c r="EJ3076" s="1"/>
      <c r="EK3076" s="1"/>
      <c r="EL3076" s="1"/>
      <c r="EM3076" s="1"/>
      <c r="EN3076" s="1"/>
      <c r="EO3076" s="1"/>
      <c r="EP3076" s="1"/>
      <c r="EQ3076" s="1"/>
      <c r="ER3076" s="1"/>
      <c r="ES3076" s="1"/>
      <c r="ET3076" s="1"/>
      <c r="EU3076" s="1"/>
      <c r="EV3076" s="1"/>
      <c r="EW3076" s="1"/>
      <c r="EX3076" s="1"/>
      <c r="EY3076" s="1"/>
      <c r="EZ3076" s="1"/>
      <c r="FA3076" s="1"/>
      <c r="FB3076" s="1"/>
      <c r="FC3076" s="1"/>
      <c r="FD3076" s="1"/>
      <c r="FE3076" s="1"/>
      <c r="FF3076" s="1"/>
      <c r="FG3076" s="1"/>
      <c r="FH3076" s="1"/>
      <c r="FI3076" s="1"/>
      <c r="FJ3076" s="1"/>
      <c r="FK3076" s="1"/>
      <c r="FL3076" s="1"/>
      <c r="FM3076" s="1"/>
      <c r="FN3076" s="1"/>
      <c r="FO3076" s="1"/>
      <c r="FP3076" s="1"/>
      <c r="FQ3076" s="1"/>
      <c r="FR3076" s="1"/>
      <c r="FS3076" s="1"/>
      <c r="FT3076" s="1"/>
      <c r="FU3076" s="1"/>
      <c r="FV3076" s="1"/>
      <c r="FW3076" s="1"/>
      <c r="FX3076" s="1"/>
      <c r="FY3076" s="1"/>
      <c r="FZ3076" s="1"/>
      <c r="GA3076" s="1"/>
      <c r="GB3076" s="1"/>
      <c r="GC3076" s="1"/>
      <c r="GD3076" s="1"/>
      <c r="GE3076" s="1"/>
      <c r="GF3076" s="1"/>
      <c r="GG3076" s="1"/>
      <c r="GH3076" s="1"/>
      <c r="GI3076" s="1"/>
      <c r="GJ3076" s="1"/>
      <c r="GK3076" s="1"/>
      <c r="GL3076" s="1"/>
      <c r="GM3076" s="1"/>
      <c r="GN3076" s="1"/>
      <c r="GO3076" s="1"/>
      <c r="GP3076" s="1"/>
      <c r="GQ3076" s="1"/>
      <c r="GR3076" s="1"/>
      <c r="GS3076" s="1"/>
      <c r="GT3076" s="1"/>
      <c r="GU3076" s="1"/>
      <c r="GV3076" s="1"/>
      <c r="GW3076" s="1"/>
      <c r="GX3076" s="1"/>
      <c r="GY3076" s="1"/>
      <c r="GZ3076" s="1"/>
      <c r="HA3076" s="1"/>
      <c r="HB3076" s="1"/>
      <c r="HC3076" s="1"/>
      <c r="HD3076" s="1"/>
      <c r="HE3076" s="1"/>
      <c r="HF3076" s="1"/>
      <c r="HG3076" s="1"/>
      <c r="HH3076" s="1"/>
      <c r="HI3076" s="1"/>
      <c r="HJ3076" s="1"/>
      <c r="HK3076" s="1"/>
      <c r="HL3076" s="1"/>
      <c r="HM3076" s="1"/>
      <c r="HN3076" s="1"/>
      <c r="HO3076" s="1"/>
      <c r="HP3076" s="1"/>
      <c r="HQ3076" s="1"/>
    </row>
    <row r="3077" spans="1:225" ht="69" customHeight="1" x14ac:dyDescent="0.35">
      <c r="A3077" s="5" t="s">
        <v>64</v>
      </c>
      <c r="B3077" s="5"/>
      <c r="C3077" s="356" t="s">
        <v>65</v>
      </c>
      <c r="D3077" s="356"/>
      <c r="E3077" s="356"/>
      <c r="F3077" s="356"/>
      <c r="G3077" s="356"/>
      <c r="H3077" s="356"/>
      <c r="I3077" s="356"/>
      <c r="J3077" s="356"/>
      <c r="K3077" s="356"/>
      <c r="L3077" s="1"/>
      <c r="M3077" s="1"/>
      <c r="N3077" s="1"/>
      <c r="O3077" s="1"/>
      <c r="P3077" s="1"/>
      <c r="Q3077" s="1"/>
      <c r="R3077" s="1"/>
      <c r="S3077" s="1"/>
      <c r="T3077" s="1"/>
      <c r="U3077" s="1"/>
      <c r="V3077" s="1"/>
      <c r="W3077" s="1"/>
      <c r="X3077" s="1"/>
      <c r="Y3077" s="1"/>
      <c r="Z3077" s="1"/>
      <c r="AA3077" s="1"/>
      <c r="AB3077" s="1"/>
      <c r="AC3077" s="1"/>
      <c r="AD3077" s="1"/>
      <c r="AE3077" s="1"/>
      <c r="AF3077" s="1"/>
      <c r="AG3077" s="1"/>
      <c r="AH3077" s="1"/>
      <c r="AI3077" s="1"/>
      <c r="AJ3077" s="1"/>
      <c r="AK3077" s="1"/>
      <c r="AL3077" s="1"/>
      <c r="AM3077" s="1"/>
      <c r="AN3077" s="1"/>
      <c r="AO3077" s="1"/>
      <c r="AP3077" s="1"/>
      <c r="AQ3077" s="1"/>
      <c r="AR3077" s="1"/>
      <c r="AS3077" s="1"/>
      <c r="AT3077" s="1"/>
      <c r="AU3077" s="1"/>
      <c r="AV3077" s="1"/>
      <c r="AW3077" s="1"/>
      <c r="AX3077" s="1"/>
      <c r="AY3077" s="1"/>
      <c r="AZ3077" s="1"/>
      <c r="BA3077" s="1"/>
      <c r="BB3077" s="1"/>
      <c r="BC3077" s="1"/>
      <c r="BD3077" s="1"/>
      <c r="BE3077" s="1"/>
      <c r="BF3077" s="1"/>
      <c r="BG3077" s="1"/>
      <c r="BH3077" s="1"/>
      <c r="BI3077" s="1"/>
      <c r="BJ3077" s="1"/>
      <c r="BK3077" s="1"/>
      <c r="BL3077" s="1"/>
      <c r="BM3077" s="1"/>
      <c r="BN3077" s="1"/>
      <c r="BO3077" s="1"/>
      <c r="BP3077" s="1"/>
      <c r="BQ3077" s="1"/>
      <c r="BR3077" s="1"/>
      <c r="BS3077" s="1"/>
      <c r="BT3077" s="1"/>
      <c r="BU3077" s="1"/>
      <c r="BV3077" s="1"/>
      <c r="BW3077" s="1"/>
      <c r="BX3077" s="1"/>
      <c r="BY3077" s="1"/>
      <c r="BZ3077" s="1"/>
      <c r="CA3077" s="1"/>
      <c r="CB3077" s="1"/>
      <c r="CC3077" s="1"/>
      <c r="CD3077" s="1"/>
      <c r="CE3077" s="1"/>
      <c r="CF3077" s="1"/>
      <c r="CG3077" s="1"/>
      <c r="CH3077" s="1"/>
      <c r="CI3077" s="1"/>
      <c r="CJ3077" s="1"/>
      <c r="CK3077" s="1"/>
      <c r="CL3077" s="1"/>
      <c r="CM3077" s="1"/>
      <c r="CN3077" s="1"/>
      <c r="CO3077" s="1"/>
      <c r="CP3077" s="1"/>
      <c r="CQ3077" s="1"/>
      <c r="CR3077" s="1"/>
      <c r="CS3077" s="1"/>
      <c r="CT3077" s="1"/>
      <c r="CU3077" s="1"/>
      <c r="CV3077" s="1"/>
      <c r="CW3077" s="1"/>
      <c r="CX3077" s="1"/>
      <c r="CY3077" s="1"/>
      <c r="CZ3077" s="1"/>
      <c r="DA3077" s="1"/>
      <c r="DB3077" s="1"/>
      <c r="DC3077" s="1"/>
      <c r="DD3077" s="1"/>
      <c r="DE3077" s="1"/>
      <c r="DF3077" s="1"/>
      <c r="DG3077" s="1"/>
      <c r="DH3077" s="1"/>
      <c r="DI3077" s="1"/>
      <c r="DJ3077" s="1"/>
      <c r="DK3077" s="1"/>
      <c r="DL3077" s="1"/>
      <c r="DM3077" s="1"/>
      <c r="DN3077" s="1"/>
      <c r="DO3077" s="1"/>
      <c r="DP3077" s="1"/>
      <c r="DQ3077" s="1"/>
      <c r="DR3077" s="1"/>
      <c r="DS3077" s="1"/>
      <c r="DT3077" s="1"/>
      <c r="DU3077" s="1"/>
      <c r="DV3077" s="1"/>
      <c r="DW3077" s="1"/>
      <c r="DX3077" s="1"/>
      <c r="DY3077" s="1"/>
      <c r="DZ3077" s="1"/>
      <c r="EA3077" s="1"/>
      <c r="EB3077" s="1"/>
      <c r="EC3077" s="1"/>
      <c r="ED3077" s="1"/>
      <c r="EE3077" s="1"/>
      <c r="EF3077" s="1"/>
      <c r="EG3077" s="1"/>
      <c r="EH3077" s="1"/>
      <c r="EI3077" s="1"/>
      <c r="EJ3077" s="1"/>
      <c r="EK3077" s="1"/>
      <c r="EL3077" s="1"/>
      <c r="EM3077" s="1"/>
      <c r="EN3077" s="1"/>
      <c r="EO3077" s="1"/>
      <c r="EP3077" s="1"/>
      <c r="EQ3077" s="1"/>
      <c r="ER3077" s="1"/>
      <c r="ES3077" s="1"/>
      <c r="ET3077" s="1"/>
      <c r="EU3077" s="1"/>
      <c r="EV3077" s="1"/>
      <c r="EW3077" s="1"/>
      <c r="EX3077" s="1"/>
      <c r="EY3077" s="1"/>
      <c r="EZ3077" s="1"/>
      <c r="FA3077" s="1"/>
      <c r="FB3077" s="1"/>
      <c r="FC3077" s="1"/>
      <c r="FD3077" s="1"/>
      <c r="FE3077" s="1"/>
      <c r="FF3077" s="1"/>
      <c r="FG3077" s="1"/>
      <c r="FH3077" s="1"/>
      <c r="FI3077" s="1"/>
      <c r="FJ3077" s="1"/>
      <c r="FK3077" s="1"/>
      <c r="FL3077" s="1"/>
      <c r="FM3077" s="1"/>
      <c r="FN3077" s="1"/>
      <c r="FO3077" s="1"/>
      <c r="FP3077" s="1"/>
      <c r="FQ3077" s="1"/>
      <c r="FR3077" s="1"/>
      <c r="FS3077" s="1"/>
      <c r="FT3077" s="1"/>
      <c r="FU3077" s="1"/>
      <c r="FV3077" s="1"/>
      <c r="FW3077" s="1"/>
      <c r="FX3077" s="1"/>
      <c r="FY3077" s="1"/>
      <c r="FZ3077" s="1"/>
      <c r="GA3077" s="1"/>
      <c r="GB3077" s="1"/>
      <c r="GC3077" s="1"/>
      <c r="GD3077" s="1"/>
      <c r="GE3077" s="1"/>
      <c r="GF3077" s="1"/>
      <c r="GG3077" s="1"/>
      <c r="GH3077" s="1"/>
      <c r="GI3077" s="1"/>
      <c r="GJ3077" s="1"/>
      <c r="GK3077" s="1"/>
      <c r="GL3077" s="1"/>
      <c r="GM3077" s="1"/>
      <c r="GN3077" s="1"/>
      <c r="GO3077" s="1"/>
      <c r="GP3077" s="1"/>
      <c r="GQ3077" s="1"/>
      <c r="GR3077" s="1"/>
      <c r="GS3077" s="1"/>
      <c r="GT3077" s="1"/>
      <c r="GU3077" s="1"/>
      <c r="GV3077" s="1"/>
      <c r="GW3077" s="1"/>
      <c r="GX3077" s="1"/>
      <c r="GY3077" s="1"/>
      <c r="GZ3077" s="1"/>
      <c r="HA3077" s="1"/>
      <c r="HB3077" s="1"/>
      <c r="HC3077" s="1"/>
      <c r="HD3077" s="1"/>
      <c r="HE3077" s="1"/>
      <c r="HF3077" s="1"/>
      <c r="HG3077" s="1"/>
      <c r="HH3077" s="1"/>
      <c r="HI3077" s="1"/>
      <c r="HJ3077" s="1"/>
      <c r="HK3077" s="1"/>
      <c r="HL3077" s="1"/>
      <c r="HM3077" s="1"/>
      <c r="HN3077" s="1"/>
      <c r="HO3077" s="1"/>
      <c r="HP3077" s="1"/>
      <c r="HQ3077" s="1"/>
    </row>
    <row r="3078" spans="1:225" ht="32.25" customHeight="1" x14ac:dyDescent="0.35">
      <c r="A3078" s="5" t="s">
        <v>66</v>
      </c>
      <c r="B3078" s="5"/>
      <c r="C3078" s="327" t="s">
        <v>70</v>
      </c>
      <c r="D3078" s="327"/>
      <c r="E3078" s="327"/>
      <c r="F3078" s="327"/>
      <c r="G3078" s="327"/>
      <c r="H3078" s="327"/>
      <c r="I3078" s="327"/>
      <c r="J3078" s="327"/>
      <c r="K3078" s="327"/>
      <c r="L3078" s="1"/>
      <c r="M3078" s="1"/>
      <c r="N3078" s="1"/>
      <c r="O3078" s="1"/>
      <c r="P3078" s="1"/>
      <c r="Q3078" s="1"/>
      <c r="R3078" s="1"/>
      <c r="S3078" s="1"/>
      <c r="T3078" s="1"/>
      <c r="U3078" s="1"/>
      <c r="V3078" s="1"/>
      <c r="W3078" s="1"/>
      <c r="X3078" s="1"/>
      <c r="Y3078" s="1"/>
      <c r="Z3078" s="1"/>
      <c r="AA3078" s="1"/>
      <c r="AB3078" s="1"/>
      <c r="AC3078" s="1"/>
      <c r="AD3078" s="1"/>
      <c r="AE3078" s="1"/>
      <c r="AF3078" s="1"/>
      <c r="AG3078" s="1"/>
      <c r="AH3078" s="1"/>
      <c r="AI3078" s="1"/>
      <c r="AJ3078" s="1"/>
      <c r="AK3078" s="1"/>
      <c r="AL3078" s="1"/>
      <c r="AM3078" s="1"/>
      <c r="AN3078" s="1"/>
      <c r="AO3078" s="1"/>
      <c r="AP3078" s="1"/>
      <c r="AQ3078" s="1"/>
      <c r="AR3078" s="1"/>
      <c r="AS3078" s="1"/>
      <c r="AT3078" s="1"/>
      <c r="AU3078" s="1"/>
      <c r="AV3078" s="1"/>
      <c r="AW3078" s="1"/>
      <c r="AX3078" s="1"/>
      <c r="AY3078" s="1"/>
      <c r="AZ3078" s="1"/>
      <c r="BA3078" s="1"/>
      <c r="BB3078" s="1"/>
      <c r="BC3078" s="1"/>
      <c r="BD3078" s="1"/>
      <c r="BE3078" s="1"/>
      <c r="BF3078" s="1"/>
      <c r="BG3078" s="1"/>
      <c r="BH3078" s="1"/>
      <c r="BI3078" s="1"/>
      <c r="BJ3078" s="1"/>
      <c r="BK3078" s="1"/>
      <c r="BL3078" s="1"/>
      <c r="BM3078" s="1"/>
      <c r="BN3078" s="1"/>
      <c r="BO3078" s="1"/>
      <c r="BP3078" s="1"/>
      <c r="BQ3078" s="1"/>
      <c r="BR3078" s="1"/>
      <c r="BS3078" s="1"/>
      <c r="BT3078" s="1"/>
      <c r="BU3078" s="1"/>
      <c r="BV3078" s="1"/>
      <c r="BW3078" s="1"/>
      <c r="BX3078" s="1"/>
      <c r="BY3078" s="1"/>
      <c r="BZ3078" s="1"/>
      <c r="CA3078" s="1"/>
      <c r="CB3078" s="1"/>
      <c r="CC3078" s="1"/>
      <c r="CD3078" s="1"/>
      <c r="CE3078" s="1"/>
      <c r="CF3078" s="1"/>
      <c r="CG3078" s="1"/>
      <c r="CH3078" s="1"/>
      <c r="CI3078" s="1"/>
      <c r="CJ3078" s="1"/>
      <c r="CK3078" s="1"/>
      <c r="CL3078" s="1"/>
      <c r="CM3078" s="1"/>
      <c r="CN3078" s="1"/>
      <c r="CO3078" s="1"/>
      <c r="CP3078" s="1"/>
      <c r="CQ3078" s="1"/>
      <c r="CR3078" s="1"/>
      <c r="CS3078" s="1"/>
      <c r="CT3078" s="1"/>
      <c r="CU3078" s="1"/>
      <c r="CV3078" s="1"/>
      <c r="CW3078" s="1"/>
      <c r="CX3078" s="1"/>
      <c r="CY3078" s="1"/>
      <c r="CZ3078" s="1"/>
      <c r="DA3078" s="1"/>
      <c r="DB3078" s="1"/>
      <c r="DC3078" s="1"/>
      <c r="DD3078" s="1"/>
      <c r="DE3078" s="1"/>
      <c r="DF3078" s="1"/>
      <c r="DG3078" s="1"/>
      <c r="DH3078" s="1"/>
      <c r="DI3078" s="1"/>
      <c r="DJ3078" s="1"/>
      <c r="DK3078" s="1"/>
      <c r="DL3078" s="1"/>
      <c r="DM3078" s="1"/>
      <c r="DN3078" s="1"/>
      <c r="DO3078" s="1"/>
      <c r="DP3078" s="1"/>
      <c r="DQ3078" s="1"/>
      <c r="DR3078" s="1"/>
      <c r="DS3078" s="1"/>
      <c r="DT3078" s="1"/>
      <c r="DU3078" s="1"/>
      <c r="DV3078" s="1"/>
      <c r="DW3078" s="1"/>
      <c r="DX3078" s="1"/>
      <c r="DY3078" s="1"/>
      <c r="DZ3078" s="1"/>
      <c r="EA3078" s="1"/>
      <c r="EB3078" s="1"/>
      <c r="EC3078" s="1"/>
      <c r="ED3078" s="1"/>
      <c r="EE3078" s="1"/>
      <c r="EF3078" s="1"/>
      <c r="EG3078" s="1"/>
      <c r="EH3078" s="1"/>
      <c r="EI3078" s="1"/>
      <c r="EJ3078" s="1"/>
      <c r="EK3078" s="1"/>
      <c r="EL3078" s="1"/>
      <c r="EM3078" s="1"/>
      <c r="EN3078" s="1"/>
      <c r="EO3078" s="1"/>
      <c r="EP3078" s="1"/>
      <c r="EQ3078" s="1"/>
      <c r="ER3078" s="1"/>
      <c r="ES3078" s="1"/>
      <c r="ET3078" s="1"/>
      <c r="EU3078" s="1"/>
      <c r="EV3078" s="1"/>
      <c r="EW3078" s="1"/>
      <c r="EX3078" s="1"/>
      <c r="EY3078" s="1"/>
      <c r="EZ3078" s="1"/>
      <c r="FA3078" s="1"/>
      <c r="FB3078" s="1"/>
      <c r="FC3078" s="1"/>
      <c r="FD3078" s="1"/>
      <c r="FE3078" s="1"/>
      <c r="FF3078" s="1"/>
      <c r="FG3078" s="1"/>
      <c r="FH3078" s="1"/>
      <c r="FI3078" s="1"/>
      <c r="FJ3078" s="1"/>
      <c r="FK3078" s="1"/>
      <c r="FL3078" s="1"/>
      <c r="FM3078" s="1"/>
      <c r="FN3078" s="1"/>
      <c r="FO3078" s="1"/>
      <c r="FP3078" s="1"/>
      <c r="FQ3078" s="1"/>
      <c r="FR3078" s="1"/>
      <c r="FS3078" s="1"/>
      <c r="FT3078" s="1"/>
      <c r="FU3078" s="1"/>
      <c r="FV3078" s="1"/>
      <c r="FW3078" s="1"/>
      <c r="FX3078" s="1"/>
      <c r="FY3078" s="1"/>
      <c r="FZ3078" s="1"/>
      <c r="GA3078" s="1"/>
      <c r="GB3078" s="1"/>
      <c r="GC3078" s="1"/>
      <c r="GD3078" s="1"/>
      <c r="GE3078" s="1"/>
      <c r="GF3078" s="1"/>
      <c r="GG3078" s="1"/>
      <c r="GH3078" s="1"/>
      <c r="GI3078" s="1"/>
      <c r="GJ3078" s="1"/>
      <c r="GK3078" s="1"/>
      <c r="GL3078" s="1"/>
      <c r="GM3078" s="1"/>
      <c r="GN3078" s="1"/>
      <c r="GO3078" s="1"/>
      <c r="GP3078" s="1"/>
      <c r="GQ3078" s="1"/>
      <c r="GR3078" s="1"/>
      <c r="GS3078" s="1"/>
      <c r="GT3078" s="1"/>
      <c r="GU3078" s="1"/>
      <c r="GV3078" s="1"/>
      <c r="GW3078" s="1"/>
      <c r="GX3078" s="1"/>
      <c r="GY3078" s="1"/>
      <c r="GZ3078" s="1"/>
      <c r="HA3078" s="1"/>
      <c r="HB3078" s="1"/>
      <c r="HC3078" s="1"/>
      <c r="HD3078" s="1"/>
      <c r="HE3078" s="1"/>
      <c r="HF3078" s="1"/>
      <c r="HG3078" s="1"/>
      <c r="HH3078" s="1"/>
      <c r="HI3078" s="1"/>
      <c r="HJ3078" s="1"/>
      <c r="HK3078" s="1"/>
      <c r="HL3078" s="1"/>
      <c r="HM3078" s="1"/>
      <c r="HN3078" s="1"/>
      <c r="HO3078" s="1"/>
      <c r="HP3078" s="1"/>
      <c r="HQ3078" s="1"/>
    </row>
    <row r="3079" spans="1:225" x14ac:dyDescent="0.35">
      <c r="A3079" s="6" t="s">
        <v>67</v>
      </c>
      <c r="B3079" s="6"/>
      <c r="C3079" s="327" t="s">
        <v>68</v>
      </c>
      <c r="D3079" s="327"/>
      <c r="E3079" s="327"/>
      <c r="F3079" s="327"/>
      <c r="G3079" s="327"/>
      <c r="H3079" s="327"/>
      <c r="I3079" s="327"/>
      <c r="J3079" s="327"/>
      <c r="K3079" s="327"/>
      <c r="L3079" s="1"/>
      <c r="M3079" s="1"/>
      <c r="N3079" s="1"/>
      <c r="O3079" s="1"/>
      <c r="P3079" s="1"/>
      <c r="Q3079" s="1"/>
      <c r="R3079" s="1"/>
      <c r="S3079" s="1"/>
      <c r="T3079" s="1"/>
      <c r="U3079" s="1"/>
      <c r="V3079" s="1"/>
      <c r="W3079" s="1"/>
      <c r="X3079" s="1"/>
      <c r="Y3079" s="1"/>
      <c r="Z3079" s="1"/>
      <c r="AA3079" s="1"/>
      <c r="AB3079" s="1"/>
      <c r="AC3079" s="1"/>
      <c r="AD3079" s="1"/>
      <c r="AE3079" s="1"/>
      <c r="AF3079" s="1"/>
      <c r="AG3079" s="1"/>
      <c r="AH3079" s="1"/>
      <c r="AI3079" s="1"/>
      <c r="AJ3079" s="1"/>
      <c r="AK3079" s="1"/>
      <c r="AL3079" s="1"/>
      <c r="AM3079" s="1"/>
      <c r="AN3079" s="1"/>
      <c r="AO3079" s="1"/>
      <c r="AP3079" s="1"/>
      <c r="AQ3079" s="1"/>
      <c r="AR3079" s="1"/>
      <c r="AS3079" s="1"/>
      <c r="AT3079" s="1"/>
      <c r="AU3079" s="1"/>
      <c r="AV3079" s="1"/>
      <c r="AW3079" s="1"/>
      <c r="AX3079" s="1"/>
      <c r="AY3079" s="1"/>
      <c r="AZ3079" s="1"/>
      <c r="BA3079" s="1"/>
      <c r="BB3079" s="1"/>
      <c r="BC3079" s="1"/>
      <c r="BD3079" s="1"/>
      <c r="BE3079" s="1"/>
      <c r="BF3079" s="1"/>
      <c r="BG3079" s="1"/>
      <c r="BH3079" s="1"/>
      <c r="BI3079" s="1"/>
      <c r="BJ3079" s="1"/>
      <c r="BK3079" s="1"/>
      <c r="BL3079" s="1"/>
      <c r="BM3079" s="1"/>
      <c r="BN3079" s="1"/>
      <c r="BO3079" s="1"/>
      <c r="BP3079" s="1"/>
      <c r="BQ3079" s="1"/>
      <c r="BR3079" s="1"/>
      <c r="BS3079" s="1"/>
      <c r="BT3079" s="1"/>
      <c r="BU3079" s="1"/>
      <c r="BV3079" s="1"/>
      <c r="BW3079" s="1"/>
      <c r="BX3079" s="1"/>
      <c r="BY3079" s="1"/>
      <c r="BZ3079" s="1"/>
      <c r="CA3079" s="1"/>
      <c r="CB3079" s="1"/>
      <c r="CC3079" s="1"/>
      <c r="CD3079" s="1"/>
      <c r="CE3079" s="1"/>
      <c r="CF3079" s="1"/>
      <c r="CG3079" s="1"/>
      <c r="CH3079" s="1"/>
      <c r="CI3079" s="1"/>
      <c r="CJ3079" s="1"/>
      <c r="CK3079" s="1"/>
      <c r="CL3079" s="1"/>
      <c r="CM3079" s="1"/>
      <c r="CN3079" s="1"/>
      <c r="CO3079" s="1"/>
      <c r="CP3079" s="1"/>
      <c r="CQ3079" s="1"/>
      <c r="CR3079" s="1"/>
      <c r="CS3079" s="1"/>
      <c r="CT3079" s="1"/>
      <c r="CU3079" s="1"/>
      <c r="CV3079" s="1"/>
      <c r="CW3079" s="1"/>
      <c r="CX3079" s="1"/>
      <c r="CY3079" s="1"/>
      <c r="CZ3079" s="1"/>
      <c r="DA3079" s="1"/>
      <c r="DB3079" s="1"/>
      <c r="DC3079" s="1"/>
      <c r="DD3079" s="1"/>
      <c r="DE3079" s="1"/>
      <c r="DF3079" s="1"/>
      <c r="DG3079" s="1"/>
      <c r="DH3079" s="1"/>
      <c r="DI3079" s="1"/>
      <c r="DJ3079" s="1"/>
      <c r="DK3079" s="1"/>
      <c r="DL3079" s="1"/>
      <c r="DM3079" s="1"/>
      <c r="DN3079" s="1"/>
      <c r="DO3079" s="1"/>
      <c r="DP3079" s="1"/>
      <c r="DQ3079" s="1"/>
      <c r="DR3079" s="1"/>
      <c r="DS3079" s="1"/>
      <c r="DT3079" s="1"/>
      <c r="DU3079" s="1"/>
      <c r="DV3079" s="1"/>
      <c r="DW3079" s="1"/>
      <c r="DX3079" s="1"/>
      <c r="DY3079" s="1"/>
      <c r="DZ3079" s="1"/>
      <c r="EA3079" s="1"/>
      <c r="EB3079" s="1"/>
      <c r="EC3079" s="1"/>
      <c r="ED3079" s="1"/>
      <c r="EE3079" s="1"/>
      <c r="EF3079" s="1"/>
      <c r="EG3079" s="1"/>
      <c r="EH3079" s="1"/>
      <c r="EI3079" s="1"/>
      <c r="EJ3079" s="1"/>
      <c r="EK3079" s="1"/>
      <c r="EL3079" s="1"/>
      <c r="EM3079" s="1"/>
      <c r="EN3079" s="1"/>
      <c r="EO3079" s="1"/>
      <c r="EP3079" s="1"/>
      <c r="EQ3079" s="1"/>
      <c r="ER3079" s="1"/>
      <c r="ES3079" s="1"/>
      <c r="ET3079" s="1"/>
      <c r="EU3079" s="1"/>
      <c r="EV3079" s="1"/>
      <c r="EW3079" s="1"/>
      <c r="EX3079" s="1"/>
      <c r="EY3079" s="1"/>
      <c r="EZ3079" s="1"/>
      <c r="FA3079" s="1"/>
      <c r="FB3079" s="1"/>
      <c r="FC3079" s="1"/>
      <c r="FD3079" s="1"/>
      <c r="FE3079" s="1"/>
      <c r="FF3079" s="1"/>
      <c r="FG3079" s="1"/>
      <c r="FH3079" s="1"/>
      <c r="FI3079" s="1"/>
      <c r="FJ3079" s="1"/>
      <c r="FK3079" s="1"/>
      <c r="FL3079" s="1"/>
      <c r="FM3079" s="1"/>
      <c r="FN3079" s="1"/>
      <c r="FO3079" s="1"/>
      <c r="FP3079" s="1"/>
      <c r="FQ3079" s="1"/>
      <c r="FR3079" s="1"/>
      <c r="FS3079" s="1"/>
      <c r="FT3079" s="1"/>
      <c r="FU3079" s="1"/>
      <c r="FV3079" s="1"/>
      <c r="FW3079" s="1"/>
      <c r="FX3079" s="1"/>
      <c r="FY3079" s="1"/>
      <c r="FZ3079" s="1"/>
      <c r="GA3079" s="1"/>
      <c r="GB3079" s="1"/>
      <c r="GC3079" s="1"/>
      <c r="GD3079" s="1"/>
      <c r="GE3079" s="1"/>
      <c r="GF3079" s="1"/>
      <c r="GG3079" s="1"/>
      <c r="GH3079" s="1"/>
      <c r="GI3079" s="1"/>
      <c r="GJ3079" s="1"/>
      <c r="GK3079" s="1"/>
      <c r="GL3079" s="1"/>
      <c r="GM3079" s="1"/>
      <c r="GN3079" s="1"/>
      <c r="GO3079" s="1"/>
      <c r="GP3079" s="1"/>
      <c r="GQ3079" s="1"/>
      <c r="GR3079" s="1"/>
      <c r="GS3079" s="1"/>
      <c r="GT3079" s="1"/>
      <c r="GU3079" s="1"/>
      <c r="GV3079" s="1"/>
      <c r="GW3079" s="1"/>
      <c r="GX3079" s="1"/>
      <c r="GY3079" s="1"/>
      <c r="GZ3079" s="1"/>
      <c r="HA3079" s="1"/>
      <c r="HB3079" s="1"/>
      <c r="HC3079" s="1"/>
      <c r="HD3079" s="1"/>
      <c r="HE3079" s="1"/>
      <c r="HF3079" s="1"/>
      <c r="HG3079" s="1"/>
      <c r="HH3079" s="1"/>
      <c r="HI3079" s="1"/>
      <c r="HJ3079" s="1"/>
      <c r="HK3079" s="1"/>
      <c r="HL3079" s="1"/>
      <c r="HM3079" s="1"/>
      <c r="HN3079" s="1"/>
      <c r="HO3079" s="1"/>
      <c r="HP3079" s="1"/>
      <c r="HQ3079" s="1"/>
    </row>
    <row r="3080" spans="1:225" x14ac:dyDescent="0.35">
      <c r="B3080" s="94"/>
      <c r="D3080" s="94"/>
      <c r="E3080" s="94"/>
      <c r="F3080" s="94"/>
      <c r="K3080" s="170"/>
      <c r="L3080" s="1"/>
      <c r="M3080" s="1"/>
      <c r="N3080" s="1"/>
      <c r="O3080" s="1"/>
      <c r="P3080" s="1"/>
      <c r="Q3080" s="1"/>
      <c r="R3080" s="1"/>
      <c r="S3080" s="1"/>
      <c r="T3080" s="1"/>
      <c r="U3080" s="1"/>
      <c r="V3080" s="1"/>
      <c r="W3080" s="1"/>
      <c r="X3080" s="1"/>
      <c r="Y3080" s="1"/>
      <c r="Z3080" s="1"/>
      <c r="AA3080" s="1"/>
      <c r="AB3080" s="1"/>
      <c r="AC3080" s="1"/>
      <c r="AD3080" s="1"/>
      <c r="AE3080" s="1"/>
      <c r="AF3080" s="1"/>
      <c r="AG3080" s="1"/>
      <c r="AH3080" s="1"/>
      <c r="AI3080" s="1"/>
      <c r="AJ3080" s="1"/>
      <c r="AK3080" s="1"/>
      <c r="AL3080" s="1"/>
      <c r="AM3080" s="1"/>
      <c r="AN3080" s="1"/>
      <c r="AO3080" s="1"/>
      <c r="AP3080" s="1"/>
      <c r="AQ3080" s="1"/>
      <c r="AR3080" s="1"/>
      <c r="AS3080" s="1"/>
      <c r="AT3080" s="1"/>
      <c r="AU3080" s="1"/>
      <c r="AV3080" s="1"/>
      <c r="AW3080" s="1"/>
      <c r="AX3080" s="1"/>
      <c r="AY3080" s="1"/>
      <c r="AZ3080" s="1"/>
      <c r="BA3080" s="1"/>
      <c r="BB3080" s="1"/>
      <c r="BC3080" s="1"/>
      <c r="BD3080" s="1"/>
      <c r="BE3080" s="1"/>
      <c r="BF3080" s="1"/>
      <c r="BG3080" s="1"/>
      <c r="BH3080" s="1"/>
      <c r="BI3080" s="1"/>
      <c r="BJ3080" s="1"/>
      <c r="BK3080" s="1"/>
      <c r="BL3080" s="1"/>
      <c r="BM3080" s="1"/>
      <c r="BN3080" s="1"/>
      <c r="BO3080" s="1"/>
      <c r="BP3080" s="1"/>
      <c r="BQ3080" s="1"/>
      <c r="BR3080" s="1"/>
      <c r="BS3080" s="1"/>
      <c r="BT3080" s="1"/>
      <c r="BU3080" s="1"/>
      <c r="BV3080" s="1"/>
      <c r="BW3080" s="1"/>
      <c r="BX3080" s="1"/>
      <c r="BY3080" s="1"/>
      <c r="BZ3080" s="1"/>
      <c r="CA3080" s="1"/>
      <c r="CB3080" s="1"/>
      <c r="CC3080" s="1"/>
      <c r="CD3080" s="1"/>
      <c r="CE3080" s="1"/>
      <c r="CF3080" s="1"/>
      <c r="CG3080" s="1"/>
      <c r="CH3080" s="1"/>
      <c r="CI3080" s="1"/>
      <c r="CJ3080" s="1"/>
      <c r="CK3080" s="1"/>
      <c r="CL3080" s="1"/>
      <c r="CM3080" s="1"/>
      <c r="CN3080" s="1"/>
      <c r="CO3080" s="1"/>
      <c r="CP3080" s="1"/>
      <c r="CQ3080" s="1"/>
      <c r="CR3080" s="1"/>
      <c r="CS3080" s="1"/>
      <c r="CT3080" s="1"/>
      <c r="CU3080" s="1"/>
      <c r="CV3080" s="1"/>
      <c r="CW3080" s="1"/>
      <c r="CX3080" s="1"/>
      <c r="CY3080" s="1"/>
      <c r="CZ3080" s="1"/>
      <c r="DA3080" s="1"/>
      <c r="DB3080" s="1"/>
      <c r="DC3080" s="1"/>
      <c r="DD3080" s="1"/>
      <c r="DE3080" s="1"/>
      <c r="DF3080" s="1"/>
      <c r="DG3080" s="1"/>
      <c r="DH3080" s="1"/>
      <c r="DI3080" s="1"/>
      <c r="DJ3080" s="1"/>
      <c r="DK3080" s="1"/>
      <c r="DL3080" s="1"/>
      <c r="DM3080" s="1"/>
      <c r="DN3080" s="1"/>
      <c r="DO3080" s="1"/>
      <c r="DP3080" s="1"/>
      <c r="DQ3080" s="1"/>
      <c r="DR3080" s="1"/>
      <c r="DS3080" s="1"/>
      <c r="DT3080" s="1"/>
      <c r="DU3080" s="1"/>
      <c r="DV3080" s="1"/>
      <c r="DW3080" s="1"/>
      <c r="DX3080" s="1"/>
      <c r="DY3080" s="1"/>
      <c r="DZ3080" s="1"/>
      <c r="EA3080" s="1"/>
      <c r="EB3080" s="1"/>
      <c r="EC3080" s="1"/>
      <c r="ED3080" s="1"/>
      <c r="EE3080" s="1"/>
      <c r="EF3080" s="1"/>
      <c r="EG3080" s="1"/>
      <c r="EH3080" s="1"/>
      <c r="EI3080" s="1"/>
      <c r="EJ3080" s="1"/>
      <c r="EK3080" s="1"/>
      <c r="EL3080" s="1"/>
      <c r="EM3080" s="1"/>
      <c r="EN3080" s="1"/>
      <c r="EO3080" s="1"/>
      <c r="EP3080" s="1"/>
      <c r="EQ3080" s="1"/>
      <c r="ER3080" s="1"/>
      <c r="ES3080" s="1"/>
      <c r="ET3080" s="1"/>
      <c r="EU3080" s="1"/>
      <c r="EV3080" s="1"/>
      <c r="EW3080" s="1"/>
      <c r="EX3080" s="1"/>
      <c r="EY3080" s="1"/>
      <c r="EZ3080" s="1"/>
      <c r="FA3080" s="1"/>
      <c r="FB3080" s="1"/>
      <c r="FC3080" s="1"/>
      <c r="FD3080" s="1"/>
      <c r="FE3080" s="1"/>
      <c r="FF3080" s="1"/>
      <c r="FG3080" s="1"/>
      <c r="FH3080" s="1"/>
      <c r="FI3080" s="1"/>
      <c r="FJ3080" s="1"/>
      <c r="FK3080" s="1"/>
      <c r="FL3080" s="1"/>
      <c r="FM3080" s="1"/>
      <c r="FN3080" s="1"/>
      <c r="FO3080" s="1"/>
      <c r="FP3080" s="1"/>
      <c r="FQ3080" s="1"/>
      <c r="FR3080" s="1"/>
      <c r="FS3080" s="1"/>
      <c r="FT3080" s="1"/>
      <c r="FU3080" s="1"/>
      <c r="FV3080" s="1"/>
      <c r="FW3080" s="1"/>
      <c r="FX3080" s="1"/>
      <c r="FY3080" s="1"/>
      <c r="FZ3080" s="1"/>
      <c r="GA3080" s="1"/>
      <c r="GB3080" s="1"/>
      <c r="GC3080" s="1"/>
      <c r="GD3080" s="1"/>
      <c r="GE3080" s="1"/>
      <c r="GF3080" s="1"/>
      <c r="GG3080" s="1"/>
      <c r="GH3080" s="1"/>
      <c r="GI3080" s="1"/>
      <c r="GJ3080" s="1"/>
      <c r="GK3080" s="1"/>
      <c r="GL3080" s="1"/>
      <c r="GM3080" s="1"/>
      <c r="GN3080" s="1"/>
      <c r="GO3080" s="1"/>
      <c r="GP3080" s="1"/>
      <c r="GQ3080" s="1"/>
      <c r="GR3080" s="1"/>
      <c r="GS3080" s="1"/>
      <c r="GT3080" s="1"/>
      <c r="GU3080" s="1"/>
      <c r="GV3080" s="1"/>
      <c r="GW3080" s="1"/>
      <c r="GX3080" s="1"/>
      <c r="GY3080" s="1"/>
      <c r="GZ3080" s="1"/>
      <c r="HA3080" s="1"/>
      <c r="HB3080" s="1"/>
      <c r="HC3080" s="1"/>
      <c r="HD3080" s="1"/>
      <c r="HE3080" s="1"/>
      <c r="HF3080" s="1"/>
      <c r="HG3080" s="1"/>
      <c r="HH3080" s="1"/>
      <c r="HI3080" s="1"/>
      <c r="HJ3080" s="1"/>
      <c r="HK3080" s="1"/>
      <c r="HL3080" s="1"/>
      <c r="HM3080" s="1"/>
      <c r="HN3080" s="1"/>
      <c r="HO3080" s="1"/>
      <c r="HP3080" s="1"/>
      <c r="HQ3080" s="1"/>
    </row>
    <row r="3081" spans="1:225" x14ac:dyDescent="0.35">
      <c r="A3081" s="171" t="s">
        <v>17</v>
      </c>
      <c r="B3081" s="171"/>
      <c r="D3081" s="94"/>
      <c r="E3081" s="94"/>
      <c r="F3081" s="94"/>
      <c r="K3081" s="170"/>
      <c r="L3081" s="1"/>
      <c r="M3081" s="1"/>
      <c r="N3081" s="1"/>
      <c r="O3081" s="1"/>
      <c r="P3081" s="1"/>
      <c r="Q3081" s="1"/>
      <c r="R3081" s="1"/>
      <c r="S3081" s="1"/>
      <c r="T3081" s="1"/>
      <c r="U3081" s="1"/>
      <c r="V3081" s="1"/>
      <c r="W3081" s="1"/>
      <c r="X3081" s="1"/>
      <c r="Y3081" s="1"/>
      <c r="Z3081" s="1"/>
      <c r="AA3081" s="1"/>
      <c r="AB3081" s="1"/>
      <c r="AC3081" s="1"/>
      <c r="AD3081" s="1"/>
      <c r="AE3081" s="1"/>
      <c r="AF3081" s="1"/>
      <c r="AG3081" s="1"/>
      <c r="AH3081" s="1"/>
      <c r="AI3081" s="1"/>
      <c r="AJ3081" s="1"/>
      <c r="AK3081" s="1"/>
      <c r="AL3081" s="1"/>
      <c r="AM3081" s="1"/>
      <c r="AN3081" s="1"/>
      <c r="AO3081" s="1"/>
      <c r="AP3081" s="1"/>
      <c r="AQ3081" s="1"/>
      <c r="AR3081" s="1"/>
      <c r="AS3081" s="1"/>
      <c r="AT3081" s="1"/>
      <c r="AU3081" s="1"/>
      <c r="AV3081" s="1"/>
      <c r="AW3081" s="1"/>
      <c r="AX3081" s="1"/>
      <c r="AY3081" s="1"/>
      <c r="AZ3081" s="1"/>
      <c r="BA3081" s="1"/>
      <c r="BB3081" s="1"/>
      <c r="BC3081" s="1"/>
      <c r="BD3081" s="1"/>
      <c r="BE3081" s="1"/>
      <c r="BF3081" s="1"/>
      <c r="BG3081" s="1"/>
      <c r="BH3081" s="1"/>
      <c r="BI3081" s="1"/>
      <c r="BJ3081" s="1"/>
      <c r="BK3081" s="1"/>
      <c r="BL3081" s="1"/>
      <c r="BM3081" s="1"/>
      <c r="BN3081" s="1"/>
      <c r="BO3081" s="1"/>
      <c r="BP3081" s="1"/>
      <c r="BQ3081" s="1"/>
      <c r="BR3081" s="1"/>
      <c r="BS3081" s="1"/>
      <c r="BT3081" s="1"/>
      <c r="BU3081" s="1"/>
      <c r="BV3081" s="1"/>
      <c r="BW3081" s="1"/>
      <c r="BX3081" s="1"/>
      <c r="BY3081" s="1"/>
      <c r="BZ3081" s="1"/>
      <c r="CA3081" s="1"/>
      <c r="CB3081" s="1"/>
      <c r="CC3081" s="1"/>
      <c r="CD3081" s="1"/>
      <c r="CE3081" s="1"/>
      <c r="CF3081" s="1"/>
      <c r="CG3081" s="1"/>
      <c r="CH3081" s="1"/>
      <c r="CI3081" s="1"/>
      <c r="CJ3081" s="1"/>
      <c r="CK3081" s="1"/>
      <c r="CL3081" s="1"/>
      <c r="CM3081" s="1"/>
      <c r="CN3081" s="1"/>
      <c r="CO3081" s="1"/>
      <c r="CP3081" s="1"/>
      <c r="CQ3081" s="1"/>
      <c r="CR3081" s="1"/>
      <c r="CS3081" s="1"/>
      <c r="CT3081" s="1"/>
      <c r="CU3081" s="1"/>
      <c r="CV3081" s="1"/>
      <c r="CW3081" s="1"/>
      <c r="CX3081" s="1"/>
      <c r="CY3081" s="1"/>
      <c r="CZ3081" s="1"/>
      <c r="DA3081" s="1"/>
      <c r="DB3081" s="1"/>
      <c r="DC3081" s="1"/>
      <c r="DD3081" s="1"/>
      <c r="DE3081" s="1"/>
      <c r="DF3081" s="1"/>
      <c r="DG3081" s="1"/>
      <c r="DH3081" s="1"/>
      <c r="DI3081" s="1"/>
      <c r="DJ3081" s="1"/>
      <c r="DK3081" s="1"/>
      <c r="DL3081" s="1"/>
      <c r="DM3081" s="1"/>
      <c r="DN3081" s="1"/>
      <c r="DO3081" s="1"/>
      <c r="DP3081" s="1"/>
      <c r="DQ3081" s="1"/>
      <c r="DR3081" s="1"/>
      <c r="DS3081" s="1"/>
      <c r="DT3081" s="1"/>
      <c r="DU3081" s="1"/>
      <c r="DV3081" s="1"/>
      <c r="DW3081" s="1"/>
      <c r="DX3081" s="1"/>
      <c r="DY3081" s="1"/>
      <c r="DZ3081" s="1"/>
      <c r="EA3081" s="1"/>
      <c r="EB3081" s="1"/>
      <c r="EC3081" s="1"/>
      <c r="ED3081" s="1"/>
      <c r="EE3081" s="1"/>
      <c r="EF3081" s="1"/>
      <c r="EG3081" s="1"/>
      <c r="EH3081" s="1"/>
      <c r="EI3081" s="1"/>
      <c r="EJ3081" s="1"/>
      <c r="EK3081" s="1"/>
      <c r="EL3081" s="1"/>
      <c r="EM3081" s="1"/>
      <c r="EN3081" s="1"/>
      <c r="EO3081" s="1"/>
      <c r="EP3081" s="1"/>
      <c r="EQ3081" s="1"/>
      <c r="ER3081" s="1"/>
      <c r="ES3081" s="1"/>
      <c r="ET3081" s="1"/>
      <c r="EU3081" s="1"/>
      <c r="EV3081" s="1"/>
      <c r="EW3081" s="1"/>
      <c r="EX3081" s="1"/>
      <c r="EY3081" s="1"/>
      <c r="EZ3081" s="1"/>
      <c r="FA3081" s="1"/>
      <c r="FB3081" s="1"/>
      <c r="FC3081" s="1"/>
      <c r="FD3081" s="1"/>
      <c r="FE3081" s="1"/>
      <c r="FF3081" s="1"/>
      <c r="FG3081" s="1"/>
      <c r="FH3081" s="1"/>
      <c r="FI3081" s="1"/>
      <c r="FJ3081" s="1"/>
      <c r="FK3081" s="1"/>
      <c r="FL3081" s="1"/>
      <c r="FM3081" s="1"/>
      <c r="FN3081" s="1"/>
      <c r="FO3081" s="1"/>
      <c r="FP3081" s="1"/>
      <c r="FQ3081" s="1"/>
      <c r="FR3081" s="1"/>
      <c r="FS3081" s="1"/>
      <c r="FT3081" s="1"/>
      <c r="FU3081" s="1"/>
      <c r="FV3081" s="1"/>
      <c r="FW3081" s="1"/>
      <c r="FX3081" s="1"/>
      <c r="FY3081" s="1"/>
      <c r="FZ3081" s="1"/>
      <c r="GA3081" s="1"/>
      <c r="GB3081" s="1"/>
      <c r="GC3081" s="1"/>
      <c r="GD3081" s="1"/>
      <c r="GE3081" s="1"/>
      <c r="GF3081" s="1"/>
      <c r="GG3081" s="1"/>
      <c r="GH3081" s="1"/>
      <c r="GI3081" s="1"/>
      <c r="GJ3081" s="1"/>
      <c r="GK3081" s="1"/>
      <c r="GL3081" s="1"/>
      <c r="GM3081" s="1"/>
      <c r="GN3081" s="1"/>
      <c r="GO3081" s="1"/>
      <c r="GP3081" s="1"/>
      <c r="GQ3081" s="1"/>
      <c r="GR3081" s="1"/>
      <c r="GS3081" s="1"/>
      <c r="GT3081" s="1"/>
      <c r="GU3081" s="1"/>
      <c r="GV3081" s="1"/>
      <c r="GW3081" s="1"/>
      <c r="GX3081" s="1"/>
      <c r="GY3081" s="1"/>
      <c r="GZ3081" s="1"/>
      <c r="HA3081" s="1"/>
      <c r="HB3081" s="1"/>
      <c r="HC3081" s="1"/>
      <c r="HD3081" s="1"/>
      <c r="HE3081" s="1"/>
      <c r="HF3081" s="1"/>
      <c r="HG3081" s="1"/>
      <c r="HH3081" s="1"/>
      <c r="HI3081" s="1"/>
      <c r="HJ3081" s="1"/>
      <c r="HK3081" s="1"/>
      <c r="HL3081" s="1"/>
      <c r="HM3081" s="1"/>
      <c r="HN3081" s="1"/>
      <c r="HO3081" s="1"/>
      <c r="HP3081" s="1"/>
      <c r="HQ3081" s="1"/>
    </row>
    <row r="3082" spans="1:225" x14ac:dyDescent="0.35">
      <c r="A3082" s="171" t="s">
        <v>812</v>
      </c>
      <c r="B3082" s="171"/>
      <c r="D3082" s="94"/>
      <c r="E3082" s="94"/>
      <c r="F3082" s="94"/>
      <c r="K3082" s="170"/>
      <c r="L3082" s="1"/>
      <c r="M3082" s="1"/>
      <c r="N3082" s="1"/>
      <c r="O3082" s="1"/>
      <c r="P3082" s="1"/>
      <c r="Q3082" s="1"/>
      <c r="R3082" s="1"/>
      <c r="S3082" s="1"/>
      <c r="T3082" s="1"/>
      <c r="U3082" s="1"/>
      <c r="V3082" s="1"/>
      <c r="W3082" s="1"/>
      <c r="X3082" s="1"/>
      <c r="Y3082" s="1"/>
      <c r="Z3082" s="1"/>
      <c r="AA3082" s="1"/>
      <c r="AB3082" s="1"/>
      <c r="AC3082" s="1"/>
      <c r="AD3082" s="1"/>
      <c r="AE3082" s="1"/>
      <c r="AF3082" s="1"/>
      <c r="AG3082" s="1"/>
      <c r="AH3082" s="1"/>
      <c r="AI3082" s="1"/>
      <c r="AJ3082" s="1"/>
      <c r="AK3082" s="1"/>
      <c r="AL3082" s="1"/>
      <c r="AM3082" s="1"/>
      <c r="AN3082" s="1"/>
      <c r="AO3082" s="1"/>
      <c r="AP3082" s="1"/>
      <c r="AQ3082" s="1"/>
      <c r="AR3082" s="1"/>
      <c r="AS3082" s="1"/>
      <c r="AT3082" s="1"/>
      <c r="AU3082" s="1"/>
      <c r="AV3082" s="1"/>
      <c r="AW3082" s="1"/>
      <c r="AX3082" s="1"/>
      <c r="AY3082" s="1"/>
      <c r="AZ3082" s="1"/>
      <c r="BA3082" s="1"/>
      <c r="BB3082" s="1"/>
      <c r="BC3082" s="1"/>
      <c r="BD3082" s="1"/>
      <c r="BE3082" s="1"/>
      <c r="BF3082" s="1"/>
      <c r="BG3082" s="1"/>
      <c r="BH3082" s="1"/>
      <c r="BI3082" s="1"/>
      <c r="BJ3082" s="1"/>
      <c r="BK3082" s="1"/>
      <c r="BL3082" s="1"/>
      <c r="BM3082" s="1"/>
      <c r="BN3082" s="1"/>
      <c r="BO3082" s="1"/>
      <c r="BP3082" s="1"/>
      <c r="BQ3082" s="1"/>
      <c r="BR3082" s="1"/>
      <c r="BS3082" s="1"/>
      <c r="BT3082" s="1"/>
      <c r="BU3082" s="1"/>
      <c r="BV3082" s="1"/>
      <c r="BW3082" s="1"/>
      <c r="BX3082" s="1"/>
      <c r="BY3082" s="1"/>
      <c r="BZ3082" s="1"/>
      <c r="CA3082" s="1"/>
      <c r="CB3082" s="1"/>
      <c r="CC3082" s="1"/>
      <c r="CD3082" s="1"/>
      <c r="CE3082" s="1"/>
      <c r="CF3082" s="1"/>
      <c r="CG3082" s="1"/>
      <c r="CH3082" s="1"/>
      <c r="CI3082" s="1"/>
      <c r="CJ3082" s="1"/>
      <c r="CK3082" s="1"/>
      <c r="CL3082" s="1"/>
      <c r="CM3082" s="1"/>
      <c r="CN3082" s="1"/>
      <c r="CO3082" s="1"/>
      <c r="CP3082" s="1"/>
      <c r="CQ3082" s="1"/>
      <c r="CR3082" s="1"/>
      <c r="CS3082" s="1"/>
      <c r="CT3082" s="1"/>
      <c r="CU3082" s="1"/>
      <c r="CV3082" s="1"/>
      <c r="CW3082" s="1"/>
      <c r="CX3082" s="1"/>
      <c r="CY3082" s="1"/>
      <c r="CZ3082" s="1"/>
      <c r="DA3082" s="1"/>
      <c r="DB3082" s="1"/>
      <c r="DC3082" s="1"/>
      <c r="DD3082" s="1"/>
      <c r="DE3082" s="1"/>
      <c r="DF3082" s="1"/>
      <c r="DG3082" s="1"/>
      <c r="DH3082" s="1"/>
      <c r="DI3082" s="1"/>
      <c r="DJ3082" s="1"/>
      <c r="DK3082" s="1"/>
      <c r="DL3082" s="1"/>
      <c r="DM3082" s="1"/>
      <c r="DN3082" s="1"/>
      <c r="DO3082" s="1"/>
      <c r="DP3082" s="1"/>
      <c r="DQ3082" s="1"/>
      <c r="DR3082" s="1"/>
      <c r="DS3082" s="1"/>
      <c r="DT3082" s="1"/>
      <c r="DU3082" s="1"/>
      <c r="DV3082" s="1"/>
      <c r="DW3082" s="1"/>
      <c r="DX3082" s="1"/>
      <c r="DY3082" s="1"/>
      <c r="DZ3082" s="1"/>
      <c r="EA3082" s="1"/>
      <c r="EB3082" s="1"/>
      <c r="EC3082" s="1"/>
      <c r="ED3082" s="1"/>
      <c r="EE3082" s="1"/>
      <c r="EF3082" s="1"/>
      <c r="EG3082" s="1"/>
      <c r="EH3082" s="1"/>
      <c r="EI3082" s="1"/>
      <c r="EJ3082" s="1"/>
      <c r="EK3082" s="1"/>
      <c r="EL3082" s="1"/>
      <c r="EM3082" s="1"/>
      <c r="EN3082" s="1"/>
      <c r="EO3082" s="1"/>
      <c r="EP3082" s="1"/>
      <c r="EQ3082" s="1"/>
      <c r="ER3082" s="1"/>
      <c r="ES3082" s="1"/>
      <c r="ET3082" s="1"/>
      <c r="EU3082" s="1"/>
      <c r="EV3082" s="1"/>
      <c r="EW3082" s="1"/>
      <c r="EX3082" s="1"/>
      <c r="EY3082" s="1"/>
      <c r="EZ3082" s="1"/>
      <c r="FA3082" s="1"/>
      <c r="FB3082" s="1"/>
      <c r="FC3082" s="1"/>
      <c r="FD3082" s="1"/>
      <c r="FE3082" s="1"/>
      <c r="FF3082" s="1"/>
      <c r="FG3082" s="1"/>
      <c r="FH3082" s="1"/>
      <c r="FI3082" s="1"/>
      <c r="FJ3082" s="1"/>
      <c r="FK3082" s="1"/>
      <c r="FL3082" s="1"/>
      <c r="FM3082" s="1"/>
      <c r="FN3082" s="1"/>
      <c r="FO3082" s="1"/>
      <c r="FP3082" s="1"/>
      <c r="FQ3082" s="1"/>
      <c r="FR3082" s="1"/>
      <c r="FS3082" s="1"/>
      <c r="FT3082" s="1"/>
      <c r="FU3082" s="1"/>
      <c r="FV3082" s="1"/>
      <c r="FW3082" s="1"/>
      <c r="FX3082" s="1"/>
      <c r="FY3082" s="1"/>
      <c r="FZ3082" s="1"/>
      <c r="GA3082" s="1"/>
      <c r="GB3082" s="1"/>
      <c r="GC3082" s="1"/>
      <c r="GD3082" s="1"/>
      <c r="GE3082" s="1"/>
      <c r="GF3082" s="1"/>
      <c r="GG3082" s="1"/>
      <c r="GH3082" s="1"/>
      <c r="GI3082" s="1"/>
      <c r="GJ3082" s="1"/>
      <c r="GK3082" s="1"/>
      <c r="GL3082" s="1"/>
      <c r="GM3082" s="1"/>
      <c r="GN3082" s="1"/>
      <c r="GO3082" s="1"/>
      <c r="GP3082" s="1"/>
      <c r="GQ3082" s="1"/>
      <c r="GR3082" s="1"/>
      <c r="GS3082" s="1"/>
      <c r="GT3082" s="1"/>
      <c r="GU3082" s="1"/>
      <c r="GV3082" s="1"/>
      <c r="GW3082" s="1"/>
      <c r="GX3082" s="1"/>
      <c r="GY3082" s="1"/>
      <c r="GZ3082" s="1"/>
      <c r="HA3082" s="1"/>
      <c r="HB3082" s="1"/>
      <c r="HC3082" s="1"/>
      <c r="HD3082" s="1"/>
      <c r="HE3082" s="1"/>
      <c r="HF3082" s="1"/>
      <c r="HG3082" s="1"/>
      <c r="HH3082" s="1"/>
      <c r="HI3082" s="1"/>
      <c r="HJ3082" s="1"/>
      <c r="HK3082" s="1"/>
      <c r="HL3082" s="1"/>
      <c r="HM3082" s="1"/>
      <c r="HN3082" s="1"/>
      <c r="HO3082" s="1"/>
      <c r="HP3082" s="1"/>
      <c r="HQ3082" s="1"/>
    </row>
    <row r="3083" spans="1:225" x14ac:dyDescent="0.35">
      <c r="A3083" s="171" t="s">
        <v>69</v>
      </c>
      <c r="B3083" s="171"/>
      <c r="D3083" s="94"/>
      <c r="E3083" s="94"/>
      <c r="F3083" s="94"/>
      <c r="K3083" s="170"/>
      <c r="L3083" s="1"/>
      <c r="M3083" s="1"/>
      <c r="N3083" s="1"/>
      <c r="O3083" s="1"/>
      <c r="P3083" s="1"/>
      <c r="Q3083" s="1"/>
      <c r="R3083" s="1"/>
      <c r="S3083" s="1"/>
      <c r="T3083" s="1"/>
      <c r="U3083" s="1"/>
      <c r="V3083" s="1"/>
      <c r="W3083" s="1"/>
      <c r="X3083" s="1"/>
      <c r="Y3083" s="1"/>
      <c r="Z3083" s="1"/>
      <c r="AA3083" s="1"/>
      <c r="AB3083" s="1"/>
      <c r="AC3083" s="1"/>
      <c r="AD3083" s="1"/>
      <c r="AE3083" s="1"/>
      <c r="AF3083" s="1"/>
      <c r="AG3083" s="1"/>
      <c r="AH3083" s="1"/>
      <c r="AI3083" s="1"/>
      <c r="AJ3083" s="1"/>
      <c r="AK3083" s="1"/>
      <c r="AL3083" s="1"/>
      <c r="AM3083" s="1"/>
      <c r="AN3083" s="1"/>
      <c r="AO3083" s="1"/>
      <c r="AP3083" s="1"/>
      <c r="AQ3083" s="1"/>
      <c r="AR3083" s="1"/>
      <c r="AS3083" s="1"/>
      <c r="AT3083" s="1"/>
      <c r="AU3083" s="1"/>
      <c r="AV3083" s="1"/>
      <c r="AW3083" s="1"/>
      <c r="AX3083" s="1"/>
      <c r="AY3083" s="1"/>
      <c r="AZ3083" s="1"/>
      <c r="BA3083" s="1"/>
      <c r="BB3083" s="1"/>
      <c r="BC3083" s="1"/>
      <c r="BD3083" s="1"/>
      <c r="BE3083" s="1"/>
      <c r="BF3083" s="1"/>
      <c r="BG3083" s="1"/>
      <c r="BH3083" s="1"/>
      <c r="BI3083" s="1"/>
      <c r="BJ3083" s="1"/>
      <c r="BK3083" s="1"/>
      <c r="BL3083" s="1"/>
      <c r="BM3083" s="1"/>
      <c r="BN3083" s="1"/>
      <c r="BO3083" s="1"/>
      <c r="BP3083" s="1"/>
      <c r="BQ3083" s="1"/>
      <c r="BR3083" s="1"/>
      <c r="BS3083" s="1"/>
      <c r="BT3083" s="1"/>
      <c r="BU3083" s="1"/>
      <c r="BV3083" s="1"/>
      <c r="BW3083" s="1"/>
      <c r="BX3083" s="1"/>
      <c r="BY3083" s="1"/>
      <c r="BZ3083" s="1"/>
      <c r="CA3083" s="1"/>
      <c r="CB3083" s="1"/>
      <c r="CC3083" s="1"/>
      <c r="CD3083" s="1"/>
      <c r="CE3083" s="1"/>
      <c r="CF3083" s="1"/>
      <c r="CG3083" s="1"/>
      <c r="CH3083" s="1"/>
      <c r="CI3083" s="1"/>
      <c r="CJ3083" s="1"/>
      <c r="CK3083" s="1"/>
      <c r="CL3083" s="1"/>
      <c r="CM3083" s="1"/>
      <c r="CN3083" s="1"/>
      <c r="CO3083" s="1"/>
      <c r="CP3083" s="1"/>
      <c r="CQ3083" s="1"/>
      <c r="CR3083" s="1"/>
      <c r="CS3083" s="1"/>
      <c r="CT3083" s="1"/>
      <c r="CU3083" s="1"/>
      <c r="CV3083" s="1"/>
      <c r="CW3083" s="1"/>
      <c r="CX3083" s="1"/>
      <c r="CY3083" s="1"/>
      <c r="CZ3083" s="1"/>
      <c r="DA3083" s="1"/>
      <c r="DB3083" s="1"/>
      <c r="DC3083" s="1"/>
      <c r="DD3083" s="1"/>
      <c r="DE3083" s="1"/>
      <c r="DF3083" s="1"/>
      <c r="DG3083" s="1"/>
      <c r="DH3083" s="1"/>
      <c r="DI3083" s="1"/>
      <c r="DJ3083" s="1"/>
      <c r="DK3083" s="1"/>
      <c r="DL3083" s="1"/>
      <c r="DM3083" s="1"/>
      <c r="DN3083" s="1"/>
      <c r="DO3083" s="1"/>
      <c r="DP3083" s="1"/>
      <c r="DQ3083" s="1"/>
      <c r="DR3083" s="1"/>
      <c r="DS3083" s="1"/>
      <c r="DT3083" s="1"/>
      <c r="DU3083" s="1"/>
      <c r="DV3083" s="1"/>
      <c r="DW3083" s="1"/>
      <c r="DX3083" s="1"/>
      <c r="DY3083" s="1"/>
      <c r="DZ3083" s="1"/>
      <c r="EA3083" s="1"/>
      <c r="EB3083" s="1"/>
      <c r="EC3083" s="1"/>
      <c r="ED3083" s="1"/>
      <c r="EE3083" s="1"/>
      <c r="EF3083" s="1"/>
      <c r="EG3083" s="1"/>
      <c r="EH3083" s="1"/>
      <c r="EI3083" s="1"/>
      <c r="EJ3083" s="1"/>
      <c r="EK3083" s="1"/>
      <c r="EL3083" s="1"/>
      <c r="EM3083" s="1"/>
      <c r="EN3083" s="1"/>
      <c r="EO3083" s="1"/>
      <c r="EP3083" s="1"/>
      <c r="EQ3083" s="1"/>
      <c r="ER3083" s="1"/>
      <c r="ES3083" s="1"/>
      <c r="ET3083" s="1"/>
      <c r="EU3083" s="1"/>
      <c r="EV3083" s="1"/>
      <c r="EW3083" s="1"/>
      <c r="EX3083" s="1"/>
      <c r="EY3083" s="1"/>
      <c r="EZ3083" s="1"/>
      <c r="FA3083" s="1"/>
      <c r="FB3083" s="1"/>
      <c r="FC3083" s="1"/>
      <c r="FD3083" s="1"/>
      <c r="FE3083" s="1"/>
      <c r="FF3083" s="1"/>
      <c r="FG3083" s="1"/>
      <c r="FH3083" s="1"/>
      <c r="FI3083" s="1"/>
      <c r="FJ3083" s="1"/>
      <c r="FK3083" s="1"/>
      <c r="FL3083" s="1"/>
      <c r="FM3083" s="1"/>
      <c r="FN3083" s="1"/>
      <c r="FO3083" s="1"/>
      <c r="FP3083" s="1"/>
      <c r="FQ3083" s="1"/>
      <c r="FR3083" s="1"/>
      <c r="FS3083" s="1"/>
      <c r="FT3083" s="1"/>
      <c r="FU3083" s="1"/>
      <c r="FV3083" s="1"/>
      <c r="FW3083" s="1"/>
      <c r="FX3083" s="1"/>
      <c r="FY3083" s="1"/>
      <c r="FZ3083" s="1"/>
      <c r="GA3083" s="1"/>
      <c r="GB3083" s="1"/>
      <c r="GC3083" s="1"/>
      <c r="GD3083" s="1"/>
      <c r="GE3083" s="1"/>
      <c r="GF3083" s="1"/>
      <c r="GG3083" s="1"/>
      <c r="GH3083" s="1"/>
      <c r="GI3083" s="1"/>
      <c r="GJ3083" s="1"/>
      <c r="GK3083" s="1"/>
      <c r="GL3083" s="1"/>
      <c r="GM3083" s="1"/>
      <c r="GN3083" s="1"/>
      <c r="GO3083" s="1"/>
      <c r="GP3083" s="1"/>
      <c r="GQ3083" s="1"/>
      <c r="GR3083" s="1"/>
      <c r="GS3083" s="1"/>
      <c r="GT3083" s="1"/>
      <c r="GU3083" s="1"/>
      <c r="GV3083" s="1"/>
      <c r="GW3083" s="1"/>
      <c r="GX3083" s="1"/>
      <c r="GY3083" s="1"/>
      <c r="GZ3083" s="1"/>
      <c r="HA3083" s="1"/>
      <c r="HB3083" s="1"/>
      <c r="HC3083" s="1"/>
      <c r="HD3083" s="1"/>
      <c r="HE3083" s="1"/>
      <c r="HF3083" s="1"/>
      <c r="HG3083" s="1"/>
      <c r="HH3083" s="1"/>
      <c r="HI3083" s="1"/>
      <c r="HJ3083" s="1"/>
      <c r="HK3083" s="1"/>
      <c r="HL3083" s="1"/>
      <c r="HM3083" s="1"/>
      <c r="HN3083" s="1"/>
      <c r="HO3083" s="1"/>
      <c r="HP3083" s="1"/>
      <c r="HQ3083" s="1"/>
    </row>
    <row r="3095" spans="5:6" x14ac:dyDescent="0.35">
      <c r="E3095" s="7"/>
      <c r="F3095" s="7"/>
    </row>
    <row r="3096" spans="5:6" x14ac:dyDescent="0.35">
      <c r="E3096" s="7"/>
      <c r="F3096" s="7"/>
    </row>
    <row r="3097" spans="5:6" x14ac:dyDescent="0.35">
      <c r="E3097" s="7"/>
      <c r="F3097" s="7"/>
    </row>
    <row r="3098" spans="5:6" x14ac:dyDescent="0.35">
      <c r="E3098" s="7"/>
      <c r="F3098" s="7"/>
    </row>
    <row r="3099" spans="5:6" x14ac:dyDescent="0.35">
      <c r="E3099" s="7"/>
      <c r="F3099" s="7"/>
    </row>
    <row r="3100" spans="5:6" x14ac:dyDescent="0.35">
      <c r="E3100" s="7"/>
      <c r="F3100" s="7"/>
    </row>
    <row r="3101" spans="5:6" x14ac:dyDescent="0.35">
      <c r="E3101" s="7"/>
      <c r="F3101" s="7"/>
    </row>
    <row r="3102" spans="5:6" x14ac:dyDescent="0.35">
      <c r="E3102" s="7"/>
      <c r="F3102" s="7"/>
    </row>
    <row r="3103" spans="5:6" x14ac:dyDescent="0.35">
      <c r="E3103" s="7"/>
      <c r="F3103" s="7"/>
    </row>
    <row r="3104" spans="5:6" x14ac:dyDescent="0.35">
      <c r="E3104" s="7"/>
      <c r="F3104" s="7"/>
    </row>
    <row r="3105" spans="5:6" x14ac:dyDescent="0.35">
      <c r="E3105" s="7"/>
      <c r="F3105" s="7"/>
    </row>
    <row r="3106" spans="5:6" x14ac:dyDescent="0.35">
      <c r="E3106" s="7"/>
      <c r="F3106" s="7"/>
    </row>
    <row r="3107" spans="5:6" x14ac:dyDescent="0.35">
      <c r="E3107" s="7"/>
      <c r="F3107" s="7"/>
    </row>
    <row r="3108" spans="5:6" x14ac:dyDescent="0.35">
      <c r="E3108" s="7"/>
      <c r="F3108" s="7"/>
    </row>
    <row r="3109" spans="5:6" x14ac:dyDescent="0.35">
      <c r="E3109" s="7"/>
      <c r="F3109" s="7"/>
    </row>
    <row r="3110" spans="5:6" x14ac:dyDescent="0.35">
      <c r="E3110" s="7"/>
      <c r="F3110" s="7"/>
    </row>
    <row r="3111" spans="5:6" x14ac:dyDescent="0.35">
      <c r="E3111" s="7"/>
      <c r="F3111" s="7"/>
    </row>
    <row r="3123" spans="5:223" x14ac:dyDescent="0.35">
      <c r="E3123" s="7"/>
      <c r="F3123" s="7"/>
    </row>
    <row r="3124" spans="5:223" x14ac:dyDescent="0.35">
      <c r="E3124" s="7"/>
      <c r="F3124" s="7"/>
      <c r="X3124" s="9"/>
      <c r="Y3124" s="9"/>
      <c r="Z3124" s="9"/>
      <c r="AA3124" s="9"/>
      <c r="AB3124" s="9"/>
      <c r="AC3124" s="9"/>
      <c r="AD3124" s="9"/>
      <c r="AE3124" s="9"/>
      <c r="AF3124" s="9"/>
      <c r="AG3124" s="9"/>
      <c r="AH3124" s="9"/>
      <c r="AI3124" s="9"/>
      <c r="AJ3124" s="9"/>
      <c r="AK3124" s="9"/>
      <c r="AL3124" s="9"/>
      <c r="AM3124" s="9"/>
      <c r="AN3124" s="9"/>
      <c r="AO3124" s="9"/>
      <c r="AP3124" s="9"/>
      <c r="AQ3124" s="9"/>
      <c r="AR3124" s="9"/>
      <c r="AS3124" s="9"/>
      <c r="AT3124" s="9"/>
      <c r="AU3124" s="9"/>
      <c r="AV3124" s="9"/>
      <c r="AW3124" s="9"/>
      <c r="AX3124" s="9"/>
      <c r="AY3124" s="9"/>
      <c r="AZ3124" s="9"/>
      <c r="BA3124" s="9"/>
      <c r="BB3124" s="9"/>
      <c r="BC3124" s="9"/>
      <c r="BD3124" s="9"/>
      <c r="BE3124" s="9"/>
      <c r="BF3124" s="9"/>
      <c r="BG3124" s="9"/>
      <c r="BH3124" s="9"/>
      <c r="BI3124" s="9"/>
      <c r="BJ3124" s="9"/>
      <c r="BK3124" s="9"/>
      <c r="BL3124" s="9"/>
      <c r="BM3124" s="9"/>
      <c r="BN3124" s="9"/>
      <c r="BO3124" s="9"/>
      <c r="BP3124" s="9"/>
      <c r="BQ3124" s="9"/>
      <c r="BR3124" s="9"/>
      <c r="BS3124" s="9"/>
      <c r="BT3124" s="9"/>
      <c r="BU3124" s="9"/>
      <c r="BV3124" s="9"/>
      <c r="BW3124" s="9"/>
      <c r="BX3124" s="9"/>
      <c r="BY3124" s="9"/>
      <c r="BZ3124" s="9"/>
      <c r="CA3124" s="9"/>
      <c r="CB3124" s="9"/>
      <c r="CC3124" s="9"/>
      <c r="CD3124" s="9"/>
      <c r="CE3124" s="9"/>
      <c r="CF3124" s="9"/>
      <c r="CG3124" s="9"/>
      <c r="CH3124" s="9"/>
      <c r="CI3124" s="9"/>
      <c r="CJ3124" s="9"/>
      <c r="CK3124" s="9"/>
      <c r="CL3124" s="9"/>
      <c r="CM3124" s="9"/>
      <c r="CN3124" s="9"/>
      <c r="CO3124" s="9"/>
      <c r="CP3124" s="9"/>
      <c r="CQ3124" s="9"/>
      <c r="CR3124" s="9"/>
      <c r="CS3124" s="9"/>
      <c r="CT3124" s="9"/>
      <c r="CU3124" s="9"/>
      <c r="CV3124" s="9"/>
      <c r="CW3124" s="9"/>
      <c r="CX3124" s="9"/>
      <c r="CY3124" s="9"/>
      <c r="CZ3124" s="9"/>
      <c r="DA3124" s="9"/>
      <c r="DB3124" s="9"/>
      <c r="DC3124" s="9"/>
      <c r="DD3124" s="9"/>
      <c r="DE3124" s="9"/>
      <c r="DF3124" s="9"/>
      <c r="DG3124" s="9"/>
      <c r="DH3124" s="9"/>
      <c r="DI3124" s="9"/>
      <c r="DJ3124" s="9"/>
      <c r="DK3124" s="9"/>
      <c r="DL3124" s="9"/>
      <c r="DM3124" s="9"/>
      <c r="DN3124" s="9"/>
      <c r="DO3124" s="9"/>
      <c r="DP3124" s="9"/>
      <c r="DQ3124" s="9"/>
      <c r="DR3124" s="9"/>
      <c r="DS3124" s="9"/>
      <c r="DT3124" s="9"/>
      <c r="DU3124" s="9"/>
      <c r="DV3124" s="9"/>
      <c r="DW3124" s="9"/>
      <c r="DX3124" s="9"/>
      <c r="DY3124" s="9"/>
      <c r="DZ3124" s="9"/>
      <c r="EA3124" s="9"/>
      <c r="EB3124" s="9"/>
      <c r="EC3124" s="9"/>
      <c r="ED3124" s="9"/>
      <c r="EE3124" s="9"/>
      <c r="EF3124" s="9"/>
      <c r="EG3124" s="9"/>
      <c r="EH3124" s="9"/>
      <c r="EI3124" s="9"/>
      <c r="EJ3124" s="9"/>
      <c r="EK3124" s="9"/>
      <c r="EL3124" s="9"/>
      <c r="EM3124" s="9"/>
      <c r="EN3124" s="9"/>
      <c r="EO3124" s="9"/>
      <c r="EP3124" s="9"/>
      <c r="EQ3124" s="9"/>
      <c r="ER3124" s="9"/>
      <c r="ES3124" s="9"/>
      <c r="ET3124" s="9"/>
      <c r="EU3124" s="9"/>
      <c r="EV3124" s="9"/>
      <c r="EW3124" s="9"/>
      <c r="EX3124" s="9"/>
      <c r="EY3124" s="9"/>
      <c r="EZ3124" s="9"/>
      <c r="FA3124" s="9"/>
      <c r="FB3124" s="9"/>
      <c r="FC3124" s="9"/>
      <c r="FD3124" s="9"/>
      <c r="FE3124" s="9"/>
      <c r="FF3124" s="9"/>
      <c r="FG3124" s="9"/>
      <c r="FH3124" s="9"/>
      <c r="FI3124" s="9"/>
      <c r="FJ3124" s="9"/>
      <c r="FK3124" s="9"/>
      <c r="FL3124" s="9"/>
      <c r="FM3124" s="9"/>
      <c r="FN3124" s="9"/>
      <c r="FO3124" s="9"/>
      <c r="FP3124" s="9"/>
      <c r="FQ3124" s="9"/>
      <c r="FR3124" s="9"/>
      <c r="FS3124" s="9"/>
      <c r="FT3124" s="9"/>
      <c r="FU3124" s="9"/>
      <c r="FV3124" s="9"/>
      <c r="FW3124" s="9"/>
      <c r="FX3124" s="9"/>
      <c r="FY3124" s="9"/>
      <c r="FZ3124" s="9"/>
      <c r="GA3124" s="9"/>
      <c r="GB3124" s="9"/>
      <c r="GC3124" s="9"/>
      <c r="GD3124" s="9"/>
      <c r="GE3124" s="9"/>
      <c r="GF3124" s="9"/>
      <c r="GG3124" s="9"/>
      <c r="GH3124" s="9"/>
      <c r="GI3124" s="9"/>
      <c r="GJ3124" s="9"/>
      <c r="GK3124" s="9"/>
      <c r="GL3124" s="9"/>
      <c r="GM3124" s="9"/>
      <c r="GN3124" s="9"/>
      <c r="GO3124" s="9"/>
      <c r="GP3124" s="9"/>
      <c r="GQ3124" s="9"/>
      <c r="GR3124" s="9"/>
      <c r="GS3124" s="9"/>
      <c r="GT3124" s="9"/>
      <c r="GU3124" s="9"/>
      <c r="GV3124" s="9"/>
      <c r="GW3124" s="9"/>
      <c r="GX3124" s="9"/>
      <c r="GY3124" s="9"/>
      <c r="GZ3124" s="9"/>
      <c r="HA3124" s="9"/>
      <c r="HB3124" s="9"/>
      <c r="HC3124" s="9"/>
      <c r="HD3124" s="9"/>
      <c r="HE3124" s="9"/>
      <c r="HF3124" s="9"/>
      <c r="HG3124" s="9"/>
      <c r="HH3124" s="9"/>
      <c r="HI3124" s="9"/>
      <c r="HJ3124" s="9"/>
      <c r="HK3124" s="9"/>
      <c r="HL3124" s="9"/>
      <c r="HM3124" s="9"/>
      <c r="HN3124" s="9"/>
      <c r="HO3124" s="9"/>
    </row>
    <row r="3125" spans="5:223" x14ac:dyDescent="0.35">
      <c r="E3125" s="7"/>
      <c r="F3125" s="7"/>
      <c r="X3125" s="9"/>
      <c r="Y3125" s="9"/>
      <c r="Z3125" s="9"/>
      <c r="AA3125" s="9"/>
      <c r="AB3125" s="9"/>
      <c r="AC3125" s="9"/>
      <c r="AD3125" s="9"/>
      <c r="AE3125" s="9"/>
      <c r="AF3125" s="9"/>
      <c r="AG3125" s="9"/>
      <c r="AH3125" s="9"/>
      <c r="AI3125" s="9"/>
      <c r="AJ3125" s="9"/>
      <c r="AK3125" s="9"/>
      <c r="AL3125" s="9"/>
      <c r="AM3125" s="9"/>
      <c r="AN3125" s="9"/>
      <c r="AO3125" s="9"/>
      <c r="AP3125" s="9"/>
      <c r="AQ3125" s="9"/>
      <c r="AR3125" s="9"/>
      <c r="AS3125" s="9"/>
      <c r="AT3125" s="9"/>
      <c r="AU3125" s="9"/>
      <c r="AV3125" s="9"/>
      <c r="AW3125" s="9"/>
      <c r="AX3125" s="9"/>
      <c r="AY3125" s="9"/>
      <c r="AZ3125" s="9"/>
      <c r="BA3125" s="9"/>
      <c r="BB3125" s="9"/>
      <c r="BC3125" s="9"/>
      <c r="BD3125" s="9"/>
      <c r="BE3125" s="9"/>
      <c r="BF3125" s="9"/>
      <c r="BG3125" s="9"/>
      <c r="BH3125" s="9"/>
      <c r="BI3125" s="9"/>
      <c r="BJ3125" s="9"/>
      <c r="BK3125" s="9"/>
      <c r="BL3125" s="9"/>
      <c r="BM3125" s="9"/>
      <c r="BN3125" s="9"/>
      <c r="BO3125" s="9"/>
      <c r="BP3125" s="9"/>
      <c r="BQ3125" s="9"/>
      <c r="BR3125" s="9"/>
      <c r="BS3125" s="9"/>
      <c r="BT3125" s="9"/>
      <c r="BU3125" s="9"/>
      <c r="BV3125" s="9"/>
      <c r="BW3125" s="9"/>
      <c r="BX3125" s="9"/>
      <c r="BY3125" s="9"/>
      <c r="BZ3125" s="9"/>
      <c r="CA3125" s="9"/>
      <c r="CB3125" s="9"/>
      <c r="CC3125" s="9"/>
      <c r="CD3125" s="9"/>
      <c r="CE3125" s="9"/>
      <c r="CF3125" s="9"/>
      <c r="CG3125" s="9"/>
      <c r="CH3125" s="9"/>
      <c r="CI3125" s="9"/>
      <c r="CJ3125" s="9"/>
      <c r="CK3125" s="9"/>
      <c r="CL3125" s="9"/>
      <c r="CM3125" s="9"/>
      <c r="CN3125" s="9"/>
      <c r="CO3125" s="9"/>
      <c r="CP3125" s="9"/>
      <c r="CQ3125" s="9"/>
      <c r="CR3125" s="9"/>
      <c r="CS3125" s="9"/>
      <c r="CT3125" s="9"/>
      <c r="CU3125" s="9"/>
      <c r="CV3125" s="9"/>
      <c r="CW3125" s="9"/>
      <c r="CX3125" s="9"/>
      <c r="CY3125" s="9"/>
      <c r="CZ3125" s="9"/>
      <c r="DA3125" s="9"/>
      <c r="DB3125" s="9"/>
      <c r="DC3125" s="9"/>
      <c r="DD3125" s="9"/>
      <c r="DE3125" s="9"/>
      <c r="DF3125" s="9"/>
      <c r="DG3125" s="9"/>
      <c r="DH3125" s="9"/>
      <c r="DI3125" s="9"/>
      <c r="DJ3125" s="9"/>
      <c r="DK3125" s="9"/>
      <c r="DL3125" s="9"/>
      <c r="DM3125" s="9"/>
      <c r="DN3125" s="9"/>
      <c r="DO3125" s="9"/>
      <c r="DP3125" s="9"/>
      <c r="DQ3125" s="9"/>
      <c r="DR3125" s="9"/>
      <c r="DS3125" s="9"/>
      <c r="DT3125" s="9"/>
      <c r="DU3125" s="9"/>
      <c r="DV3125" s="9"/>
      <c r="DW3125" s="9"/>
      <c r="DX3125" s="9"/>
      <c r="DY3125" s="9"/>
      <c r="DZ3125" s="9"/>
      <c r="EA3125" s="9"/>
      <c r="EB3125" s="9"/>
      <c r="EC3125" s="9"/>
      <c r="ED3125" s="9"/>
      <c r="EE3125" s="9"/>
      <c r="EF3125" s="9"/>
      <c r="EG3125" s="9"/>
      <c r="EH3125" s="9"/>
      <c r="EI3125" s="9"/>
      <c r="EJ3125" s="9"/>
      <c r="EK3125" s="9"/>
      <c r="EL3125" s="9"/>
      <c r="EM3125" s="9"/>
      <c r="EN3125" s="9"/>
      <c r="EO3125" s="9"/>
      <c r="EP3125" s="9"/>
      <c r="EQ3125" s="9"/>
      <c r="ER3125" s="9"/>
      <c r="ES3125" s="9"/>
      <c r="ET3125" s="9"/>
      <c r="EU3125" s="9"/>
      <c r="EV3125" s="9"/>
      <c r="EW3125" s="9"/>
      <c r="EX3125" s="9"/>
      <c r="EY3125" s="9"/>
      <c r="EZ3125" s="9"/>
      <c r="FA3125" s="9"/>
      <c r="FB3125" s="9"/>
      <c r="FC3125" s="9"/>
      <c r="FD3125" s="9"/>
      <c r="FE3125" s="9"/>
      <c r="FF3125" s="9"/>
      <c r="FG3125" s="9"/>
      <c r="FH3125" s="9"/>
      <c r="FI3125" s="9"/>
      <c r="FJ3125" s="9"/>
      <c r="FK3125" s="9"/>
      <c r="FL3125" s="9"/>
      <c r="FM3125" s="9"/>
      <c r="FN3125" s="9"/>
      <c r="FO3125" s="9"/>
      <c r="FP3125" s="9"/>
      <c r="FQ3125" s="9"/>
      <c r="FR3125" s="9"/>
      <c r="FS3125" s="9"/>
      <c r="FT3125" s="9"/>
      <c r="FU3125" s="9"/>
      <c r="FV3125" s="9"/>
      <c r="FW3125" s="9"/>
      <c r="FX3125" s="9"/>
      <c r="FY3125" s="9"/>
      <c r="FZ3125" s="9"/>
      <c r="GA3125" s="9"/>
      <c r="GB3125" s="9"/>
      <c r="GC3125" s="9"/>
      <c r="GD3125" s="9"/>
      <c r="GE3125" s="9"/>
      <c r="GF3125" s="9"/>
      <c r="GG3125" s="9"/>
      <c r="GH3125" s="9"/>
      <c r="GI3125" s="9"/>
      <c r="GJ3125" s="9"/>
      <c r="GK3125" s="9"/>
      <c r="GL3125" s="9"/>
      <c r="GM3125" s="9"/>
      <c r="GN3125" s="9"/>
      <c r="GO3125" s="9"/>
      <c r="GP3125" s="9"/>
      <c r="GQ3125" s="9"/>
      <c r="GR3125" s="9"/>
      <c r="GS3125" s="9"/>
      <c r="GT3125" s="9"/>
      <c r="GU3125" s="9"/>
      <c r="GV3125" s="9"/>
      <c r="GW3125" s="9"/>
      <c r="GX3125" s="9"/>
      <c r="GY3125" s="9"/>
      <c r="GZ3125" s="9"/>
      <c r="HA3125" s="9"/>
      <c r="HB3125" s="9"/>
      <c r="HC3125" s="9"/>
      <c r="HD3125" s="9"/>
      <c r="HE3125" s="9"/>
      <c r="HF3125" s="9"/>
      <c r="HG3125" s="9"/>
      <c r="HH3125" s="9"/>
      <c r="HI3125" s="9"/>
      <c r="HJ3125" s="9"/>
      <c r="HK3125" s="9"/>
      <c r="HL3125" s="9"/>
      <c r="HM3125" s="9"/>
      <c r="HN3125" s="9"/>
      <c r="HO3125" s="9"/>
    </row>
    <row r="3126" spans="5:223" x14ac:dyDescent="0.35">
      <c r="E3126" s="7"/>
      <c r="F3126" s="7"/>
      <c r="X3126" s="9"/>
      <c r="Y3126" s="9"/>
      <c r="Z3126" s="9"/>
      <c r="AA3126" s="9"/>
      <c r="AB3126" s="9"/>
      <c r="AC3126" s="9"/>
      <c r="AD3126" s="9"/>
      <c r="AE3126" s="9"/>
      <c r="AF3126" s="9"/>
      <c r="AG3126" s="9"/>
      <c r="AH3126" s="9"/>
      <c r="AI3126" s="9"/>
      <c r="AJ3126" s="9"/>
      <c r="AK3126" s="9"/>
      <c r="AL3126" s="9"/>
      <c r="AM3126" s="9"/>
      <c r="AN3126" s="9"/>
      <c r="AO3126" s="9"/>
      <c r="AP3126" s="9"/>
      <c r="AQ3126" s="9"/>
      <c r="AR3126" s="9"/>
      <c r="AS3126" s="9"/>
      <c r="AT3126" s="9"/>
      <c r="AU3126" s="9"/>
      <c r="AV3126" s="9"/>
      <c r="AW3126" s="9"/>
      <c r="AX3126" s="9"/>
      <c r="AY3126" s="9"/>
      <c r="AZ3126" s="9"/>
      <c r="BA3126" s="9"/>
      <c r="BB3126" s="9"/>
      <c r="BC3126" s="9"/>
      <c r="BD3126" s="9"/>
      <c r="BE3126" s="9"/>
      <c r="BF3126" s="9"/>
      <c r="BG3126" s="9"/>
      <c r="BH3126" s="9"/>
      <c r="BI3126" s="9"/>
      <c r="BJ3126" s="9"/>
      <c r="BK3126" s="9"/>
      <c r="BL3126" s="9"/>
      <c r="BM3126" s="9"/>
      <c r="BN3126" s="9"/>
      <c r="BO3126" s="9"/>
      <c r="BP3126" s="9"/>
      <c r="BQ3126" s="9"/>
      <c r="BR3126" s="9"/>
      <c r="BS3126" s="9"/>
      <c r="BT3126" s="9"/>
      <c r="BU3126" s="9"/>
      <c r="BV3126" s="9"/>
      <c r="BW3126" s="9"/>
      <c r="BX3126" s="9"/>
      <c r="BY3126" s="9"/>
      <c r="BZ3126" s="9"/>
      <c r="CA3126" s="9"/>
      <c r="CB3126" s="9"/>
      <c r="CC3126" s="9"/>
      <c r="CD3126" s="9"/>
      <c r="CE3126" s="9"/>
      <c r="CF3126" s="9"/>
      <c r="CG3126" s="9"/>
      <c r="CH3126" s="9"/>
      <c r="CI3126" s="9"/>
      <c r="CJ3126" s="9"/>
      <c r="CK3126" s="9"/>
      <c r="CL3126" s="9"/>
      <c r="CM3126" s="9"/>
      <c r="CN3126" s="9"/>
      <c r="CO3126" s="9"/>
      <c r="CP3126" s="9"/>
      <c r="CQ3126" s="9"/>
      <c r="CR3126" s="9"/>
      <c r="CS3126" s="9"/>
      <c r="CT3126" s="9"/>
      <c r="CU3126" s="9"/>
      <c r="CV3126" s="9"/>
      <c r="CW3126" s="9"/>
      <c r="CX3126" s="9"/>
      <c r="CY3126" s="9"/>
      <c r="CZ3126" s="9"/>
      <c r="DA3126" s="9"/>
      <c r="DB3126" s="9"/>
      <c r="DC3126" s="9"/>
      <c r="DD3126" s="9"/>
      <c r="DE3126" s="9"/>
      <c r="DF3126" s="9"/>
      <c r="DG3126" s="9"/>
      <c r="DH3126" s="9"/>
      <c r="DI3126" s="9"/>
      <c r="DJ3126" s="9"/>
      <c r="DK3126" s="9"/>
      <c r="DL3126" s="9"/>
      <c r="DM3126" s="9"/>
      <c r="DN3126" s="9"/>
      <c r="DO3126" s="9"/>
      <c r="DP3126" s="9"/>
      <c r="DQ3126" s="9"/>
      <c r="DR3126" s="9"/>
      <c r="DS3126" s="9"/>
      <c r="DT3126" s="9"/>
      <c r="DU3126" s="9"/>
      <c r="DV3126" s="9"/>
      <c r="DW3126" s="9"/>
      <c r="DX3126" s="9"/>
      <c r="DY3126" s="9"/>
      <c r="DZ3126" s="9"/>
      <c r="EA3126" s="9"/>
      <c r="EB3126" s="9"/>
      <c r="EC3126" s="9"/>
      <c r="ED3126" s="9"/>
      <c r="EE3126" s="9"/>
      <c r="EF3126" s="9"/>
      <c r="EG3126" s="9"/>
      <c r="EH3126" s="9"/>
      <c r="EI3126" s="9"/>
      <c r="EJ3126" s="9"/>
      <c r="EK3126" s="9"/>
      <c r="EL3126" s="9"/>
      <c r="EM3126" s="9"/>
      <c r="EN3126" s="9"/>
      <c r="EO3126" s="9"/>
      <c r="EP3126" s="9"/>
      <c r="EQ3126" s="9"/>
      <c r="ER3126" s="9"/>
      <c r="ES3126" s="9"/>
      <c r="ET3126" s="9"/>
      <c r="EU3126" s="9"/>
      <c r="EV3126" s="9"/>
      <c r="EW3126" s="9"/>
      <c r="EX3126" s="9"/>
      <c r="EY3126" s="9"/>
      <c r="EZ3126" s="9"/>
      <c r="FA3126" s="9"/>
      <c r="FB3126" s="9"/>
      <c r="FC3126" s="9"/>
      <c r="FD3126" s="9"/>
      <c r="FE3126" s="9"/>
      <c r="FF3126" s="9"/>
      <c r="FG3126" s="9"/>
      <c r="FH3126" s="9"/>
      <c r="FI3126" s="9"/>
      <c r="FJ3126" s="9"/>
      <c r="FK3126" s="9"/>
      <c r="FL3126" s="9"/>
      <c r="FM3126" s="9"/>
      <c r="FN3126" s="9"/>
      <c r="FO3126" s="9"/>
      <c r="FP3126" s="9"/>
      <c r="FQ3126" s="9"/>
      <c r="FR3126" s="9"/>
      <c r="FS3126" s="9"/>
      <c r="FT3126" s="9"/>
      <c r="FU3126" s="9"/>
      <c r="FV3126" s="9"/>
      <c r="FW3126" s="9"/>
      <c r="FX3126" s="9"/>
      <c r="FY3126" s="9"/>
      <c r="FZ3126" s="9"/>
      <c r="GA3126" s="9"/>
      <c r="GB3126" s="9"/>
      <c r="GC3126" s="9"/>
      <c r="GD3126" s="9"/>
      <c r="GE3126" s="9"/>
      <c r="GF3126" s="9"/>
      <c r="GG3126" s="9"/>
      <c r="GH3126" s="9"/>
      <c r="GI3126" s="9"/>
      <c r="GJ3126" s="9"/>
      <c r="GK3126" s="9"/>
      <c r="GL3126" s="9"/>
      <c r="GM3126" s="9"/>
      <c r="GN3126" s="9"/>
      <c r="GO3126" s="9"/>
      <c r="GP3126" s="9"/>
      <c r="GQ3126" s="9"/>
      <c r="GR3126" s="9"/>
      <c r="GS3126" s="9"/>
      <c r="GT3126" s="9"/>
      <c r="GU3126" s="9"/>
      <c r="GV3126" s="9"/>
      <c r="GW3126" s="9"/>
      <c r="GX3126" s="9"/>
      <c r="GY3126" s="9"/>
      <c r="GZ3126" s="9"/>
      <c r="HA3126" s="9"/>
      <c r="HB3126" s="9"/>
      <c r="HC3126" s="9"/>
      <c r="HD3126" s="9"/>
      <c r="HE3126" s="9"/>
      <c r="HF3126" s="9"/>
      <c r="HG3126" s="9"/>
      <c r="HH3126" s="9"/>
      <c r="HI3126" s="9"/>
      <c r="HJ3126" s="9"/>
      <c r="HK3126" s="9"/>
      <c r="HL3126" s="9"/>
      <c r="HM3126" s="9"/>
      <c r="HN3126" s="9"/>
      <c r="HO3126" s="9"/>
    </row>
    <row r="3127" spans="5:223" x14ac:dyDescent="0.35">
      <c r="E3127" s="7"/>
      <c r="F3127" s="7"/>
      <c r="X3127" s="9"/>
      <c r="Y3127" s="9"/>
      <c r="Z3127" s="9"/>
      <c r="AA3127" s="9"/>
      <c r="AB3127" s="9"/>
      <c r="AC3127" s="9"/>
      <c r="AD3127" s="9"/>
      <c r="AE3127" s="9"/>
      <c r="AF3127" s="9"/>
      <c r="AG3127" s="9"/>
      <c r="AH3127" s="9"/>
      <c r="AI3127" s="9"/>
      <c r="AJ3127" s="9"/>
      <c r="AK3127" s="9"/>
      <c r="AL3127" s="9"/>
      <c r="AM3127" s="9"/>
      <c r="AN3127" s="9"/>
      <c r="AO3127" s="9"/>
      <c r="AP3127" s="9"/>
      <c r="AQ3127" s="9"/>
      <c r="AR3127" s="9"/>
      <c r="AS3127" s="9"/>
      <c r="AT3127" s="9"/>
      <c r="AU3127" s="9"/>
      <c r="AV3127" s="9"/>
      <c r="AW3127" s="9"/>
      <c r="AX3127" s="9"/>
      <c r="AY3127" s="9"/>
      <c r="AZ3127" s="9"/>
      <c r="BA3127" s="9"/>
      <c r="BB3127" s="9"/>
      <c r="BC3127" s="9"/>
      <c r="BD3127" s="9"/>
      <c r="BE3127" s="9"/>
      <c r="BF3127" s="9"/>
      <c r="BG3127" s="9"/>
      <c r="BH3127" s="9"/>
      <c r="BI3127" s="9"/>
      <c r="BJ3127" s="9"/>
      <c r="BK3127" s="9"/>
      <c r="BL3127" s="9"/>
      <c r="BM3127" s="9"/>
      <c r="BN3127" s="9"/>
      <c r="BO3127" s="9"/>
      <c r="BP3127" s="9"/>
      <c r="BQ3127" s="9"/>
      <c r="BR3127" s="9"/>
      <c r="BS3127" s="9"/>
      <c r="BT3127" s="9"/>
      <c r="BU3127" s="9"/>
      <c r="BV3127" s="9"/>
      <c r="BW3127" s="9"/>
      <c r="BX3127" s="9"/>
      <c r="BY3127" s="9"/>
      <c r="BZ3127" s="9"/>
      <c r="CA3127" s="9"/>
      <c r="CB3127" s="9"/>
      <c r="CC3127" s="9"/>
      <c r="CD3127" s="9"/>
      <c r="CE3127" s="9"/>
      <c r="CF3127" s="9"/>
      <c r="CG3127" s="9"/>
      <c r="CH3127" s="9"/>
      <c r="CI3127" s="9"/>
      <c r="CJ3127" s="9"/>
      <c r="CK3127" s="9"/>
      <c r="CL3127" s="9"/>
      <c r="CM3127" s="9"/>
      <c r="CN3127" s="9"/>
      <c r="CO3127" s="9"/>
      <c r="CP3127" s="9"/>
      <c r="CQ3127" s="9"/>
      <c r="CR3127" s="9"/>
      <c r="CS3127" s="9"/>
      <c r="CT3127" s="9"/>
      <c r="CU3127" s="9"/>
      <c r="CV3127" s="9"/>
      <c r="CW3127" s="9"/>
      <c r="CX3127" s="9"/>
      <c r="CY3127" s="9"/>
      <c r="CZ3127" s="9"/>
      <c r="DA3127" s="9"/>
      <c r="DB3127" s="9"/>
      <c r="DC3127" s="9"/>
      <c r="DD3127" s="9"/>
      <c r="DE3127" s="9"/>
      <c r="DF3127" s="9"/>
      <c r="DG3127" s="9"/>
      <c r="DH3127" s="9"/>
      <c r="DI3127" s="9"/>
      <c r="DJ3127" s="9"/>
      <c r="DK3127" s="9"/>
      <c r="DL3127" s="9"/>
      <c r="DM3127" s="9"/>
      <c r="DN3127" s="9"/>
      <c r="DO3127" s="9"/>
      <c r="DP3127" s="9"/>
      <c r="DQ3127" s="9"/>
      <c r="DR3127" s="9"/>
      <c r="DS3127" s="9"/>
      <c r="DT3127" s="9"/>
      <c r="DU3127" s="9"/>
      <c r="DV3127" s="9"/>
      <c r="DW3127" s="9"/>
      <c r="DX3127" s="9"/>
      <c r="DY3127" s="9"/>
      <c r="DZ3127" s="9"/>
      <c r="EA3127" s="9"/>
      <c r="EB3127" s="9"/>
      <c r="EC3127" s="9"/>
      <c r="ED3127" s="9"/>
      <c r="EE3127" s="9"/>
      <c r="EF3127" s="9"/>
      <c r="EG3127" s="9"/>
      <c r="EH3127" s="9"/>
      <c r="EI3127" s="9"/>
      <c r="EJ3127" s="9"/>
      <c r="EK3127" s="9"/>
      <c r="EL3127" s="9"/>
      <c r="EM3127" s="9"/>
      <c r="EN3127" s="9"/>
      <c r="EO3127" s="9"/>
      <c r="EP3127" s="9"/>
      <c r="EQ3127" s="9"/>
      <c r="ER3127" s="9"/>
      <c r="ES3127" s="9"/>
      <c r="ET3127" s="9"/>
      <c r="EU3127" s="9"/>
      <c r="EV3127" s="9"/>
      <c r="EW3127" s="9"/>
      <c r="EX3127" s="9"/>
      <c r="EY3127" s="9"/>
      <c r="EZ3127" s="9"/>
      <c r="FA3127" s="9"/>
      <c r="FB3127" s="9"/>
      <c r="FC3127" s="9"/>
      <c r="FD3127" s="9"/>
      <c r="FE3127" s="9"/>
      <c r="FF3127" s="9"/>
      <c r="FG3127" s="9"/>
      <c r="FH3127" s="9"/>
      <c r="FI3127" s="9"/>
      <c r="FJ3127" s="9"/>
      <c r="FK3127" s="9"/>
      <c r="FL3127" s="9"/>
      <c r="FM3127" s="9"/>
      <c r="FN3127" s="9"/>
      <c r="FO3127" s="9"/>
      <c r="FP3127" s="9"/>
      <c r="FQ3127" s="9"/>
      <c r="FR3127" s="9"/>
      <c r="FS3127" s="9"/>
      <c r="FT3127" s="9"/>
      <c r="FU3127" s="9"/>
      <c r="FV3127" s="9"/>
      <c r="FW3127" s="9"/>
      <c r="FX3127" s="9"/>
      <c r="FY3127" s="9"/>
      <c r="FZ3127" s="9"/>
      <c r="GA3127" s="9"/>
      <c r="GB3127" s="9"/>
      <c r="GC3127" s="9"/>
      <c r="GD3127" s="9"/>
      <c r="GE3127" s="9"/>
      <c r="GF3127" s="9"/>
      <c r="GG3127" s="9"/>
      <c r="GH3127" s="9"/>
      <c r="GI3127" s="9"/>
      <c r="GJ3127" s="9"/>
      <c r="GK3127" s="9"/>
      <c r="GL3127" s="9"/>
      <c r="GM3127" s="9"/>
      <c r="GN3127" s="9"/>
      <c r="GO3127" s="9"/>
      <c r="GP3127" s="9"/>
      <c r="GQ3127" s="9"/>
      <c r="GR3127" s="9"/>
      <c r="GS3127" s="9"/>
      <c r="GT3127" s="9"/>
      <c r="GU3127" s="9"/>
      <c r="GV3127" s="9"/>
      <c r="GW3127" s="9"/>
      <c r="GX3127" s="9"/>
      <c r="GY3127" s="9"/>
      <c r="GZ3127" s="9"/>
      <c r="HA3127" s="9"/>
      <c r="HB3127" s="9"/>
      <c r="HC3127" s="9"/>
      <c r="HD3127" s="9"/>
      <c r="HE3127" s="9"/>
      <c r="HF3127" s="9"/>
      <c r="HG3127" s="9"/>
      <c r="HH3127" s="9"/>
      <c r="HI3127" s="9"/>
      <c r="HJ3127" s="9"/>
      <c r="HK3127" s="9"/>
      <c r="HL3127" s="9"/>
      <c r="HM3127" s="9"/>
      <c r="HN3127" s="9"/>
      <c r="HO3127" s="9"/>
    </row>
    <row r="3128" spans="5:223" x14ac:dyDescent="0.35">
      <c r="E3128" s="7"/>
      <c r="F3128" s="7"/>
      <c r="X3128" s="16"/>
      <c r="Y3128" s="16"/>
      <c r="Z3128" s="16"/>
      <c r="AA3128" s="16"/>
      <c r="AB3128" s="16"/>
      <c r="AC3128" s="16"/>
      <c r="AD3128" s="16"/>
      <c r="AE3128" s="16"/>
      <c r="AF3128" s="16"/>
      <c r="AG3128" s="16"/>
      <c r="AH3128" s="16"/>
      <c r="AI3128" s="16"/>
      <c r="AJ3128" s="16"/>
      <c r="AK3128" s="16"/>
      <c r="AL3128" s="16"/>
      <c r="AM3128" s="16"/>
      <c r="AN3128" s="16"/>
      <c r="AO3128" s="16"/>
      <c r="AP3128" s="16"/>
      <c r="AQ3128" s="16"/>
      <c r="AR3128" s="16"/>
      <c r="AS3128" s="16"/>
      <c r="AT3128" s="16"/>
      <c r="AU3128" s="16"/>
      <c r="AV3128" s="16"/>
      <c r="AW3128" s="16"/>
      <c r="AX3128" s="16"/>
      <c r="AY3128" s="16"/>
      <c r="AZ3128" s="16"/>
      <c r="BA3128" s="16"/>
      <c r="BB3128" s="16"/>
      <c r="BC3128" s="16"/>
      <c r="BD3128" s="16"/>
      <c r="BE3128" s="16"/>
      <c r="BF3128" s="16"/>
      <c r="BG3128" s="16"/>
      <c r="BH3128" s="16"/>
      <c r="BI3128" s="16"/>
      <c r="BJ3128" s="16"/>
      <c r="BK3128" s="16"/>
      <c r="BL3128" s="16"/>
      <c r="BM3128" s="16"/>
      <c r="BN3128" s="16"/>
      <c r="BO3128" s="16"/>
      <c r="BP3128" s="16"/>
      <c r="BQ3128" s="16"/>
      <c r="BR3128" s="16"/>
      <c r="BS3128" s="16"/>
      <c r="BT3128" s="16"/>
      <c r="BU3128" s="16"/>
      <c r="BV3128" s="16"/>
      <c r="BW3128" s="16"/>
      <c r="BX3128" s="16"/>
      <c r="BY3128" s="16"/>
      <c r="BZ3128" s="16"/>
      <c r="CA3128" s="16"/>
      <c r="CB3128" s="16"/>
      <c r="CC3128" s="16"/>
      <c r="CD3128" s="16"/>
      <c r="CE3128" s="16"/>
      <c r="CF3128" s="16"/>
      <c r="CG3128" s="16"/>
      <c r="CH3128" s="16"/>
      <c r="CI3128" s="16"/>
      <c r="CJ3128" s="16"/>
      <c r="CK3128" s="16"/>
      <c r="CL3128" s="16"/>
      <c r="CM3128" s="16"/>
      <c r="CN3128" s="16"/>
      <c r="CO3128" s="16"/>
      <c r="CP3128" s="16"/>
      <c r="CQ3128" s="16"/>
      <c r="CR3128" s="16"/>
      <c r="CS3128" s="16"/>
      <c r="CT3128" s="16"/>
      <c r="CU3128" s="16"/>
      <c r="CV3128" s="16"/>
      <c r="CW3128" s="16"/>
      <c r="CX3128" s="16"/>
      <c r="CY3128" s="16"/>
      <c r="CZ3128" s="16"/>
      <c r="DA3128" s="16"/>
      <c r="DB3128" s="16"/>
      <c r="DC3128" s="16"/>
      <c r="DD3128" s="16"/>
      <c r="DE3128" s="16"/>
      <c r="DF3128" s="16"/>
      <c r="DG3128" s="16"/>
      <c r="DH3128" s="16"/>
      <c r="DI3128" s="16"/>
      <c r="DJ3128" s="16"/>
      <c r="DK3128" s="16"/>
      <c r="DL3128" s="16"/>
      <c r="DM3128" s="16"/>
      <c r="DN3128" s="16"/>
      <c r="DO3128" s="16"/>
      <c r="DP3128" s="16"/>
      <c r="DQ3128" s="16"/>
      <c r="DR3128" s="16"/>
      <c r="DS3128" s="16"/>
      <c r="DT3128" s="16"/>
      <c r="DU3128" s="16"/>
      <c r="DV3128" s="16"/>
      <c r="DW3128" s="16"/>
      <c r="DX3128" s="16"/>
      <c r="DY3128" s="16"/>
      <c r="DZ3128" s="16"/>
      <c r="EA3128" s="16"/>
      <c r="EB3128" s="16"/>
      <c r="EC3128" s="16"/>
      <c r="ED3128" s="16"/>
      <c r="EE3128" s="16"/>
      <c r="EF3128" s="16"/>
      <c r="EG3128" s="16"/>
      <c r="EH3128" s="16"/>
      <c r="EI3128" s="16"/>
      <c r="EJ3128" s="16"/>
      <c r="EK3128" s="16"/>
      <c r="EL3128" s="16"/>
      <c r="EM3128" s="16"/>
      <c r="EN3128" s="16"/>
      <c r="EO3128" s="16"/>
      <c r="EP3128" s="16"/>
      <c r="EQ3128" s="16"/>
      <c r="ER3128" s="16"/>
      <c r="ES3128" s="16"/>
      <c r="ET3128" s="16"/>
      <c r="EU3128" s="16"/>
      <c r="EV3128" s="16"/>
      <c r="EW3128" s="16"/>
      <c r="EX3128" s="16"/>
      <c r="EY3128" s="16"/>
      <c r="EZ3128" s="16"/>
      <c r="FA3128" s="16"/>
      <c r="FB3128" s="16"/>
      <c r="FC3128" s="16"/>
      <c r="FD3128" s="16"/>
      <c r="FE3128" s="16"/>
      <c r="FF3128" s="16"/>
      <c r="FG3128" s="16"/>
      <c r="FH3128" s="16"/>
      <c r="FI3128" s="16"/>
      <c r="FJ3128" s="16"/>
      <c r="FK3128" s="16"/>
      <c r="FL3128" s="16"/>
      <c r="FM3128" s="16"/>
      <c r="FN3128" s="16"/>
      <c r="FO3128" s="16"/>
      <c r="FP3128" s="16"/>
      <c r="FQ3128" s="16"/>
      <c r="FR3128" s="16"/>
      <c r="FS3128" s="16"/>
      <c r="FT3128" s="16"/>
      <c r="FU3128" s="16"/>
      <c r="FV3128" s="16"/>
      <c r="FW3128" s="16"/>
      <c r="FX3128" s="16"/>
      <c r="FY3128" s="16"/>
      <c r="FZ3128" s="16"/>
      <c r="GA3128" s="16"/>
      <c r="GB3128" s="16"/>
      <c r="GC3128" s="16"/>
      <c r="GD3128" s="16"/>
      <c r="GE3128" s="16"/>
      <c r="GF3128" s="16"/>
      <c r="GG3128" s="16"/>
      <c r="GH3128" s="16"/>
      <c r="GI3128" s="16"/>
      <c r="GJ3128" s="16"/>
      <c r="GK3128" s="16"/>
      <c r="GL3128" s="16"/>
      <c r="GM3128" s="16"/>
      <c r="GN3128" s="16"/>
      <c r="GO3128" s="16"/>
      <c r="GP3128" s="16"/>
      <c r="GQ3128" s="16"/>
      <c r="GR3128" s="16"/>
      <c r="GS3128" s="16"/>
      <c r="GT3128" s="16"/>
      <c r="GU3128" s="16"/>
      <c r="GV3128" s="16"/>
      <c r="GW3128" s="16"/>
      <c r="GX3128" s="16"/>
      <c r="GY3128" s="16"/>
      <c r="GZ3128" s="16"/>
      <c r="HA3128" s="16"/>
      <c r="HB3128" s="16"/>
      <c r="HC3128" s="16"/>
      <c r="HD3128" s="16"/>
      <c r="HE3128" s="16"/>
      <c r="HF3128" s="16"/>
      <c r="HG3128" s="16"/>
      <c r="HH3128" s="16"/>
      <c r="HI3128" s="16"/>
      <c r="HJ3128" s="16"/>
      <c r="HK3128" s="16"/>
      <c r="HL3128" s="16"/>
      <c r="HM3128" s="16"/>
      <c r="HN3128" s="16"/>
      <c r="HO3128" s="16"/>
    </row>
    <row r="3129" spans="5:223" x14ac:dyDescent="0.35">
      <c r="E3129" s="7"/>
      <c r="F3129" s="7"/>
      <c r="X3129" s="16"/>
      <c r="Y3129" s="16"/>
      <c r="Z3129" s="16"/>
      <c r="AA3129" s="16"/>
      <c r="AB3129" s="16"/>
      <c r="AC3129" s="16"/>
      <c r="AD3129" s="16"/>
      <c r="AE3129" s="16"/>
      <c r="AF3129" s="16"/>
      <c r="AG3129" s="16"/>
      <c r="AH3129" s="16"/>
      <c r="AI3129" s="16"/>
      <c r="AJ3129" s="16"/>
      <c r="AK3129" s="16"/>
      <c r="AL3129" s="16"/>
      <c r="AM3129" s="16"/>
      <c r="AN3129" s="16"/>
      <c r="AO3129" s="16"/>
      <c r="AP3129" s="16"/>
      <c r="AQ3129" s="16"/>
      <c r="AR3129" s="16"/>
      <c r="AS3129" s="16"/>
      <c r="AT3129" s="16"/>
      <c r="AU3129" s="16"/>
      <c r="AV3129" s="16"/>
      <c r="AW3129" s="16"/>
      <c r="AX3129" s="16"/>
      <c r="AY3129" s="16"/>
      <c r="AZ3129" s="16"/>
      <c r="BA3129" s="16"/>
      <c r="BB3129" s="16"/>
      <c r="BC3129" s="16"/>
      <c r="BD3129" s="16"/>
      <c r="BE3129" s="16"/>
      <c r="BF3129" s="16"/>
      <c r="BG3129" s="16"/>
      <c r="BH3129" s="16"/>
      <c r="BI3129" s="16"/>
      <c r="BJ3129" s="16"/>
      <c r="BK3129" s="16"/>
      <c r="BL3129" s="16"/>
      <c r="BM3129" s="16"/>
      <c r="BN3129" s="16"/>
      <c r="BO3129" s="16"/>
      <c r="BP3129" s="16"/>
      <c r="BQ3129" s="16"/>
      <c r="BR3129" s="16"/>
      <c r="BS3129" s="16"/>
      <c r="BT3129" s="16"/>
      <c r="BU3129" s="16"/>
      <c r="BV3129" s="16"/>
      <c r="BW3129" s="16"/>
      <c r="BX3129" s="16"/>
      <c r="BY3129" s="16"/>
      <c r="BZ3129" s="16"/>
      <c r="CA3129" s="16"/>
      <c r="CB3129" s="16"/>
      <c r="CC3129" s="16"/>
      <c r="CD3129" s="16"/>
      <c r="CE3129" s="16"/>
      <c r="CF3129" s="16"/>
      <c r="CG3129" s="16"/>
      <c r="CH3129" s="16"/>
      <c r="CI3129" s="16"/>
      <c r="CJ3129" s="16"/>
      <c r="CK3129" s="16"/>
      <c r="CL3129" s="16"/>
      <c r="CM3129" s="16"/>
      <c r="CN3129" s="16"/>
      <c r="CO3129" s="16"/>
      <c r="CP3129" s="16"/>
      <c r="CQ3129" s="16"/>
      <c r="CR3129" s="16"/>
      <c r="CS3129" s="16"/>
      <c r="CT3129" s="16"/>
      <c r="CU3129" s="16"/>
      <c r="CV3129" s="16"/>
      <c r="CW3129" s="16"/>
      <c r="CX3129" s="16"/>
      <c r="CY3129" s="16"/>
      <c r="CZ3129" s="16"/>
      <c r="DA3129" s="16"/>
      <c r="DB3129" s="16"/>
      <c r="DC3129" s="16"/>
      <c r="DD3129" s="16"/>
      <c r="DE3129" s="16"/>
      <c r="DF3129" s="16"/>
      <c r="DG3129" s="16"/>
      <c r="DH3129" s="16"/>
      <c r="DI3129" s="16"/>
      <c r="DJ3129" s="16"/>
      <c r="DK3129" s="16"/>
      <c r="DL3129" s="16"/>
      <c r="DM3129" s="16"/>
      <c r="DN3129" s="16"/>
      <c r="DO3129" s="16"/>
      <c r="DP3129" s="16"/>
      <c r="DQ3129" s="16"/>
      <c r="DR3129" s="16"/>
      <c r="DS3129" s="16"/>
      <c r="DT3129" s="16"/>
      <c r="DU3129" s="16"/>
      <c r="DV3129" s="16"/>
      <c r="DW3129" s="16"/>
      <c r="DX3129" s="16"/>
      <c r="DY3129" s="16"/>
      <c r="DZ3129" s="16"/>
      <c r="EA3129" s="16"/>
      <c r="EB3129" s="16"/>
      <c r="EC3129" s="16"/>
      <c r="ED3129" s="16"/>
      <c r="EE3129" s="16"/>
      <c r="EF3129" s="16"/>
      <c r="EG3129" s="16"/>
      <c r="EH3129" s="16"/>
      <c r="EI3129" s="16"/>
      <c r="EJ3129" s="16"/>
      <c r="EK3129" s="16"/>
      <c r="EL3129" s="16"/>
      <c r="EM3129" s="16"/>
      <c r="EN3129" s="16"/>
      <c r="EO3129" s="16"/>
      <c r="EP3129" s="16"/>
      <c r="EQ3129" s="16"/>
      <c r="ER3129" s="16"/>
      <c r="ES3129" s="16"/>
      <c r="ET3129" s="16"/>
      <c r="EU3129" s="16"/>
      <c r="EV3129" s="16"/>
      <c r="EW3129" s="16"/>
      <c r="EX3129" s="16"/>
      <c r="EY3129" s="16"/>
      <c r="EZ3129" s="16"/>
      <c r="FA3129" s="16"/>
      <c r="FB3129" s="16"/>
      <c r="FC3129" s="16"/>
      <c r="FD3129" s="16"/>
      <c r="FE3129" s="16"/>
      <c r="FF3129" s="16"/>
      <c r="FG3129" s="16"/>
      <c r="FH3129" s="16"/>
      <c r="FI3129" s="16"/>
      <c r="FJ3129" s="16"/>
      <c r="FK3129" s="16"/>
      <c r="FL3129" s="16"/>
      <c r="FM3129" s="16"/>
      <c r="FN3129" s="16"/>
      <c r="FO3129" s="16"/>
      <c r="FP3129" s="16"/>
      <c r="FQ3129" s="16"/>
      <c r="FR3129" s="16"/>
      <c r="FS3129" s="16"/>
      <c r="FT3129" s="16"/>
      <c r="FU3129" s="16"/>
      <c r="FV3129" s="16"/>
      <c r="FW3129" s="16"/>
      <c r="FX3129" s="16"/>
      <c r="FY3129" s="16"/>
      <c r="FZ3129" s="16"/>
      <c r="GA3129" s="16"/>
      <c r="GB3129" s="16"/>
      <c r="GC3129" s="16"/>
      <c r="GD3129" s="16"/>
      <c r="GE3129" s="16"/>
      <c r="GF3129" s="16"/>
      <c r="GG3129" s="16"/>
      <c r="GH3129" s="16"/>
      <c r="GI3129" s="16"/>
      <c r="GJ3129" s="16"/>
      <c r="GK3129" s="16"/>
      <c r="GL3129" s="16"/>
      <c r="GM3129" s="16"/>
      <c r="GN3129" s="16"/>
      <c r="GO3129" s="16"/>
      <c r="GP3129" s="16"/>
      <c r="GQ3129" s="16"/>
      <c r="GR3129" s="16"/>
      <c r="GS3129" s="16"/>
      <c r="GT3129" s="16"/>
      <c r="GU3129" s="16"/>
      <c r="GV3129" s="16"/>
      <c r="GW3129" s="16"/>
      <c r="GX3129" s="16"/>
      <c r="GY3129" s="16"/>
      <c r="GZ3129" s="16"/>
      <c r="HA3129" s="16"/>
      <c r="HB3129" s="16"/>
      <c r="HC3129" s="16"/>
      <c r="HD3129" s="16"/>
      <c r="HE3129" s="16"/>
      <c r="HF3129" s="16"/>
      <c r="HG3129" s="16"/>
      <c r="HH3129" s="16"/>
      <c r="HI3129" s="16"/>
      <c r="HJ3129" s="16"/>
      <c r="HK3129" s="16"/>
      <c r="HL3129" s="16"/>
      <c r="HM3129" s="16"/>
      <c r="HN3129" s="16"/>
      <c r="HO3129" s="16"/>
    </row>
    <row r="3130" spans="5:223" x14ac:dyDescent="0.35">
      <c r="E3130" s="7"/>
      <c r="F3130" s="7"/>
      <c r="X3130" s="16"/>
      <c r="Y3130" s="16"/>
      <c r="Z3130" s="16"/>
      <c r="AA3130" s="16"/>
      <c r="AB3130" s="16"/>
      <c r="AC3130" s="16"/>
      <c r="AD3130" s="16"/>
      <c r="AE3130" s="16"/>
      <c r="AF3130" s="16"/>
      <c r="AG3130" s="16"/>
      <c r="AH3130" s="16"/>
      <c r="AI3130" s="16"/>
      <c r="AJ3130" s="16"/>
      <c r="AK3130" s="16"/>
      <c r="AL3130" s="16"/>
      <c r="AM3130" s="16"/>
      <c r="AN3130" s="16"/>
      <c r="AO3130" s="16"/>
      <c r="AP3130" s="16"/>
      <c r="AQ3130" s="16"/>
      <c r="AR3130" s="16"/>
      <c r="AS3130" s="16"/>
      <c r="AT3130" s="16"/>
      <c r="AU3130" s="16"/>
      <c r="AV3130" s="16"/>
      <c r="AW3130" s="16"/>
      <c r="AX3130" s="16"/>
      <c r="AY3130" s="16"/>
      <c r="AZ3130" s="16"/>
      <c r="BA3130" s="16"/>
      <c r="BB3130" s="16"/>
      <c r="BC3130" s="16"/>
      <c r="BD3130" s="16"/>
      <c r="BE3130" s="16"/>
      <c r="BF3130" s="16"/>
      <c r="BG3130" s="16"/>
      <c r="BH3130" s="16"/>
      <c r="BI3130" s="16"/>
      <c r="BJ3130" s="16"/>
      <c r="BK3130" s="16"/>
      <c r="BL3130" s="16"/>
      <c r="BM3130" s="16"/>
      <c r="BN3130" s="16"/>
      <c r="BO3130" s="16"/>
      <c r="BP3130" s="16"/>
      <c r="BQ3130" s="16"/>
      <c r="BR3130" s="16"/>
      <c r="BS3130" s="16"/>
      <c r="BT3130" s="16"/>
      <c r="BU3130" s="16"/>
      <c r="BV3130" s="16"/>
      <c r="BW3130" s="16"/>
      <c r="BX3130" s="16"/>
      <c r="BY3130" s="16"/>
      <c r="BZ3130" s="16"/>
      <c r="CA3130" s="16"/>
      <c r="CB3130" s="16"/>
      <c r="CC3130" s="16"/>
      <c r="CD3130" s="16"/>
      <c r="CE3130" s="16"/>
      <c r="CF3130" s="16"/>
      <c r="CG3130" s="16"/>
      <c r="CH3130" s="16"/>
      <c r="CI3130" s="16"/>
      <c r="CJ3130" s="16"/>
      <c r="CK3130" s="16"/>
      <c r="CL3130" s="16"/>
      <c r="CM3130" s="16"/>
      <c r="CN3130" s="16"/>
      <c r="CO3130" s="16"/>
      <c r="CP3130" s="16"/>
      <c r="CQ3130" s="16"/>
      <c r="CR3130" s="16"/>
      <c r="CS3130" s="16"/>
      <c r="CT3130" s="16"/>
      <c r="CU3130" s="16"/>
      <c r="CV3130" s="16"/>
      <c r="CW3130" s="16"/>
      <c r="CX3130" s="16"/>
      <c r="CY3130" s="16"/>
      <c r="CZ3130" s="16"/>
      <c r="DA3130" s="16"/>
      <c r="DB3130" s="16"/>
      <c r="DC3130" s="16"/>
      <c r="DD3130" s="16"/>
      <c r="DE3130" s="16"/>
      <c r="DF3130" s="16"/>
      <c r="DG3130" s="16"/>
      <c r="DH3130" s="16"/>
      <c r="DI3130" s="16"/>
      <c r="DJ3130" s="16"/>
      <c r="DK3130" s="16"/>
      <c r="DL3130" s="16"/>
      <c r="DM3130" s="16"/>
      <c r="DN3130" s="16"/>
      <c r="DO3130" s="16"/>
      <c r="DP3130" s="16"/>
      <c r="DQ3130" s="16"/>
      <c r="DR3130" s="16"/>
      <c r="DS3130" s="16"/>
      <c r="DT3130" s="16"/>
      <c r="DU3130" s="16"/>
      <c r="DV3130" s="16"/>
      <c r="DW3130" s="16"/>
      <c r="DX3130" s="16"/>
      <c r="DY3130" s="16"/>
      <c r="DZ3130" s="16"/>
      <c r="EA3130" s="16"/>
      <c r="EB3130" s="16"/>
      <c r="EC3130" s="16"/>
      <c r="ED3130" s="16"/>
      <c r="EE3130" s="16"/>
      <c r="EF3130" s="16"/>
      <c r="EG3130" s="16"/>
      <c r="EH3130" s="16"/>
      <c r="EI3130" s="16"/>
      <c r="EJ3130" s="16"/>
      <c r="EK3130" s="16"/>
      <c r="EL3130" s="16"/>
      <c r="EM3130" s="16"/>
      <c r="EN3130" s="16"/>
      <c r="EO3130" s="16"/>
      <c r="EP3130" s="16"/>
      <c r="EQ3130" s="16"/>
      <c r="ER3130" s="16"/>
      <c r="ES3130" s="16"/>
      <c r="ET3130" s="16"/>
      <c r="EU3130" s="16"/>
      <c r="EV3130" s="16"/>
      <c r="EW3130" s="16"/>
      <c r="EX3130" s="16"/>
      <c r="EY3130" s="16"/>
      <c r="EZ3130" s="16"/>
      <c r="FA3130" s="16"/>
      <c r="FB3130" s="16"/>
      <c r="FC3130" s="16"/>
      <c r="FD3130" s="16"/>
      <c r="FE3130" s="16"/>
      <c r="FF3130" s="16"/>
      <c r="FG3130" s="16"/>
      <c r="FH3130" s="16"/>
      <c r="FI3130" s="16"/>
      <c r="FJ3130" s="16"/>
      <c r="FK3130" s="16"/>
      <c r="FL3130" s="16"/>
      <c r="FM3130" s="16"/>
      <c r="FN3130" s="16"/>
      <c r="FO3130" s="16"/>
      <c r="FP3130" s="16"/>
      <c r="FQ3130" s="16"/>
      <c r="FR3130" s="16"/>
      <c r="FS3130" s="16"/>
      <c r="FT3130" s="16"/>
      <c r="FU3130" s="16"/>
      <c r="FV3130" s="16"/>
      <c r="FW3130" s="16"/>
      <c r="FX3130" s="16"/>
      <c r="FY3130" s="16"/>
      <c r="FZ3130" s="16"/>
      <c r="GA3130" s="16"/>
      <c r="GB3130" s="16"/>
      <c r="GC3130" s="16"/>
      <c r="GD3130" s="16"/>
      <c r="GE3130" s="16"/>
      <c r="GF3130" s="16"/>
      <c r="GG3130" s="16"/>
      <c r="GH3130" s="16"/>
      <c r="GI3130" s="16"/>
      <c r="GJ3130" s="16"/>
      <c r="GK3130" s="16"/>
      <c r="GL3130" s="16"/>
      <c r="GM3130" s="16"/>
      <c r="GN3130" s="16"/>
      <c r="GO3130" s="16"/>
      <c r="GP3130" s="16"/>
      <c r="GQ3130" s="16"/>
      <c r="GR3130" s="16"/>
      <c r="GS3130" s="16"/>
      <c r="GT3130" s="16"/>
      <c r="GU3130" s="16"/>
      <c r="GV3130" s="16"/>
      <c r="GW3130" s="16"/>
      <c r="GX3130" s="16"/>
      <c r="GY3130" s="16"/>
      <c r="GZ3130" s="16"/>
      <c r="HA3130" s="16"/>
      <c r="HB3130" s="16"/>
      <c r="HC3130" s="16"/>
      <c r="HD3130" s="16"/>
      <c r="HE3130" s="16"/>
      <c r="HF3130" s="16"/>
      <c r="HG3130" s="16"/>
      <c r="HH3130" s="16"/>
      <c r="HI3130" s="16"/>
      <c r="HJ3130" s="16"/>
      <c r="HK3130" s="16"/>
      <c r="HL3130" s="16"/>
      <c r="HM3130" s="16"/>
      <c r="HN3130" s="16"/>
      <c r="HO3130" s="16"/>
    </row>
    <row r="3131" spans="5:223" x14ac:dyDescent="0.35">
      <c r="E3131" s="7"/>
      <c r="F3131" s="7"/>
      <c r="X3131" s="9"/>
      <c r="Y3131" s="9"/>
      <c r="Z3131" s="9"/>
      <c r="AA3131" s="9"/>
      <c r="AB3131" s="9"/>
      <c r="AC3131" s="9"/>
      <c r="AD3131" s="9"/>
      <c r="AE3131" s="9"/>
      <c r="AF3131" s="9"/>
      <c r="AG3131" s="9"/>
      <c r="AH3131" s="9"/>
      <c r="AI3131" s="9"/>
      <c r="AJ3131" s="9"/>
      <c r="AK3131" s="9"/>
      <c r="AL3131" s="9"/>
      <c r="AM3131" s="9"/>
      <c r="AN3131" s="9"/>
      <c r="AO3131" s="9"/>
      <c r="AP3131" s="9"/>
      <c r="AQ3131" s="9"/>
      <c r="AR3131" s="9"/>
      <c r="AS3131" s="9"/>
      <c r="AT3131" s="9"/>
      <c r="AU3131" s="9"/>
      <c r="AV3131" s="9"/>
      <c r="AW3131" s="9"/>
      <c r="AX3131" s="9"/>
      <c r="AY3131" s="9"/>
      <c r="AZ3131" s="9"/>
      <c r="BA3131" s="9"/>
      <c r="BB3131" s="9"/>
      <c r="BC3131" s="9"/>
      <c r="BD3131" s="9"/>
      <c r="BE3131" s="9"/>
      <c r="BF3131" s="9"/>
      <c r="BG3131" s="9"/>
      <c r="BH3131" s="9"/>
      <c r="BI3131" s="9"/>
      <c r="BJ3131" s="9"/>
      <c r="BK3131" s="9"/>
      <c r="BL3131" s="9"/>
      <c r="BM3131" s="9"/>
      <c r="BN3131" s="9"/>
      <c r="BO3131" s="9"/>
      <c r="BP3131" s="9"/>
      <c r="BQ3131" s="9"/>
      <c r="BR3131" s="9"/>
      <c r="BS3131" s="9"/>
      <c r="BT3131" s="9"/>
      <c r="BU3131" s="9"/>
      <c r="BV3131" s="9"/>
      <c r="BW3131" s="9"/>
      <c r="BX3131" s="9"/>
      <c r="BY3131" s="9"/>
      <c r="BZ3131" s="9"/>
      <c r="CA3131" s="9"/>
      <c r="CB3131" s="9"/>
      <c r="CC3131" s="9"/>
      <c r="CD3131" s="9"/>
      <c r="CE3131" s="9"/>
      <c r="CF3131" s="9"/>
      <c r="CG3131" s="9"/>
      <c r="CH3131" s="9"/>
      <c r="CI3131" s="9"/>
      <c r="CJ3131" s="9"/>
      <c r="CK3131" s="9"/>
      <c r="CL3131" s="9"/>
      <c r="CM3131" s="9"/>
      <c r="CN3131" s="9"/>
      <c r="CO3131" s="9"/>
      <c r="CP3131" s="9"/>
      <c r="CQ3131" s="9"/>
      <c r="CR3131" s="9"/>
      <c r="CS3131" s="9"/>
      <c r="CT3131" s="9"/>
      <c r="CU3131" s="9"/>
      <c r="CV3131" s="9"/>
      <c r="CW3131" s="9"/>
      <c r="CX3131" s="9"/>
      <c r="CY3131" s="9"/>
      <c r="CZ3131" s="9"/>
      <c r="DA3131" s="9"/>
      <c r="DB3131" s="9"/>
      <c r="DC3131" s="9"/>
      <c r="DD3131" s="9"/>
      <c r="DE3131" s="9"/>
      <c r="DF3131" s="9"/>
      <c r="DG3131" s="9"/>
      <c r="DH3131" s="9"/>
      <c r="DI3131" s="9"/>
      <c r="DJ3131" s="9"/>
      <c r="DK3131" s="9"/>
      <c r="DL3131" s="9"/>
      <c r="DM3131" s="9"/>
      <c r="DN3131" s="9"/>
      <c r="DO3131" s="9"/>
      <c r="DP3131" s="9"/>
      <c r="DQ3131" s="9"/>
      <c r="DR3131" s="9"/>
      <c r="DS3131" s="9"/>
      <c r="DT3131" s="9"/>
      <c r="DU3131" s="9"/>
      <c r="DV3131" s="9"/>
      <c r="DW3131" s="9"/>
      <c r="DX3131" s="9"/>
      <c r="DY3131" s="9"/>
      <c r="DZ3131" s="9"/>
      <c r="EA3131" s="9"/>
      <c r="EB3131" s="9"/>
      <c r="EC3131" s="9"/>
      <c r="ED3131" s="9"/>
      <c r="EE3131" s="9"/>
      <c r="EF3131" s="9"/>
      <c r="EG3131" s="9"/>
      <c r="EH3131" s="9"/>
      <c r="EI3131" s="9"/>
      <c r="EJ3131" s="9"/>
      <c r="EK3131" s="9"/>
      <c r="EL3131" s="9"/>
      <c r="EM3131" s="9"/>
      <c r="EN3131" s="9"/>
      <c r="EO3131" s="9"/>
      <c r="EP3131" s="9"/>
      <c r="EQ3131" s="9"/>
      <c r="ER3131" s="9"/>
      <c r="ES3131" s="9"/>
      <c r="ET3131" s="9"/>
      <c r="EU3131" s="9"/>
      <c r="EV3131" s="9"/>
      <c r="EW3131" s="9"/>
      <c r="EX3131" s="9"/>
      <c r="EY3131" s="9"/>
      <c r="EZ3131" s="9"/>
      <c r="FA3131" s="9"/>
      <c r="FB3131" s="9"/>
      <c r="FC3131" s="9"/>
      <c r="FD3131" s="9"/>
      <c r="FE3131" s="9"/>
      <c r="FF3131" s="9"/>
      <c r="FG3131" s="9"/>
      <c r="FH3131" s="9"/>
      <c r="FI3131" s="9"/>
      <c r="FJ3131" s="9"/>
      <c r="FK3131" s="9"/>
      <c r="FL3131" s="9"/>
      <c r="FM3131" s="9"/>
      <c r="FN3131" s="9"/>
      <c r="FO3131" s="9"/>
      <c r="FP3131" s="9"/>
      <c r="FQ3131" s="9"/>
      <c r="FR3131" s="9"/>
      <c r="FS3131" s="9"/>
      <c r="FT3131" s="9"/>
      <c r="FU3131" s="9"/>
      <c r="FV3131" s="9"/>
      <c r="FW3131" s="9"/>
      <c r="FX3131" s="9"/>
      <c r="FY3131" s="9"/>
      <c r="FZ3131" s="9"/>
      <c r="GA3131" s="9"/>
      <c r="GB3131" s="9"/>
      <c r="GC3131" s="9"/>
      <c r="GD3131" s="9"/>
      <c r="GE3131" s="9"/>
      <c r="GF3131" s="9"/>
      <c r="GG3131" s="9"/>
      <c r="GH3131" s="9"/>
      <c r="GI3131" s="9"/>
      <c r="GJ3131" s="9"/>
      <c r="GK3131" s="9"/>
      <c r="GL3131" s="9"/>
      <c r="GM3131" s="9"/>
      <c r="GN3131" s="9"/>
      <c r="GO3131" s="9"/>
      <c r="GP3131" s="9"/>
      <c r="GQ3131" s="9"/>
      <c r="GR3131" s="9"/>
      <c r="GS3131" s="9"/>
      <c r="GT3131" s="9"/>
      <c r="GU3131" s="9"/>
      <c r="GV3131" s="9"/>
      <c r="GW3131" s="9"/>
      <c r="GX3131" s="9"/>
      <c r="GY3131" s="9"/>
      <c r="GZ3131" s="9"/>
      <c r="HA3131" s="9"/>
      <c r="HB3131" s="9"/>
      <c r="HC3131" s="9"/>
      <c r="HD3131" s="9"/>
      <c r="HE3131" s="9"/>
      <c r="HF3131" s="9"/>
      <c r="HG3131" s="9"/>
      <c r="HH3131" s="9"/>
      <c r="HI3131" s="9"/>
      <c r="HJ3131" s="9"/>
      <c r="HK3131" s="9"/>
      <c r="HL3131" s="9"/>
      <c r="HM3131" s="9"/>
      <c r="HN3131" s="9"/>
      <c r="HO3131" s="9"/>
    </row>
    <row r="3132" spans="5:223" x14ac:dyDescent="0.35">
      <c r="E3132" s="7"/>
      <c r="F3132" s="7"/>
      <c r="X3132" s="9"/>
      <c r="Y3132" s="9"/>
      <c r="Z3132" s="9"/>
      <c r="AA3132" s="9"/>
      <c r="AB3132" s="9"/>
      <c r="AC3132" s="9"/>
      <c r="AD3132" s="9"/>
      <c r="AE3132" s="9"/>
      <c r="AF3132" s="9"/>
      <c r="AG3132" s="9"/>
      <c r="AH3132" s="9"/>
      <c r="AI3132" s="9"/>
      <c r="AJ3132" s="9"/>
      <c r="AK3132" s="9"/>
      <c r="AL3132" s="9"/>
      <c r="AM3132" s="9"/>
      <c r="AN3132" s="9"/>
      <c r="AO3132" s="9"/>
      <c r="AP3132" s="9"/>
      <c r="AQ3132" s="9"/>
      <c r="AR3132" s="9"/>
      <c r="AS3132" s="9"/>
      <c r="AT3132" s="9"/>
      <c r="AU3132" s="9"/>
      <c r="AV3132" s="9"/>
      <c r="AW3132" s="9"/>
      <c r="AX3132" s="9"/>
      <c r="AY3132" s="9"/>
      <c r="AZ3132" s="9"/>
      <c r="BA3132" s="9"/>
      <c r="BB3132" s="9"/>
      <c r="BC3132" s="9"/>
      <c r="BD3132" s="9"/>
      <c r="BE3132" s="9"/>
      <c r="BF3132" s="9"/>
      <c r="BG3132" s="9"/>
      <c r="BH3132" s="9"/>
      <c r="BI3132" s="9"/>
      <c r="BJ3132" s="9"/>
      <c r="BK3132" s="9"/>
      <c r="BL3132" s="9"/>
      <c r="BM3132" s="9"/>
      <c r="BN3132" s="9"/>
      <c r="BO3132" s="9"/>
      <c r="BP3132" s="9"/>
      <c r="BQ3132" s="9"/>
      <c r="BR3132" s="9"/>
      <c r="BS3132" s="9"/>
      <c r="BT3132" s="9"/>
      <c r="BU3132" s="9"/>
      <c r="BV3132" s="9"/>
      <c r="BW3132" s="9"/>
      <c r="BX3132" s="9"/>
      <c r="BY3132" s="9"/>
      <c r="BZ3132" s="9"/>
      <c r="CA3132" s="9"/>
      <c r="CB3132" s="9"/>
      <c r="CC3132" s="9"/>
      <c r="CD3132" s="9"/>
      <c r="CE3132" s="9"/>
      <c r="CF3132" s="9"/>
      <c r="CG3132" s="9"/>
      <c r="CH3132" s="9"/>
      <c r="CI3132" s="9"/>
      <c r="CJ3132" s="9"/>
      <c r="CK3132" s="9"/>
      <c r="CL3132" s="9"/>
      <c r="CM3132" s="9"/>
      <c r="CN3132" s="9"/>
      <c r="CO3132" s="9"/>
      <c r="CP3132" s="9"/>
      <c r="CQ3132" s="9"/>
      <c r="CR3132" s="9"/>
      <c r="CS3132" s="9"/>
      <c r="CT3132" s="9"/>
      <c r="CU3132" s="9"/>
      <c r="CV3132" s="9"/>
      <c r="CW3132" s="9"/>
      <c r="CX3132" s="9"/>
      <c r="CY3132" s="9"/>
      <c r="CZ3132" s="9"/>
      <c r="DA3132" s="9"/>
      <c r="DB3132" s="9"/>
      <c r="DC3132" s="9"/>
      <c r="DD3132" s="9"/>
      <c r="DE3132" s="9"/>
      <c r="DF3132" s="9"/>
      <c r="DG3132" s="9"/>
      <c r="DH3132" s="9"/>
      <c r="DI3132" s="9"/>
      <c r="DJ3132" s="9"/>
      <c r="DK3132" s="9"/>
      <c r="DL3132" s="9"/>
      <c r="DM3132" s="9"/>
      <c r="DN3132" s="9"/>
      <c r="DO3132" s="9"/>
      <c r="DP3132" s="9"/>
      <c r="DQ3132" s="9"/>
      <c r="DR3132" s="9"/>
      <c r="DS3132" s="9"/>
      <c r="DT3132" s="9"/>
      <c r="DU3132" s="9"/>
      <c r="DV3132" s="9"/>
      <c r="DW3132" s="9"/>
      <c r="DX3132" s="9"/>
      <c r="DY3132" s="9"/>
      <c r="DZ3132" s="9"/>
      <c r="EA3132" s="9"/>
      <c r="EB3132" s="9"/>
      <c r="EC3132" s="9"/>
      <c r="ED3132" s="9"/>
      <c r="EE3132" s="9"/>
      <c r="EF3132" s="9"/>
      <c r="EG3132" s="9"/>
      <c r="EH3132" s="9"/>
      <c r="EI3132" s="9"/>
      <c r="EJ3132" s="9"/>
      <c r="EK3132" s="9"/>
      <c r="EL3132" s="9"/>
      <c r="EM3132" s="9"/>
      <c r="EN3132" s="9"/>
      <c r="EO3132" s="9"/>
      <c r="EP3132" s="9"/>
      <c r="EQ3132" s="9"/>
      <c r="ER3132" s="9"/>
      <c r="ES3132" s="9"/>
      <c r="ET3132" s="9"/>
      <c r="EU3132" s="9"/>
      <c r="EV3132" s="9"/>
      <c r="EW3132" s="9"/>
      <c r="EX3132" s="9"/>
      <c r="EY3132" s="9"/>
      <c r="EZ3132" s="9"/>
      <c r="FA3132" s="9"/>
      <c r="FB3132" s="9"/>
      <c r="FC3132" s="9"/>
      <c r="FD3132" s="9"/>
      <c r="FE3132" s="9"/>
      <c r="FF3132" s="9"/>
      <c r="FG3132" s="9"/>
      <c r="FH3132" s="9"/>
      <c r="FI3132" s="9"/>
      <c r="FJ3132" s="9"/>
      <c r="FK3132" s="9"/>
      <c r="FL3132" s="9"/>
      <c r="FM3132" s="9"/>
      <c r="FN3132" s="9"/>
      <c r="FO3132" s="9"/>
      <c r="FP3132" s="9"/>
      <c r="FQ3132" s="9"/>
      <c r="FR3132" s="9"/>
      <c r="FS3132" s="9"/>
      <c r="FT3132" s="9"/>
      <c r="FU3132" s="9"/>
      <c r="FV3132" s="9"/>
      <c r="FW3132" s="9"/>
      <c r="FX3132" s="9"/>
      <c r="FY3132" s="9"/>
      <c r="FZ3132" s="9"/>
      <c r="GA3132" s="9"/>
      <c r="GB3132" s="9"/>
      <c r="GC3132" s="9"/>
      <c r="GD3132" s="9"/>
      <c r="GE3132" s="9"/>
      <c r="GF3132" s="9"/>
      <c r="GG3132" s="9"/>
      <c r="GH3132" s="9"/>
      <c r="GI3132" s="9"/>
      <c r="GJ3132" s="9"/>
      <c r="GK3132" s="9"/>
      <c r="GL3132" s="9"/>
      <c r="GM3132" s="9"/>
      <c r="GN3132" s="9"/>
      <c r="GO3132" s="9"/>
      <c r="GP3132" s="9"/>
      <c r="GQ3132" s="9"/>
      <c r="GR3132" s="9"/>
      <c r="GS3132" s="9"/>
      <c r="GT3132" s="9"/>
      <c r="GU3132" s="9"/>
      <c r="GV3132" s="9"/>
      <c r="GW3132" s="9"/>
      <c r="GX3132" s="9"/>
      <c r="GY3132" s="9"/>
      <c r="GZ3132" s="9"/>
      <c r="HA3132" s="9"/>
      <c r="HB3132" s="9"/>
      <c r="HC3132" s="9"/>
      <c r="HD3132" s="9"/>
      <c r="HE3132" s="9"/>
      <c r="HF3132" s="9"/>
      <c r="HG3132" s="9"/>
      <c r="HH3132" s="9"/>
      <c r="HI3132" s="9"/>
      <c r="HJ3132" s="9"/>
      <c r="HK3132" s="9"/>
      <c r="HL3132" s="9"/>
      <c r="HM3132" s="9"/>
      <c r="HN3132" s="9"/>
      <c r="HO3132" s="9"/>
    </row>
    <row r="3133" spans="5:223" x14ac:dyDescent="0.35">
      <c r="E3133" s="7"/>
      <c r="F3133" s="7"/>
      <c r="X3133" s="9"/>
      <c r="Y3133" s="9"/>
      <c r="Z3133" s="9"/>
      <c r="AA3133" s="9"/>
      <c r="AB3133" s="9"/>
      <c r="AC3133" s="9"/>
      <c r="AD3133" s="9"/>
      <c r="AE3133" s="9"/>
      <c r="AF3133" s="9"/>
      <c r="AG3133" s="9"/>
      <c r="AH3133" s="9"/>
      <c r="AI3133" s="9"/>
      <c r="AJ3133" s="9"/>
      <c r="AK3133" s="9"/>
      <c r="AL3133" s="9"/>
      <c r="AM3133" s="9"/>
      <c r="AN3133" s="9"/>
      <c r="AO3133" s="9"/>
      <c r="AP3133" s="9"/>
      <c r="AQ3133" s="9"/>
      <c r="AR3133" s="9"/>
      <c r="AS3133" s="9"/>
      <c r="AT3133" s="9"/>
      <c r="AU3133" s="9"/>
      <c r="AV3133" s="9"/>
      <c r="AW3133" s="9"/>
      <c r="AX3133" s="9"/>
      <c r="AY3133" s="9"/>
      <c r="AZ3133" s="9"/>
      <c r="BA3133" s="9"/>
      <c r="BB3133" s="9"/>
      <c r="BC3133" s="9"/>
      <c r="BD3133" s="9"/>
      <c r="BE3133" s="9"/>
      <c r="BF3133" s="9"/>
      <c r="BG3133" s="9"/>
      <c r="BH3133" s="9"/>
      <c r="BI3133" s="9"/>
      <c r="BJ3133" s="9"/>
      <c r="BK3133" s="9"/>
      <c r="BL3133" s="9"/>
      <c r="BM3133" s="9"/>
      <c r="BN3133" s="9"/>
      <c r="BO3133" s="9"/>
      <c r="BP3133" s="9"/>
      <c r="BQ3133" s="9"/>
      <c r="BR3133" s="9"/>
      <c r="BS3133" s="9"/>
      <c r="BT3133" s="9"/>
      <c r="BU3133" s="9"/>
      <c r="BV3133" s="9"/>
      <c r="BW3133" s="9"/>
      <c r="BX3133" s="9"/>
      <c r="BY3133" s="9"/>
      <c r="BZ3133" s="9"/>
      <c r="CA3133" s="9"/>
      <c r="CB3133" s="9"/>
      <c r="CC3133" s="9"/>
      <c r="CD3133" s="9"/>
      <c r="CE3133" s="9"/>
      <c r="CF3133" s="9"/>
      <c r="CG3133" s="9"/>
      <c r="CH3133" s="9"/>
      <c r="CI3133" s="9"/>
      <c r="CJ3133" s="9"/>
      <c r="CK3133" s="9"/>
      <c r="CL3133" s="9"/>
      <c r="CM3133" s="9"/>
      <c r="CN3133" s="9"/>
      <c r="CO3133" s="9"/>
      <c r="CP3133" s="9"/>
      <c r="CQ3133" s="9"/>
      <c r="CR3133" s="9"/>
      <c r="CS3133" s="9"/>
      <c r="CT3133" s="9"/>
      <c r="CU3133" s="9"/>
      <c r="CV3133" s="9"/>
      <c r="CW3133" s="9"/>
      <c r="CX3133" s="9"/>
      <c r="CY3133" s="9"/>
      <c r="CZ3133" s="9"/>
      <c r="DA3133" s="9"/>
      <c r="DB3133" s="9"/>
      <c r="DC3133" s="9"/>
      <c r="DD3133" s="9"/>
      <c r="DE3133" s="9"/>
      <c r="DF3133" s="9"/>
      <c r="DG3133" s="9"/>
      <c r="DH3133" s="9"/>
      <c r="DI3133" s="9"/>
      <c r="DJ3133" s="9"/>
      <c r="DK3133" s="9"/>
      <c r="DL3133" s="9"/>
      <c r="DM3133" s="9"/>
      <c r="DN3133" s="9"/>
      <c r="DO3133" s="9"/>
      <c r="DP3133" s="9"/>
      <c r="DQ3133" s="9"/>
      <c r="DR3133" s="9"/>
      <c r="DS3133" s="9"/>
      <c r="DT3133" s="9"/>
      <c r="DU3133" s="9"/>
      <c r="DV3133" s="9"/>
      <c r="DW3133" s="9"/>
      <c r="DX3133" s="9"/>
      <c r="DY3133" s="9"/>
      <c r="DZ3133" s="9"/>
      <c r="EA3133" s="9"/>
      <c r="EB3133" s="9"/>
      <c r="EC3133" s="9"/>
      <c r="ED3133" s="9"/>
      <c r="EE3133" s="9"/>
      <c r="EF3133" s="9"/>
      <c r="EG3133" s="9"/>
      <c r="EH3133" s="9"/>
      <c r="EI3133" s="9"/>
      <c r="EJ3133" s="9"/>
      <c r="EK3133" s="9"/>
      <c r="EL3133" s="9"/>
      <c r="EM3133" s="9"/>
      <c r="EN3133" s="9"/>
      <c r="EO3133" s="9"/>
      <c r="EP3133" s="9"/>
      <c r="EQ3133" s="9"/>
      <c r="ER3133" s="9"/>
      <c r="ES3133" s="9"/>
      <c r="ET3133" s="9"/>
      <c r="EU3133" s="9"/>
      <c r="EV3133" s="9"/>
      <c r="EW3133" s="9"/>
      <c r="EX3133" s="9"/>
      <c r="EY3133" s="9"/>
      <c r="EZ3133" s="9"/>
      <c r="FA3133" s="9"/>
      <c r="FB3133" s="9"/>
      <c r="FC3133" s="9"/>
      <c r="FD3133" s="9"/>
      <c r="FE3133" s="9"/>
      <c r="FF3133" s="9"/>
      <c r="FG3133" s="9"/>
      <c r="FH3133" s="9"/>
      <c r="FI3133" s="9"/>
      <c r="FJ3133" s="9"/>
      <c r="FK3133" s="9"/>
      <c r="FL3133" s="9"/>
      <c r="FM3133" s="9"/>
      <c r="FN3133" s="9"/>
      <c r="FO3133" s="9"/>
      <c r="FP3133" s="9"/>
      <c r="FQ3133" s="9"/>
      <c r="FR3133" s="9"/>
      <c r="FS3133" s="9"/>
      <c r="FT3133" s="9"/>
      <c r="FU3133" s="9"/>
      <c r="FV3133" s="9"/>
      <c r="FW3133" s="9"/>
      <c r="FX3133" s="9"/>
      <c r="FY3133" s="9"/>
      <c r="FZ3133" s="9"/>
      <c r="GA3133" s="9"/>
      <c r="GB3133" s="9"/>
      <c r="GC3133" s="9"/>
      <c r="GD3133" s="9"/>
      <c r="GE3133" s="9"/>
      <c r="GF3133" s="9"/>
      <c r="GG3133" s="9"/>
      <c r="GH3133" s="9"/>
      <c r="GI3133" s="9"/>
      <c r="GJ3133" s="9"/>
      <c r="GK3133" s="9"/>
      <c r="GL3133" s="9"/>
      <c r="GM3133" s="9"/>
      <c r="GN3133" s="9"/>
      <c r="GO3133" s="9"/>
      <c r="GP3133" s="9"/>
      <c r="GQ3133" s="9"/>
      <c r="GR3133" s="9"/>
      <c r="GS3133" s="9"/>
      <c r="GT3133" s="9"/>
      <c r="GU3133" s="9"/>
      <c r="GV3133" s="9"/>
      <c r="GW3133" s="9"/>
      <c r="GX3133" s="9"/>
      <c r="GY3133" s="9"/>
      <c r="GZ3133" s="9"/>
      <c r="HA3133" s="9"/>
      <c r="HB3133" s="9"/>
      <c r="HC3133" s="9"/>
      <c r="HD3133" s="9"/>
      <c r="HE3133" s="9"/>
      <c r="HF3133" s="9"/>
      <c r="HG3133" s="9"/>
      <c r="HH3133" s="9"/>
      <c r="HI3133" s="9"/>
      <c r="HJ3133" s="9"/>
      <c r="HK3133" s="9"/>
      <c r="HL3133" s="9"/>
      <c r="HM3133" s="9"/>
      <c r="HN3133" s="9"/>
      <c r="HO3133" s="9"/>
    </row>
    <row r="3134" spans="5:223" x14ac:dyDescent="0.35">
      <c r="E3134" s="7"/>
      <c r="F3134" s="7"/>
      <c r="X3134" s="9"/>
      <c r="Y3134" s="9"/>
      <c r="Z3134" s="9"/>
      <c r="AA3134" s="9"/>
      <c r="AB3134" s="9"/>
      <c r="AC3134" s="9"/>
      <c r="AD3134" s="9"/>
      <c r="AE3134" s="9"/>
      <c r="AF3134" s="9"/>
      <c r="AG3134" s="9"/>
      <c r="AH3134" s="9"/>
      <c r="AI3134" s="9"/>
      <c r="AJ3134" s="9"/>
      <c r="AK3134" s="9"/>
      <c r="AL3134" s="9"/>
      <c r="AM3134" s="9"/>
      <c r="AN3134" s="9"/>
      <c r="AO3134" s="9"/>
      <c r="AP3134" s="9"/>
      <c r="AQ3134" s="9"/>
      <c r="AR3134" s="9"/>
      <c r="AS3134" s="9"/>
      <c r="AT3134" s="9"/>
      <c r="AU3134" s="9"/>
      <c r="AV3134" s="9"/>
      <c r="AW3134" s="9"/>
      <c r="AX3134" s="9"/>
      <c r="AY3134" s="9"/>
      <c r="AZ3134" s="9"/>
      <c r="BA3134" s="9"/>
      <c r="BB3134" s="9"/>
      <c r="BC3134" s="9"/>
      <c r="BD3134" s="9"/>
      <c r="BE3134" s="9"/>
      <c r="BF3134" s="9"/>
      <c r="BG3134" s="9"/>
      <c r="BH3134" s="9"/>
      <c r="BI3134" s="9"/>
      <c r="BJ3134" s="9"/>
      <c r="BK3134" s="9"/>
      <c r="BL3134" s="9"/>
      <c r="BM3134" s="9"/>
      <c r="BN3134" s="9"/>
      <c r="BO3134" s="9"/>
      <c r="BP3134" s="9"/>
      <c r="BQ3134" s="9"/>
      <c r="BR3134" s="9"/>
      <c r="BS3134" s="9"/>
      <c r="BT3134" s="9"/>
      <c r="BU3134" s="9"/>
      <c r="BV3134" s="9"/>
      <c r="BW3134" s="9"/>
      <c r="BX3134" s="9"/>
      <c r="BY3134" s="9"/>
      <c r="BZ3134" s="9"/>
      <c r="CA3134" s="9"/>
      <c r="CB3134" s="9"/>
      <c r="CC3134" s="9"/>
      <c r="CD3134" s="9"/>
      <c r="CE3134" s="9"/>
      <c r="CF3134" s="9"/>
      <c r="CG3134" s="9"/>
      <c r="CH3134" s="9"/>
      <c r="CI3134" s="9"/>
      <c r="CJ3134" s="9"/>
      <c r="CK3134" s="9"/>
      <c r="CL3134" s="9"/>
      <c r="CM3134" s="9"/>
      <c r="CN3134" s="9"/>
      <c r="CO3134" s="9"/>
      <c r="CP3134" s="9"/>
      <c r="CQ3134" s="9"/>
      <c r="CR3134" s="9"/>
      <c r="CS3134" s="9"/>
      <c r="CT3134" s="9"/>
      <c r="CU3134" s="9"/>
      <c r="CV3134" s="9"/>
      <c r="CW3134" s="9"/>
      <c r="CX3134" s="9"/>
      <c r="CY3134" s="9"/>
      <c r="CZ3134" s="9"/>
      <c r="DA3134" s="9"/>
      <c r="DB3134" s="9"/>
      <c r="DC3134" s="9"/>
      <c r="DD3134" s="9"/>
      <c r="DE3134" s="9"/>
      <c r="DF3134" s="9"/>
      <c r="DG3134" s="9"/>
      <c r="DH3134" s="9"/>
      <c r="DI3134" s="9"/>
      <c r="DJ3134" s="9"/>
      <c r="DK3134" s="9"/>
      <c r="DL3134" s="9"/>
      <c r="DM3134" s="9"/>
      <c r="DN3134" s="9"/>
      <c r="DO3134" s="9"/>
      <c r="DP3134" s="9"/>
      <c r="DQ3134" s="9"/>
      <c r="DR3134" s="9"/>
      <c r="DS3134" s="9"/>
      <c r="DT3134" s="9"/>
      <c r="DU3134" s="9"/>
      <c r="DV3134" s="9"/>
      <c r="DW3134" s="9"/>
      <c r="DX3134" s="9"/>
      <c r="DY3134" s="9"/>
      <c r="DZ3134" s="9"/>
      <c r="EA3134" s="9"/>
      <c r="EB3134" s="9"/>
      <c r="EC3134" s="9"/>
      <c r="ED3134" s="9"/>
      <c r="EE3134" s="9"/>
      <c r="EF3134" s="9"/>
      <c r="EG3134" s="9"/>
      <c r="EH3134" s="9"/>
      <c r="EI3134" s="9"/>
      <c r="EJ3134" s="9"/>
      <c r="EK3134" s="9"/>
      <c r="EL3134" s="9"/>
      <c r="EM3134" s="9"/>
      <c r="EN3134" s="9"/>
      <c r="EO3134" s="9"/>
      <c r="EP3134" s="9"/>
      <c r="EQ3134" s="9"/>
      <c r="ER3134" s="9"/>
      <c r="ES3134" s="9"/>
      <c r="ET3134" s="9"/>
      <c r="EU3134" s="9"/>
      <c r="EV3134" s="9"/>
      <c r="EW3134" s="9"/>
      <c r="EX3134" s="9"/>
      <c r="EY3134" s="9"/>
      <c r="EZ3134" s="9"/>
      <c r="FA3134" s="9"/>
      <c r="FB3134" s="9"/>
      <c r="FC3134" s="9"/>
      <c r="FD3134" s="9"/>
      <c r="FE3134" s="9"/>
      <c r="FF3134" s="9"/>
      <c r="FG3134" s="9"/>
      <c r="FH3134" s="9"/>
      <c r="FI3134" s="9"/>
      <c r="FJ3134" s="9"/>
      <c r="FK3134" s="9"/>
      <c r="FL3134" s="9"/>
      <c r="FM3134" s="9"/>
      <c r="FN3134" s="9"/>
      <c r="FO3134" s="9"/>
      <c r="FP3134" s="9"/>
      <c r="FQ3134" s="9"/>
      <c r="FR3134" s="9"/>
      <c r="FS3134" s="9"/>
      <c r="FT3134" s="9"/>
      <c r="FU3134" s="9"/>
      <c r="FV3134" s="9"/>
      <c r="FW3134" s="9"/>
      <c r="FX3134" s="9"/>
      <c r="FY3134" s="9"/>
      <c r="FZ3134" s="9"/>
      <c r="GA3134" s="9"/>
      <c r="GB3134" s="9"/>
      <c r="GC3134" s="9"/>
      <c r="GD3134" s="9"/>
      <c r="GE3134" s="9"/>
      <c r="GF3134" s="9"/>
      <c r="GG3134" s="9"/>
      <c r="GH3134" s="9"/>
      <c r="GI3134" s="9"/>
      <c r="GJ3134" s="9"/>
      <c r="GK3134" s="9"/>
      <c r="GL3134" s="9"/>
      <c r="GM3134" s="9"/>
      <c r="GN3134" s="9"/>
      <c r="GO3134" s="9"/>
      <c r="GP3134" s="9"/>
      <c r="GQ3134" s="9"/>
      <c r="GR3134" s="9"/>
      <c r="GS3134" s="9"/>
      <c r="GT3134" s="9"/>
      <c r="GU3134" s="9"/>
      <c r="GV3134" s="9"/>
      <c r="GW3134" s="9"/>
      <c r="GX3134" s="9"/>
      <c r="GY3134" s="9"/>
      <c r="GZ3134" s="9"/>
      <c r="HA3134" s="9"/>
      <c r="HB3134" s="9"/>
      <c r="HC3134" s="9"/>
      <c r="HD3134" s="9"/>
      <c r="HE3134" s="9"/>
      <c r="HF3134" s="9"/>
      <c r="HG3134" s="9"/>
      <c r="HH3134" s="9"/>
      <c r="HI3134" s="9"/>
      <c r="HJ3134" s="9"/>
      <c r="HK3134" s="9"/>
      <c r="HL3134" s="9"/>
      <c r="HM3134" s="9"/>
      <c r="HN3134" s="9"/>
      <c r="HO3134" s="9"/>
    </row>
    <row r="3135" spans="5:223" x14ac:dyDescent="0.35">
      <c r="E3135" s="7"/>
      <c r="F3135" s="7"/>
      <c r="X3135" s="9"/>
      <c r="Y3135" s="9"/>
      <c r="Z3135" s="9"/>
      <c r="AA3135" s="9"/>
      <c r="AB3135" s="9"/>
      <c r="AC3135" s="9"/>
      <c r="AD3135" s="9"/>
      <c r="AE3135" s="9"/>
      <c r="AF3135" s="9"/>
      <c r="AG3135" s="9"/>
      <c r="AH3135" s="9"/>
      <c r="AI3135" s="9"/>
      <c r="AJ3135" s="9"/>
      <c r="AK3135" s="9"/>
      <c r="AL3135" s="9"/>
      <c r="AM3135" s="9"/>
      <c r="AN3135" s="9"/>
      <c r="AO3135" s="9"/>
      <c r="AP3135" s="9"/>
      <c r="AQ3135" s="9"/>
      <c r="AR3135" s="9"/>
      <c r="AS3135" s="9"/>
      <c r="AT3135" s="9"/>
      <c r="AU3135" s="9"/>
      <c r="AV3135" s="9"/>
      <c r="AW3135" s="9"/>
      <c r="AX3135" s="9"/>
      <c r="AY3135" s="9"/>
      <c r="AZ3135" s="9"/>
      <c r="BA3135" s="9"/>
      <c r="BB3135" s="9"/>
      <c r="BC3135" s="9"/>
      <c r="BD3135" s="9"/>
      <c r="BE3135" s="9"/>
      <c r="BF3135" s="9"/>
      <c r="BG3135" s="9"/>
      <c r="BH3135" s="9"/>
      <c r="BI3135" s="9"/>
      <c r="BJ3135" s="9"/>
      <c r="BK3135" s="9"/>
      <c r="BL3135" s="9"/>
      <c r="BM3135" s="9"/>
      <c r="BN3135" s="9"/>
      <c r="BO3135" s="9"/>
      <c r="BP3135" s="9"/>
      <c r="BQ3135" s="9"/>
      <c r="BR3135" s="9"/>
      <c r="BS3135" s="9"/>
      <c r="BT3135" s="9"/>
      <c r="BU3135" s="9"/>
      <c r="BV3135" s="9"/>
      <c r="BW3135" s="9"/>
      <c r="BX3135" s="9"/>
      <c r="BY3135" s="9"/>
      <c r="BZ3135" s="9"/>
      <c r="CA3135" s="9"/>
      <c r="CB3135" s="9"/>
      <c r="CC3135" s="9"/>
      <c r="CD3135" s="9"/>
      <c r="CE3135" s="9"/>
      <c r="CF3135" s="9"/>
      <c r="CG3135" s="9"/>
      <c r="CH3135" s="9"/>
      <c r="CI3135" s="9"/>
      <c r="CJ3135" s="9"/>
      <c r="CK3135" s="9"/>
      <c r="CL3135" s="9"/>
      <c r="CM3135" s="9"/>
      <c r="CN3135" s="9"/>
      <c r="CO3135" s="9"/>
      <c r="CP3135" s="9"/>
      <c r="CQ3135" s="9"/>
      <c r="CR3135" s="9"/>
      <c r="CS3135" s="9"/>
      <c r="CT3135" s="9"/>
      <c r="CU3135" s="9"/>
      <c r="CV3135" s="9"/>
      <c r="CW3135" s="9"/>
      <c r="CX3135" s="9"/>
      <c r="CY3135" s="9"/>
      <c r="CZ3135" s="9"/>
      <c r="DA3135" s="9"/>
      <c r="DB3135" s="9"/>
      <c r="DC3135" s="9"/>
      <c r="DD3135" s="9"/>
      <c r="DE3135" s="9"/>
      <c r="DF3135" s="9"/>
      <c r="DG3135" s="9"/>
      <c r="DH3135" s="9"/>
      <c r="DI3135" s="9"/>
      <c r="DJ3135" s="9"/>
      <c r="DK3135" s="9"/>
      <c r="DL3135" s="9"/>
      <c r="DM3135" s="9"/>
      <c r="DN3135" s="9"/>
      <c r="DO3135" s="9"/>
      <c r="DP3135" s="9"/>
      <c r="DQ3135" s="9"/>
      <c r="DR3135" s="9"/>
      <c r="DS3135" s="9"/>
      <c r="DT3135" s="9"/>
      <c r="DU3135" s="9"/>
      <c r="DV3135" s="9"/>
      <c r="DW3135" s="9"/>
      <c r="DX3135" s="9"/>
      <c r="DY3135" s="9"/>
      <c r="DZ3135" s="9"/>
      <c r="EA3135" s="9"/>
      <c r="EB3135" s="9"/>
      <c r="EC3135" s="9"/>
      <c r="ED3135" s="9"/>
      <c r="EE3135" s="9"/>
      <c r="EF3135" s="9"/>
      <c r="EG3135" s="9"/>
      <c r="EH3135" s="9"/>
      <c r="EI3135" s="9"/>
      <c r="EJ3135" s="9"/>
      <c r="EK3135" s="9"/>
      <c r="EL3135" s="9"/>
      <c r="EM3135" s="9"/>
      <c r="EN3135" s="9"/>
      <c r="EO3135" s="9"/>
      <c r="EP3135" s="9"/>
      <c r="EQ3135" s="9"/>
      <c r="ER3135" s="9"/>
      <c r="ES3135" s="9"/>
      <c r="ET3135" s="9"/>
      <c r="EU3135" s="9"/>
      <c r="EV3135" s="9"/>
      <c r="EW3135" s="9"/>
      <c r="EX3135" s="9"/>
      <c r="EY3135" s="9"/>
      <c r="EZ3135" s="9"/>
      <c r="FA3135" s="9"/>
      <c r="FB3135" s="9"/>
      <c r="FC3135" s="9"/>
      <c r="FD3135" s="9"/>
      <c r="FE3135" s="9"/>
      <c r="FF3135" s="9"/>
      <c r="FG3135" s="9"/>
      <c r="FH3135" s="9"/>
      <c r="FI3135" s="9"/>
      <c r="FJ3135" s="9"/>
      <c r="FK3135" s="9"/>
      <c r="FL3135" s="9"/>
      <c r="FM3135" s="9"/>
      <c r="FN3135" s="9"/>
      <c r="FO3135" s="9"/>
      <c r="FP3135" s="9"/>
      <c r="FQ3135" s="9"/>
      <c r="FR3135" s="9"/>
      <c r="FS3135" s="9"/>
      <c r="FT3135" s="9"/>
      <c r="FU3135" s="9"/>
      <c r="FV3135" s="9"/>
      <c r="FW3135" s="9"/>
      <c r="FX3135" s="9"/>
      <c r="FY3135" s="9"/>
      <c r="FZ3135" s="9"/>
      <c r="GA3135" s="9"/>
      <c r="GB3135" s="9"/>
      <c r="GC3135" s="9"/>
      <c r="GD3135" s="9"/>
      <c r="GE3135" s="9"/>
      <c r="GF3135" s="9"/>
      <c r="GG3135" s="9"/>
      <c r="GH3135" s="9"/>
      <c r="GI3135" s="9"/>
      <c r="GJ3135" s="9"/>
      <c r="GK3135" s="9"/>
      <c r="GL3135" s="9"/>
      <c r="GM3135" s="9"/>
      <c r="GN3135" s="9"/>
      <c r="GO3135" s="9"/>
      <c r="GP3135" s="9"/>
      <c r="GQ3135" s="9"/>
      <c r="GR3135" s="9"/>
      <c r="GS3135" s="9"/>
      <c r="GT3135" s="9"/>
      <c r="GU3135" s="9"/>
      <c r="GV3135" s="9"/>
      <c r="GW3135" s="9"/>
      <c r="GX3135" s="9"/>
      <c r="GY3135" s="9"/>
      <c r="GZ3135" s="9"/>
      <c r="HA3135" s="9"/>
      <c r="HB3135" s="9"/>
      <c r="HC3135" s="9"/>
      <c r="HD3135" s="9"/>
      <c r="HE3135" s="9"/>
      <c r="HF3135" s="9"/>
      <c r="HG3135" s="9"/>
      <c r="HH3135" s="9"/>
      <c r="HI3135" s="9"/>
      <c r="HJ3135" s="9"/>
      <c r="HK3135" s="9"/>
      <c r="HL3135" s="9"/>
      <c r="HM3135" s="9"/>
      <c r="HN3135" s="9"/>
      <c r="HO3135" s="9"/>
    </row>
    <row r="3136" spans="5:223" x14ac:dyDescent="0.35">
      <c r="E3136" s="7"/>
      <c r="F3136" s="7"/>
      <c r="X3136" s="9"/>
      <c r="Y3136" s="9"/>
      <c r="Z3136" s="9"/>
      <c r="AA3136" s="9"/>
      <c r="AB3136" s="9"/>
      <c r="AC3136" s="9"/>
      <c r="AD3136" s="9"/>
      <c r="AE3136" s="9"/>
      <c r="AF3136" s="9"/>
      <c r="AG3136" s="9"/>
      <c r="AH3136" s="9"/>
      <c r="AI3136" s="9"/>
      <c r="AJ3136" s="9"/>
      <c r="AK3136" s="9"/>
      <c r="AL3136" s="9"/>
      <c r="AM3136" s="9"/>
      <c r="AN3136" s="9"/>
      <c r="AO3136" s="9"/>
      <c r="AP3136" s="9"/>
      <c r="AQ3136" s="9"/>
      <c r="AR3136" s="9"/>
      <c r="AS3136" s="9"/>
      <c r="AT3136" s="9"/>
      <c r="AU3136" s="9"/>
      <c r="AV3136" s="9"/>
      <c r="AW3136" s="9"/>
      <c r="AX3136" s="9"/>
      <c r="AY3136" s="9"/>
      <c r="AZ3136" s="9"/>
      <c r="BA3136" s="9"/>
      <c r="BB3136" s="9"/>
      <c r="BC3136" s="9"/>
      <c r="BD3136" s="9"/>
      <c r="BE3136" s="9"/>
      <c r="BF3136" s="9"/>
      <c r="BG3136" s="9"/>
      <c r="BH3136" s="9"/>
      <c r="BI3136" s="9"/>
      <c r="BJ3136" s="9"/>
      <c r="BK3136" s="9"/>
      <c r="BL3136" s="9"/>
      <c r="BM3136" s="9"/>
      <c r="BN3136" s="9"/>
      <c r="BO3136" s="9"/>
      <c r="BP3136" s="9"/>
      <c r="BQ3136" s="9"/>
      <c r="BR3136" s="9"/>
      <c r="BS3136" s="9"/>
      <c r="BT3136" s="9"/>
      <c r="BU3136" s="9"/>
      <c r="BV3136" s="9"/>
      <c r="BW3136" s="9"/>
      <c r="BX3136" s="9"/>
      <c r="BY3136" s="9"/>
      <c r="BZ3136" s="9"/>
      <c r="CA3136" s="9"/>
      <c r="CB3136" s="9"/>
      <c r="CC3136" s="9"/>
      <c r="CD3136" s="9"/>
      <c r="CE3136" s="9"/>
      <c r="CF3136" s="9"/>
      <c r="CG3136" s="9"/>
      <c r="CH3136" s="9"/>
      <c r="CI3136" s="9"/>
      <c r="CJ3136" s="9"/>
      <c r="CK3136" s="9"/>
      <c r="CL3136" s="9"/>
      <c r="CM3136" s="9"/>
      <c r="CN3136" s="9"/>
      <c r="CO3136" s="9"/>
      <c r="CP3136" s="9"/>
      <c r="CQ3136" s="9"/>
      <c r="CR3136" s="9"/>
      <c r="CS3136" s="9"/>
      <c r="CT3136" s="9"/>
      <c r="CU3136" s="9"/>
      <c r="CV3136" s="9"/>
      <c r="CW3136" s="9"/>
      <c r="CX3136" s="9"/>
      <c r="CY3136" s="9"/>
      <c r="CZ3136" s="9"/>
      <c r="DA3136" s="9"/>
      <c r="DB3136" s="9"/>
      <c r="DC3136" s="9"/>
      <c r="DD3136" s="9"/>
      <c r="DE3136" s="9"/>
      <c r="DF3136" s="9"/>
      <c r="DG3136" s="9"/>
      <c r="DH3136" s="9"/>
      <c r="DI3136" s="9"/>
      <c r="DJ3136" s="9"/>
      <c r="DK3136" s="9"/>
      <c r="DL3136" s="9"/>
      <c r="DM3136" s="9"/>
      <c r="DN3136" s="9"/>
      <c r="DO3136" s="9"/>
      <c r="DP3136" s="9"/>
      <c r="DQ3136" s="9"/>
      <c r="DR3136" s="9"/>
      <c r="DS3136" s="9"/>
      <c r="DT3136" s="9"/>
      <c r="DU3136" s="9"/>
      <c r="DV3136" s="9"/>
      <c r="DW3136" s="9"/>
      <c r="DX3136" s="9"/>
      <c r="DY3136" s="9"/>
      <c r="DZ3136" s="9"/>
      <c r="EA3136" s="9"/>
      <c r="EB3136" s="9"/>
      <c r="EC3136" s="9"/>
      <c r="ED3136" s="9"/>
      <c r="EE3136" s="9"/>
      <c r="EF3136" s="9"/>
      <c r="EG3136" s="9"/>
      <c r="EH3136" s="9"/>
      <c r="EI3136" s="9"/>
      <c r="EJ3136" s="9"/>
      <c r="EK3136" s="9"/>
      <c r="EL3136" s="9"/>
      <c r="EM3136" s="9"/>
      <c r="EN3136" s="9"/>
      <c r="EO3136" s="9"/>
      <c r="EP3136" s="9"/>
      <c r="EQ3136" s="9"/>
      <c r="ER3136" s="9"/>
      <c r="ES3136" s="9"/>
      <c r="ET3136" s="9"/>
      <c r="EU3136" s="9"/>
      <c r="EV3136" s="9"/>
      <c r="EW3136" s="9"/>
      <c r="EX3136" s="9"/>
      <c r="EY3136" s="9"/>
      <c r="EZ3136" s="9"/>
      <c r="FA3136" s="9"/>
      <c r="FB3136" s="9"/>
      <c r="FC3136" s="9"/>
      <c r="FD3136" s="9"/>
      <c r="FE3136" s="9"/>
      <c r="FF3136" s="9"/>
      <c r="FG3136" s="9"/>
      <c r="FH3136" s="9"/>
      <c r="FI3136" s="9"/>
      <c r="FJ3136" s="9"/>
      <c r="FK3136" s="9"/>
      <c r="FL3136" s="9"/>
      <c r="FM3136" s="9"/>
      <c r="FN3136" s="9"/>
      <c r="FO3136" s="9"/>
      <c r="FP3136" s="9"/>
      <c r="FQ3136" s="9"/>
      <c r="FR3136" s="9"/>
      <c r="FS3136" s="9"/>
      <c r="FT3136" s="9"/>
      <c r="FU3136" s="9"/>
      <c r="FV3136" s="9"/>
      <c r="FW3136" s="9"/>
      <c r="FX3136" s="9"/>
      <c r="FY3136" s="9"/>
      <c r="FZ3136" s="9"/>
      <c r="GA3136" s="9"/>
      <c r="GB3136" s="9"/>
      <c r="GC3136" s="9"/>
      <c r="GD3136" s="9"/>
      <c r="GE3136" s="9"/>
      <c r="GF3136" s="9"/>
      <c r="GG3136" s="9"/>
      <c r="GH3136" s="9"/>
      <c r="GI3136" s="9"/>
      <c r="GJ3136" s="9"/>
      <c r="GK3136" s="9"/>
      <c r="GL3136" s="9"/>
      <c r="GM3136" s="9"/>
      <c r="GN3136" s="9"/>
      <c r="GO3136" s="9"/>
      <c r="GP3136" s="9"/>
      <c r="GQ3136" s="9"/>
      <c r="GR3136" s="9"/>
      <c r="GS3136" s="9"/>
      <c r="GT3136" s="9"/>
      <c r="GU3136" s="9"/>
      <c r="GV3136" s="9"/>
      <c r="GW3136" s="9"/>
      <c r="GX3136" s="9"/>
      <c r="GY3136" s="9"/>
      <c r="GZ3136" s="9"/>
      <c r="HA3136" s="9"/>
      <c r="HB3136" s="9"/>
      <c r="HC3136" s="9"/>
      <c r="HD3136" s="9"/>
      <c r="HE3136" s="9"/>
      <c r="HF3136" s="9"/>
      <c r="HG3136" s="9"/>
      <c r="HH3136" s="9"/>
      <c r="HI3136" s="9"/>
      <c r="HJ3136" s="9"/>
      <c r="HK3136" s="9"/>
      <c r="HL3136" s="9"/>
      <c r="HM3136" s="9"/>
      <c r="HN3136" s="9"/>
      <c r="HO3136" s="9"/>
    </row>
    <row r="3137" spans="5:223" x14ac:dyDescent="0.35">
      <c r="E3137" s="7"/>
      <c r="F3137" s="7"/>
      <c r="X3137" s="9"/>
      <c r="Y3137" s="9"/>
      <c r="Z3137" s="9"/>
      <c r="AA3137" s="9"/>
      <c r="AB3137" s="9"/>
      <c r="AC3137" s="9"/>
      <c r="AD3137" s="9"/>
      <c r="AE3137" s="9"/>
      <c r="AF3137" s="9"/>
      <c r="AG3137" s="9"/>
      <c r="AH3137" s="9"/>
      <c r="AI3137" s="9"/>
      <c r="AJ3137" s="9"/>
      <c r="AK3137" s="9"/>
      <c r="AL3137" s="9"/>
      <c r="AM3137" s="9"/>
      <c r="AN3137" s="9"/>
      <c r="AO3137" s="9"/>
      <c r="AP3137" s="9"/>
      <c r="AQ3137" s="9"/>
      <c r="AR3137" s="9"/>
      <c r="AS3137" s="9"/>
      <c r="AT3137" s="9"/>
      <c r="AU3137" s="9"/>
      <c r="AV3137" s="9"/>
      <c r="AW3137" s="9"/>
      <c r="AX3137" s="9"/>
      <c r="AY3137" s="9"/>
      <c r="AZ3137" s="9"/>
      <c r="BA3137" s="9"/>
      <c r="BB3137" s="9"/>
      <c r="BC3137" s="9"/>
      <c r="BD3137" s="9"/>
      <c r="BE3137" s="9"/>
      <c r="BF3137" s="9"/>
      <c r="BG3137" s="9"/>
      <c r="BH3137" s="9"/>
      <c r="BI3137" s="9"/>
      <c r="BJ3137" s="9"/>
      <c r="BK3137" s="9"/>
      <c r="BL3137" s="9"/>
      <c r="BM3137" s="9"/>
      <c r="BN3137" s="9"/>
      <c r="BO3137" s="9"/>
      <c r="BP3137" s="9"/>
      <c r="BQ3137" s="9"/>
      <c r="BR3137" s="9"/>
      <c r="BS3137" s="9"/>
      <c r="BT3137" s="9"/>
      <c r="BU3137" s="9"/>
      <c r="BV3137" s="9"/>
      <c r="BW3137" s="9"/>
      <c r="BX3137" s="9"/>
      <c r="BY3137" s="9"/>
      <c r="BZ3137" s="9"/>
      <c r="CA3137" s="9"/>
      <c r="CB3137" s="9"/>
      <c r="CC3137" s="9"/>
      <c r="CD3137" s="9"/>
      <c r="CE3137" s="9"/>
      <c r="CF3137" s="9"/>
      <c r="CG3137" s="9"/>
      <c r="CH3137" s="9"/>
      <c r="CI3137" s="9"/>
      <c r="CJ3137" s="9"/>
      <c r="CK3137" s="9"/>
      <c r="CL3137" s="9"/>
      <c r="CM3137" s="9"/>
      <c r="CN3137" s="9"/>
      <c r="CO3137" s="9"/>
      <c r="CP3137" s="9"/>
      <c r="CQ3137" s="9"/>
      <c r="CR3137" s="9"/>
      <c r="CS3137" s="9"/>
      <c r="CT3137" s="9"/>
      <c r="CU3137" s="9"/>
      <c r="CV3137" s="9"/>
      <c r="CW3137" s="9"/>
      <c r="CX3137" s="9"/>
      <c r="CY3137" s="9"/>
      <c r="CZ3137" s="9"/>
      <c r="DA3137" s="9"/>
      <c r="DB3137" s="9"/>
      <c r="DC3137" s="9"/>
      <c r="DD3137" s="9"/>
      <c r="DE3137" s="9"/>
      <c r="DF3137" s="9"/>
      <c r="DG3137" s="9"/>
      <c r="DH3137" s="9"/>
      <c r="DI3137" s="9"/>
      <c r="DJ3137" s="9"/>
      <c r="DK3137" s="9"/>
      <c r="DL3137" s="9"/>
      <c r="DM3137" s="9"/>
      <c r="DN3137" s="9"/>
      <c r="DO3137" s="9"/>
      <c r="DP3137" s="9"/>
      <c r="DQ3137" s="9"/>
      <c r="DR3137" s="9"/>
      <c r="DS3137" s="9"/>
      <c r="DT3137" s="9"/>
      <c r="DU3137" s="9"/>
      <c r="DV3137" s="9"/>
      <c r="DW3137" s="9"/>
      <c r="DX3137" s="9"/>
      <c r="DY3137" s="9"/>
      <c r="DZ3137" s="9"/>
      <c r="EA3137" s="9"/>
      <c r="EB3137" s="9"/>
      <c r="EC3137" s="9"/>
      <c r="ED3137" s="9"/>
      <c r="EE3137" s="9"/>
      <c r="EF3137" s="9"/>
      <c r="EG3137" s="9"/>
      <c r="EH3137" s="9"/>
      <c r="EI3137" s="9"/>
      <c r="EJ3137" s="9"/>
      <c r="EK3137" s="9"/>
      <c r="EL3137" s="9"/>
      <c r="EM3137" s="9"/>
      <c r="EN3137" s="9"/>
      <c r="EO3137" s="9"/>
      <c r="EP3137" s="9"/>
      <c r="EQ3137" s="9"/>
      <c r="ER3137" s="9"/>
      <c r="ES3137" s="9"/>
      <c r="ET3137" s="9"/>
      <c r="EU3137" s="9"/>
      <c r="EV3137" s="9"/>
      <c r="EW3137" s="9"/>
      <c r="EX3137" s="9"/>
      <c r="EY3137" s="9"/>
      <c r="EZ3137" s="9"/>
      <c r="FA3137" s="9"/>
      <c r="FB3137" s="9"/>
      <c r="FC3137" s="9"/>
      <c r="FD3137" s="9"/>
      <c r="FE3137" s="9"/>
      <c r="FF3137" s="9"/>
      <c r="FG3137" s="9"/>
      <c r="FH3137" s="9"/>
      <c r="FI3137" s="9"/>
      <c r="FJ3137" s="9"/>
      <c r="FK3137" s="9"/>
      <c r="FL3137" s="9"/>
      <c r="FM3137" s="9"/>
      <c r="FN3137" s="9"/>
      <c r="FO3137" s="9"/>
      <c r="FP3137" s="9"/>
      <c r="FQ3137" s="9"/>
      <c r="FR3137" s="9"/>
      <c r="FS3137" s="9"/>
      <c r="FT3137" s="9"/>
      <c r="FU3137" s="9"/>
      <c r="FV3137" s="9"/>
      <c r="FW3137" s="9"/>
      <c r="FX3137" s="9"/>
      <c r="FY3137" s="9"/>
      <c r="FZ3137" s="9"/>
      <c r="GA3137" s="9"/>
      <c r="GB3137" s="9"/>
      <c r="GC3137" s="9"/>
      <c r="GD3137" s="9"/>
      <c r="GE3137" s="9"/>
      <c r="GF3137" s="9"/>
      <c r="GG3137" s="9"/>
      <c r="GH3137" s="9"/>
      <c r="GI3137" s="9"/>
      <c r="GJ3137" s="9"/>
      <c r="GK3137" s="9"/>
      <c r="GL3137" s="9"/>
      <c r="GM3137" s="9"/>
      <c r="GN3137" s="9"/>
      <c r="GO3137" s="9"/>
      <c r="GP3137" s="9"/>
      <c r="GQ3137" s="9"/>
      <c r="GR3137" s="9"/>
      <c r="GS3137" s="9"/>
      <c r="GT3137" s="9"/>
      <c r="GU3137" s="9"/>
      <c r="GV3137" s="9"/>
      <c r="GW3137" s="9"/>
      <c r="GX3137" s="9"/>
      <c r="GY3137" s="9"/>
      <c r="GZ3137" s="9"/>
      <c r="HA3137" s="9"/>
      <c r="HB3137" s="9"/>
      <c r="HC3137" s="9"/>
      <c r="HD3137" s="9"/>
      <c r="HE3137" s="9"/>
      <c r="HF3137" s="9"/>
      <c r="HG3137" s="9"/>
      <c r="HH3137" s="9"/>
      <c r="HI3137" s="9"/>
      <c r="HJ3137" s="9"/>
      <c r="HK3137" s="9"/>
      <c r="HL3137" s="9"/>
      <c r="HM3137" s="9"/>
      <c r="HN3137" s="9"/>
      <c r="HO3137" s="9"/>
    </row>
    <row r="3138" spans="5:223" x14ac:dyDescent="0.35">
      <c r="E3138" s="7"/>
      <c r="F3138" s="7"/>
      <c r="X3138" s="9"/>
      <c r="Y3138" s="9"/>
      <c r="Z3138" s="9"/>
      <c r="AA3138" s="9"/>
      <c r="AB3138" s="9"/>
      <c r="AC3138" s="9"/>
      <c r="AD3138" s="9"/>
      <c r="AE3138" s="9"/>
      <c r="AF3138" s="9"/>
      <c r="AG3138" s="9"/>
      <c r="AH3138" s="9"/>
      <c r="AI3138" s="9"/>
      <c r="AJ3138" s="9"/>
      <c r="AK3138" s="9"/>
      <c r="AL3138" s="9"/>
      <c r="AM3138" s="9"/>
      <c r="AN3138" s="9"/>
      <c r="AO3138" s="9"/>
      <c r="AP3138" s="9"/>
      <c r="AQ3138" s="9"/>
      <c r="AR3138" s="9"/>
      <c r="AS3138" s="9"/>
      <c r="AT3138" s="9"/>
      <c r="AU3138" s="9"/>
      <c r="AV3138" s="9"/>
      <c r="AW3138" s="9"/>
      <c r="AX3138" s="9"/>
      <c r="AY3138" s="9"/>
      <c r="AZ3138" s="9"/>
      <c r="BA3138" s="9"/>
      <c r="BB3138" s="9"/>
      <c r="BC3138" s="9"/>
      <c r="BD3138" s="9"/>
      <c r="BE3138" s="9"/>
      <c r="BF3138" s="9"/>
      <c r="BG3138" s="9"/>
      <c r="BH3138" s="9"/>
      <c r="BI3138" s="9"/>
      <c r="BJ3138" s="9"/>
      <c r="BK3138" s="9"/>
      <c r="BL3138" s="9"/>
      <c r="BM3138" s="9"/>
      <c r="BN3138" s="9"/>
      <c r="BO3138" s="9"/>
      <c r="BP3138" s="9"/>
      <c r="BQ3138" s="9"/>
      <c r="BR3138" s="9"/>
      <c r="BS3138" s="9"/>
      <c r="BT3138" s="9"/>
      <c r="BU3138" s="9"/>
      <c r="BV3138" s="9"/>
      <c r="BW3138" s="9"/>
      <c r="BX3138" s="9"/>
      <c r="BY3138" s="9"/>
      <c r="BZ3138" s="9"/>
      <c r="CA3138" s="9"/>
      <c r="CB3138" s="9"/>
      <c r="CC3138" s="9"/>
      <c r="CD3138" s="9"/>
      <c r="CE3138" s="9"/>
      <c r="CF3138" s="9"/>
      <c r="CG3138" s="9"/>
      <c r="CH3138" s="9"/>
      <c r="CI3138" s="9"/>
      <c r="CJ3138" s="9"/>
      <c r="CK3138" s="9"/>
      <c r="CL3138" s="9"/>
      <c r="CM3138" s="9"/>
      <c r="CN3138" s="9"/>
      <c r="CO3138" s="9"/>
      <c r="CP3138" s="9"/>
      <c r="CQ3138" s="9"/>
      <c r="CR3138" s="9"/>
      <c r="CS3138" s="9"/>
      <c r="CT3138" s="9"/>
      <c r="CU3138" s="9"/>
      <c r="CV3138" s="9"/>
      <c r="CW3138" s="9"/>
      <c r="CX3138" s="9"/>
      <c r="CY3138" s="9"/>
      <c r="CZ3138" s="9"/>
      <c r="DA3138" s="9"/>
      <c r="DB3138" s="9"/>
      <c r="DC3138" s="9"/>
      <c r="DD3138" s="9"/>
      <c r="DE3138" s="9"/>
      <c r="DF3138" s="9"/>
      <c r="DG3138" s="9"/>
      <c r="DH3138" s="9"/>
      <c r="DI3138" s="9"/>
      <c r="DJ3138" s="9"/>
      <c r="DK3138" s="9"/>
      <c r="DL3138" s="9"/>
      <c r="DM3138" s="9"/>
      <c r="DN3138" s="9"/>
      <c r="DO3138" s="9"/>
      <c r="DP3138" s="9"/>
      <c r="DQ3138" s="9"/>
      <c r="DR3138" s="9"/>
      <c r="DS3138" s="9"/>
      <c r="DT3138" s="9"/>
      <c r="DU3138" s="9"/>
      <c r="DV3138" s="9"/>
      <c r="DW3138" s="9"/>
      <c r="DX3138" s="9"/>
      <c r="DY3138" s="9"/>
      <c r="DZ3138" s="9"/>
      <c r="EA3138" s="9"/>
      <c r="EB3138" s="9"/>
      <c r="EC3138" s="9"/>
      <c r="ED3138" s="9"/>
      <c r="EE3138" s="9"/>
      <c r="EF3138" s="9"/>
      <c r="EG3138" s="9"/>
      <c r="EH3138" s="9"/>
      <c r="EI3138" s="9"/>
      <c r="EJ3138" s="9"/>
      <c r="EK3138" s="9"/>
      <c r="EL3138" s="9"/>
      <c r="EM3138" s="9"/>
      <c r="EN3138" s="9"/>
      <c r="EO3138" s="9"/>
      <c r="EP3138" s="9"/>
      <c r="EQ3138" s="9"/>
      <c r="ER3138" s="9"/>
      <c r="ES3138" s="9"/>
      <c r="ET3138" s="9"/>
      <c r="EU3138" s="9"/>
      <c r="EV3138" s="9"/>
      <c r="EW3138" s="9"/>
      <c r="EX3138" s="9"/>
      <c r="EY3138" s="9"/>
      <c r="EZ3138" s="9"/>
      <c r="FA3138" s="9"/>
      <c r="FB3138" s="9"/>
      <c r="FC3138" s="9"/>
      <c r="FD3138" s="9"/>
      <c r="FE3138" s="9"/>
      <c r="FF3138" s="9"/>
      <c r="FG3138" s="9"/>
      <c r="FH3138" s="9"/>
      <c r="FI3138" s="9"/>
      <c r="FJ3138" s="9"/>
      <c r="FK3138" s="9"/>
      <c r="FL3138" s="9"/>
      <c r="FM3138" s="9"/>
      <c r="FN3138" s="9"/>
      <c r="FO3138" s="9"/>
      <c r="FP3138" s="9"/>
      <c r="FQ3138" s="9"/>
      <c r="FR3138" s="9"/>
      <c r="FS3138" s="9"/>
      <c r="FT3138" s="9"/>
      <c r="FU3138" s="9"/>
      <c r="FV3138" s="9"/>
      <c r="FW3138" s="9"/>
      <c r="FX3138" s="9"/>
      <c r="FY3138" s="9"/>
      <c r="FZ3138" s="9"/>
      <c r="GA3138" s="9"/>
      <c r="GB3138" s="9"/>
      <c r="GC3138" s="9"/>
      <c r="GD3138" s="9"/>
      <c r="GE3138" s="9"/>
      <c r="GF3138" s="9"/>
      <c r="GG3138" s="9"/>
      <c r="GH3138" s="9"/>
      <c r="GI3138" s="9"/>
      <c r="GJ3138" s="9"/>
      <c r="GK3138" s="9"/>
      <c r="GL3138" s="9"/>
      <c r="GM3138" s="9"/>
      <c r="GN3138" s="9"/>
      <c r="GO3138" s="9"/>
      <c r="GP3138" s="9"/>
      <c r="GQ3138" s="9"/>
      <c r="GR3138" s="9"/>
      <c r="GS3138" s="9"/>
      <c r="GT3138" s="9"/>
      <c r="GU3138" s="9"/>
      <c r="GV3138" s="9"/>
      <c r="GW3138" s="9"/>
      <c r="GX3138" s="9"/>
      <c r="GY3138" s="9"/>
      <c r="GZ3138" s="9"/>
      <c r="HA3138" s="9"/>
      <c r="HB3138" s="9"/>
      <c r="HC3138" s="9"/>
      <c r="HD3138" s="9"/>
      <c r="HE3138" s="9"/>
      <c r="HF3138" s="9"/>
      <c r="HG3138" s="9"/>
      <c r="HH3138" s="9"/>
      <c r="HI3138" s="9"/>
      <c r="HJ3138" s="9"/>
      <c r="HK3138" s="9"/>
      <c r="HL3138" s="9"/>
      <c r="HM3138" s="9"/>
      <c r="HN3138" s="9"/>
      <c r="HO3138" s="9"/>
    </row>
    <row r="3139" spans="5:223" x14ac:dyDescent="0.35">
      <c r="E3139" s="7"/>
      <c r="F3139" s="7"/>
      <c r="X3139" s="9"/>
      <c r="Y3139" s="9"/>
      <c r="Z3139" s="9"/>
      <c r="AA3139" s="9"/>
      <c r="AB3139" s="9"/>
      <c r="AC3139" s="9"/>
      <c r="AD3139" s="9"/>
      <c r="AE3139" s="9"/>
      <c r="AF3139" s="9"/>
      <c r="AG3139" s="9"/>
      <c r="AH3139" s="9"/>
      <c r="AI3139" s="9"/>
      <c r="AJ3139" s="9"/>
      <c r="AK3139" s="9"/>
      <c r="AL3139" s="9"/>
      <c r="AM3139" s="9"/>
      <c r="AN3139" s="9"/>
      <c r="AO3139" s="9"/>
      <c r="AP3139" s="9"/>
      <c r="AQ3139" s="9"/>
      <c r="AR3139" s="9"/>
      <c r="AS3139" s="9"/>
      <c r="AT3139" s="9"/>
      <c r="AU3139" s="9"/>
      <c r="AV3139" s="9"/>
      <c r="AW3139" s="9"/>
      <c r="AX3139" s="9"/>
      <c r="AY3139" s="9"/>
      <c r="AZ3139" s="9"/>
      <c r="BA3139" s="9"/>
      <c r="BB3139" s="9"/>
      <c r="BC3139" s="9"/>
      <c r="BD3139" s="9"/>
      <c r="BE3139" s="9"/>
      <c r="BF3139" s="9"/>
      <c r="BG3139" s="9"/>
      <c r="BH3139" s="9"/>
      <c r="BI3139" s="9"/>
      <c r="BJ3139" s="9"/>
      <c r="BK3139" s="9"/>
      <c r="BL3139" s="9"/>
      <c r="BM3139" s="9"/>
      <c r="BN3139" s="9"/>
      <c r="BO3139" s="9"/>
      <c r="BP3139" s="9"/>
      <c r="BQ3139" s="9"/>
      <c r="BR3139" s="9"/>
      <c r="BS3139" s="9"/>
      <c r="BT3139" s="9"/>
      <c r="BU3139" s="9"/>
      <c r="BV3139" s="9"/>
      <c r="BW3139" s="9"/>
      <c r="BX3139" s="9"/>
      <c r="BY3139" s="9"/>
      <c r="BZ3139" s="9"/>
      <c r="CA3139" s="9"/>
      <c r="CB3139" s="9"/>
      <c r="CC3139" s="9"/>
      <c r="CD3139" s="9"/>
      <c r="CE3139" s="9"/>
      <c r="CF3139" s="9"/>
      <c r="CG3139" s="9"/>
      <c r="CH3139" s="9"/>
      <c r="CI3139" s="9"/>
      <c r="CJ3139" s="9"/>
      <c r="CK3139" s="9"/>
      <c r="CL3139" s="9"/>
      <c r="CM3139" s="9"/>
      <c r="CN3139" s="9"/>
      <c r="CO3139" s="9"/>
      <c r="CP3139" s="9"/>
      <c r="CQ3139" s="9"/>
      <c r="CR3139" s="9"/>
      <c r="CS3139" s="9"/>
      <c r="CT3139" s="9"/>
      <c r="CU3139" s="9"/>
      <c r="CV3139" s="9"/>
      <c r="CW3139" s="9"/>
      <c r="CX3139" s="9"/>
      <c r="CY3139" s="9"/>
      <c r="CZ3139" s="9"/>
      <c r="DA3139" s="9"/>
      <c r="DB3139" s="9"/>
      <c r="DC3139" s="9"/>
      <c r="DD3139" s="9"/>
      <c r="DE3139" s="9"/>
      <c r="DF3139" s="9"/>
      <c r="DG3139" s="9"/>
      <c r="DH3139" s="9"/>
      <c r="DI3139" s="9"/>
      <c r="DJ3139" s="9"/>
      <c r="DK3139" s="9"/>
      <c r="DL3139" s="9"/>
      <c r="DM3139" s="9"/>
      <c r="DN3139" s="9"/>
      <c r="DO3139" s="9"/>
      <c r="DP3139" s="9"/>
      <c r="DQ3139" s="9"/>
      <c r="DR3139" s="9"/>
      <c r="DS3139" s="9"/>
      <c r="DT3139" s="9"/>
      <c r="DU3139" s="9"/>
      <c r="DV3139" s="9"/>
      <c r="DW3139" s="9"/>
      <c r="DX3139" s="9"/>
      <c r="DY3139" s="9"/>
      <c r="DZ3139" s="9"/>
      <c r="EA3139" s="9"/>
      <c r="EB3139" s="9"/>
      <c r="EC3139" s="9"/>
      <c r="ED3139" s="9"/>
      <c r="EE3139" s="9"/>
      <c r="EF3139" s="9"/>
      <c r="EG3139" s="9"/>
      <c r="EH3139" s="9"/>
      <c r="EI3139" s="9"/>
      <c r="EJ3139" s="9"/>
      <c r="EK3139" s="9"/>
      <c r="EL3139" s="9"/>
      <c r="EM3139" s="9"/>
      <c r="EN3139" s="9"/>
      <c r="EO3139" s="9"/>
      <c r="EP3139" s="9"/>
      <c r="EQ3139" s="9"/>
      <c r="ER3139" s="9"/>
      <c r="ES3139" s="9"/>
      <c r="ET3139" s="9"/>
      <c r="EU3139" s="9"/>
      <c r="EV3139" s="9"/>
      <c r="EW3139" s="9"/>
      <c r="EX3139" s="9"/>
      <c r="EY3139" s="9"/>
      <c r="EZ3139" s="9"/>
      <c r="FA3139" s="9"/>
      <c r="FB3139" s="9"/>
      <c r="FC3139" s="9"/>
      <c r="FD3139" s="9"/>
      <c r="FE3139" s="9"/>
      <c r="FF3139" s="9"/>
      <c r="FG3139" s="9"/>
      <c r="FH3139" s="9"/>
      <c r="FI3139" s="9"/>
      <c r="FJ3139" s="9"/>
      <c r="FK3139" s="9"/>
      <c r="FL3139" s="9"/>
      <c r="FM3139" s="9"/>
      <c r="FN3139" s="9"/>
      <c r="FO3139" s="9"/>
      <c r="FP3139" s="9"/>
      <c r="FQ3139" s="9"/>
      <c r="FR3139" s="9"/>
      <c r="FS3139" s="9"/>
      <c r="FT3139" s="9"/>
      <c r="FU3139" s="9"/>
      <c r="FV3139" s="9"/>
      <c r="FW3139" s="9"/>
      <c r="FX3139" s="9"/>
      <c r="FY3139" s="9"/>
      <c r="FZ3139" s="9"/>
      <c r="GA3139" s="9"/>
      <c r="GB3139" s="9"/>
      <c r="GC3139" s="9"/>
      <c r="GD3139" s="9"/>
      <c r="GE3139" s="9"/>
      <c r="GF3139" s="9"/>
      <c r="GG3139" s="9"/>
      <c r="GH3139" s="9"/>
      <c r="GI3139" s="9"/>
      <c r="GJ3139" s="9"/>
      <c r="GK3139" s="9"/>
      <c r="GL3139" s="9"/>
      <c r="GM3139" s="9"/>
      <c r="GN3139" s="9"/>
      <c r="GO3139" s="9"/>
      <c r="GP3139" s="9"/>
      <c r="GQ3139" s="9"/>
      <c r="GR3139" s="9"/>
      <c r="GS3139" s="9"/>
      <c r="GT3139" s="9"/>
      <c r="GU3139" s="9"/>
      <c r="GV3139" s="9"/>
      <c r="GW3139" s="9"/>
      <c r="GX3139" s="9"/>
      <c r="GY3139" s="9"/>
      <c r="GZ3139" s="9"/>
      <c r="HA3139" s="9"/>
      <c r="HB3139" s="9"/>
      <c r="HC3139" s="9"/>
      <c r="HD3139" s="9"/>
      <c r="HE3139" s="9"/>
      <c r="HF3139" s="9"/>
      <c r="HG3139" s="9"/>
      <c r="HH3139" s="9"/>
      <c r="HI3139" s="9"/>
      <c r="HJ3139" s="9"/>
      <c r="HK3139" s="9"/>
      <c r="HL3139" s="9"/>
      <c r="HM3139" s="9"/>
      <c r="HN3139" s="9"/>
      <c r="HO3139" s="9"/>
    </row>
    <row r="3140" spans="5:223" x14ac:dyDescent="0.35">
      <c r="E3140" s="7"/>
      <c r="F3140" s="7"/>
      <c r="X3140" s="9"/>
      <c r="Y3140" s="9"/>
      <c r="Z3140" s="9"/>
      <c r="AA3140" s="9"/>
      <c r="AB3140" s="9"/>
      <c r="AC3140" s="9"/>
      <c r="AD3140" s="9"/>
      <c r="AE3140" s="9"/>
      <c r="AF3140" s="9"/>
      <c r="AG3140" s="9"/>
      <c r="AH3140" s="9"/>
      <c r="AI3140" s="9"/>
      <c r="AJ3140" s="9"/>
      <c r="AK3140" s="9"/>
      <c r="AL3140" s="9"/>
      <c r="AM3140" s="9"/>
      <c r="AN3140" s="9"/>
      <c r="AO3140" s="9"/>
      <c r="AP3140" s="9"/>
      <c r="AQ3140" s="9"/>
      <c r="AR3140" s="9"/>
      <c r="AS3140" s="9"/>
      <c r="AT3140" s="9"/>
      <c r="AU3140" s="9"/>
      <c r="AV3140" s="9"/>
      <c r="AW3140" s="9"/>
      <c r="AX3140" s="9"/>
      <c r="AY3140" s="9"/>
      <c r="AZ3140" s="9"/>
      <c r="BA3140" s="9"/>
      <c r="BB3140" s="9"/>
      <c r="BC3140" s="9"/>
      <c r="BD3140" s="9"/>
      <c r="BE3140" s="9"/>
      <c r="BF3140" s="9"/>
      <c r="BG3140" s="9"/>
      <c r="BH3140" s="9"/>
      <c r="BI3140" s="9"/>
      <c r="BJ3140" s="9"/>
      <c r="BK3140" s="9"/>
      <c r="BL3140" s="9"/>
      <c r="BM3140" s="9"/>
      <c r="BN3140" s="9"/>
      <c r="BO3140" s="9"/>
      <c r="BP3140" s="9"/>
      <c r="BQ3140" s="9"/>
      <c r="BR3140" s="9"/>
      <c r="BS3140" s="9"/>
      <c r="BT3140" s="9"/>
      <c r="BU3140" s="9"/>
      <c r="BV3140" s="9"/>
      <c r="BW3140" s="9"/>
      <c r="BX3140" s="9"/>
      <c r="BY3140" s="9"/>
      <c r="BZ3140" s="9"/>
      <c r="CA3140" s="9"/>
      <c r="CB3140" s="9"/>
      <c r="CC3140" s="9"/>
      <c r="CD3140" s="9"/>
      <c r="CE3140" s="9"/>
      <c r="CF3140" s="9"/>
      <c r="CG3140" s="9"/>
      <c r="CH3140" s="9"/>
      <c r="CI3140" s="9"/>
      <c r="CJ3140" s="9"/>
      <c r="CK3140" s="9"/>
      <c r="CL3140" s="9"/>
      <c r="CM3140" s="9"/>
      <c r="CN3140" s="9"/>
      <c r="CO3140" s="9"/>
      <c r="CP3140" s="9"/>
      <c r="CQ3140" s="9"/>
      <c r="CR3140" s="9"/>
      <c r="CS3140" s="9"/>
      <c r="CT3140" s="9"/>
      <c r="CU3140" s="9"/>
      <c r="CV3140" s="9"/>
      <c r="CW3140" s="9"/>
      <c r="CX3140" s="9"/>
      <c r="CY3140" s="9"/>
      <c r="CZ3140" s="9"/>
      <c r="DA3140" s="9"/>
      <c r="DB3140" s="9"/>
      <c r="DC3140" s="9"/>
      <c r="DD3140" s="9"/>
      <c r="DE3140" s="9"/>
      <c r="DF3140" s="9"/>
      <c r="DG3140" s="9"/>
      <c r="DH3140" s="9"/>
      <c r="DI3140" s="9"/>
      <c r="DJ3140" s="9"/>
      <c r="DK3140" s="9"/>
      <c r="DL3140" s="9"/>
      <c r="DM3140" s="9"/>
      <c r="DN3140" s="9"/>
      <c r="DO3140" s="9"/>
      <c r="DP3140" s="9"/>
      <c r="DQ3140" s="9"/>
      <c r="DR3140" s="9"/>
      <c r="DS3140" s="9"/>
      <c r="DT3140" s="9"/>
      <c r="DU3140" s="9"/>
      <c r="DV3140" s="9"/>
      <c r="DW3140" s="9"/>
      <c r="DX3140" s="9"/>
      <c r="DY3140" s="9"/>
      <c r="DZ3140" s="9"/>
      <c r="EA3140" s="9"/>
      <c r="EB3140" s="9"/>
      <c r="EC3140" s="9"/>
      <c r="ED3140" s="9"/>
      <c r="EE3140" s="9"/>
      <c r="EF3140" s="9"/>
      <c r="EG3140" s="9"/>
      <c r="EH3140" s="9"/>
      <c r="EI3140" s="9"/>
      <c r="EJ3140" s="9"/>
      <c r="EK3140" s="9"/>
      <c r="EL3140" s="9"/>
      <c r="EM3140" s="9"/>
      <c r="EN3140" s="9"/>
      <c r="EO3140" s="9"/>
      <c r="EP3140" s="9"/>
      <c r="EQ3140" s="9"/>
      <c r="ER3140" s="9"/>
      <c r="ES3140" s="9"/>
      <c r="ET3140" s="9"/>
      <c r="EU3140" s="9"/>
      <c r="EV3140" s="9"/>
      <c r="EW3140" s="9"/>
      <c r="EX3140" s="9"/>
      <c r="EY3140" s="9"/>
      <c r="EZ3140" s="9"/>
      <c r="FA3140" s="9"/>
      <c r="FB3140" s="9"/>
      <c r="FC3140" s="9"/>
      <c r="FD3140" s="9"/>
      <c r="FE3140" s="9"/>
      <c r="FF3140" s="9"/>
      <c r="FG3140" s="9"/>
      <c r="FH3140" s="9"/>
      <c r="FI3140" s="9"/>
      <c r="FJ3140" s="9"/>
      <c r="FK3140" s="9"/>
      <c r="FL3140" s="9"/>
      <c r="FM3140" s="9"/>
      <c r="FN3140" s="9"/>
      <c r="FO3140" s="9"/>
      <c r="FP3140" s="9"/>
      <c r="FQ3140" s="9"/>
      <c r="FR3140" s="9"/>
      <c r="FS3140" s="9"/>
      <c r="FT3140" s="9"/>
      <c r="FU3140" s="9"/>
      <c r="FV3140" s="9"/>
      <c r="FW3140" s="9"/>
      <c r="FX3140" s="9"/>
      <c r="FY3140" s="9"/>
      <c r="FZ3140" s="9"/>
      <c r="GA3140" s="9"/>
      <c r="GB3140" s="9"/>
      <c r="GC3140" s="9"/>
      <c r="GD3140" s="9"/>
      <c r="GE3140" s="9"/>
      <c r="GF3140" s="9"/>
      <c r="GG3140" s="9"/>
      <c r="GH3140" s="9"/>
      <c r="GI3140" s="9"/>
      <c r="GJ3140" s="9"/>
      <c r="GK3140" s="9"/>
      <c r="GL3140" s="9"/>
      <c r="GM3140" s="9"/>
      <c r="GN3140" s="9"/>
      <c r="GO3140" s="9"/>
      <c r="GP3140" s="9"/>
      <c r="GQ3140" s="9"/>
      <c r="GR3140" s="9"/>
      <c r="GS3140" s="9"/>
      <c r="GT3140" s="9"/>
      <c r="GU3140" s="9"/>
      <c r="GV3140" s="9"/>
      <c r="GW3140" s="9"/>
      <c r="GX3140" s="9"/>
      <c r="GY3140" s="9"/>
      <c r="GZ3140" s="9"/>
      <c r="HA3140" s="9"/>
      <c r="HB3140" s="9"/>
      <c r="HC3140" s="9"/>
      <c r="HD3140" s="9"/>
      <c r="HE3140" s="9"/>
      <c r="HF3140" s="9"/>
      <c r="HG3140" s="9"/>
      <c r="HH3140" s="9"/>
      <c r="HI3140" s="9"/>
      <c r="HJ3140" s="9"/>
      <c r="HK3140" s="9"/>
      <c r="HL3140" s="9"/>
      <c r="HM3140" s="9"/>
      <c r="HN3140" s="9"/>
      <c r="HO3140" s="9"/>
    </row>
    <row r="3141" spans="5:223" x14ac:dyDescent="0.35">
      <c r="E3141" s="7"/>
      <c r="F3141" s="7"/>
      <c r="X3141" s="9"/>
      <c r="Y3141" s="9"/>
      <c r="Z3141" s="9"/>
      <c r="AA3141" s="9"/>
      <c r="AB3141" s="9"/>
      <c r="AC3141" s="9"/>
      <c r="AD3141" s="9"/>
      <c r="AE3141" s="9"/>
      <c r="AF3141" s="9"/>
      <c r="AG3141" s="9"/>
      <c r="AH3141" s="9"/>
      <c r="AI3141" s="9"/>
      <c r="AJ3141" s="9"/>
      <c r="AK3141" s="9"/>
      <c r="AL3141" s="9"/>
      <c r="AM3141" s="9"/>
      <c r="AN3141" s="9"/>
      <c r="AO3141" s="9"/>
      <c r="AP3141" s="9"/>
      <c r="AQ3141" s="9"/>
      <c r="AR3141" s="9"/>
      <c r="AS3141" s="9"/>
      <c r="AT3141" s="9"/>
      <c r="AU3141" s="9"/>
      <c r="AV3141" s="9"/>
      <c r="AW3141" s="9"/>
      <c r="AX3141" s="9"/>
      <c r="AY3141" s="9"/>
      <c r="AZ3141" s="9"/>
      <c r="BA3141" s="9"/>
      <c r="BB3141" s="9"/>
      <c r="BC3141" s="9"/>
      <c r="BD3141" s="9"/>
      <c r="BE3141" s="9"/>
      <c r="BF3141" s="9"/>
      <c r="BG3141" s="9"/>
      <c r="BH3141" s="9"/>
      <c r="BI3141" s="9"/>
      <c r="BJ3141" s="9"/>
      <c r="BK3141" s="9"/>
      <c r="BL3141" s="9"/>
      <c r="BM3141" s="9"/>
      <c r="BN3141" s="9"/>
      <c r="BO3141" s="9"/>
      <c r="BP3141" s="9"/>
      <c r="BQ3141" s="9"/>
      <c r="BR3141" s="9"/>
      <c r="BS3141" s="9"/>
      <c r="BT3141" s="9"/>
      <c r="BU3141" s="9"/>
      <c r="BV3141" s="9"/>
      <c r="BW3141" s="9"/>
      <c r="BX3141" s="9"/>
      <c r="BY3141" s="9"/>
      <c r="BZ3141" s="9"/>
      <c r="CA3141" s="9"/>
      <c r="CB3141" s="9"/>
      <c r="CC3141" s="9"/>
      <c r="CD3141" s="9"/>
      <c r="CE3141" s="9"/>
      <c r="CF3141" s="9"/>
      <c r="CG3141" s="9"/>
      <c r="CH3141" s="9"/>
      <c r="CI3141" s="9"/>
      <c r="CJ3141" s="9"/>
      <c r="CK3141" s="9"/>
      <c r="CL3141" s="9"/>
      <c r="CM3141" s="9"/>
      <c r="CN3141" s="9"/>
      <c r="CO3141" s="9"/>
      <c r="CP3141" s="9"/>
      <c r="CQ3141" s="9"/>
      <c r="CR3141" s="9"/>
      <c r="CS3141" s="9"/>
      <c r="CT3141" s="9"/>
      <c r="CU3141" s="9"/>
      <c r="CV3141" s="9"/>
      <c r="CW3141" s="9"/>
      <c r="CX3141" s="9"/>
      <c r="CY3141" s="9"/>
      <c r="CZ3141" s="9"/>
      <c r="DA3141" s="9"/>
      <c r="DB3141" s="9"/>
      <c r="DC3141" s="9"/>
      <c r="DD3141" s="9"/>
      <c r="DE3141" s="9"/>
      <c r="DF3141" s="9"/>
      <c r="DG3141" s="9"/>
      <c r="DH3141" s="9"/>
      <c r="DI3141" s="9"/>
      <c r="DJ3141" s="9"/>
      <c r="DK3141" s="9"/>
      <c r="DL3141" s="9"/>
      <c r="DM3141" s="9"/>
      <c r="DN3141" s="9"/>
      <c r="DO3141" s="9"/>
      <c r="DP3141" s="9"/>
      <c r="DQ3141" s="9"/>
      <c r="DR3141" s="9"/>
      <c r="DS3141" s="9"/>
      <c r="DT3141" s="9"/>
      <c r="DU3141" s="9"/>
      <c r="DV3141" s="9"/>
      <c r="DW3141" s="9"/>
      <c r="DX3141" s="9"/>
      <c r="DY3141" s="9"/>
      <c r="DZ3141" s="9"/>
      <c r="EA3141" s="9"/>
      <c r="EB3141" s="9"/>
      <c r="EC3141" s="9"/>
      <c r="ED3141" s="9"/>
      <c r="EE3141" s="9"/>
      <c r="EF3141" s="9"/>
      <c r="EG3141" s="9"/>
      <c r="EH3141" s="9"/>
      <c r="EI3141" s="9"/>
      <c r="EJ3141" s="9"/>
      <c r="EK3141" s="9"/>
      <c r="EL3141" s="9"/>
      <c r="EM3141" s="9"/>
      <c r="EN3141" s="9"/>
      <c r="EO3141" s="9"/>
      <c r="EP3141" s="9"/>
      <c r="EQ3141" s="9"/>
      <c r="ER3141" s="9"/>
      <c r="ES3141" s="9"/>
      <c r="ET3141" s="9"/>
      <c r="EU3141" s="9"/>
      <c r="EV3141" s="9"/>
      <c r="EW3141" s="9"/>
      <c r="EX3141" s="9"/>
      <c r="EY3141" s="9"/>
      <c r="EZ3141" s="9"/>
      <c r="FA3141" s="9"/>
      <c r="FB3141" s="9"/>
      <c r="FC3141" s="9"/>
      <c r="FD3141" s="9"/>
      <c r="FE3141" s="9"/>
      <c r="FF3141" s="9"/>
      <c r="FG3141" s="9"/>
      <c r="FH3141" s="9"/>
      <c r="FI3141" s="9"/>
      <c r="FJ3141" s="9"/>
      <c r="FK3141" s="9"/>
      <c r="FL3141" s="9"/>
      <c r="FM3141" s="9"/>
      <c r="FN3141" s="9"/>
      <c r="FO3141" s="9"/>
      <c r="FP3141" s="9"/>
      <c r="FQ3141" s="9"/>
      <c r="FR3141" s="9"/>
      <c r="FS3141" s="9"/>
      <c r="FT3141" s="9"/>
      <c r="FU3141" s="9"/>
      <c r="FV3141" s="9"/>
      <c r="FW3141" s="9"/>
      <c r="FX3141" s="9"/>
      <c r="FY3141" s="9"/>
      <c r="FZ3141" s="9"/>
      <c r="GA3141" s="9"/>
      <c r="GB3141" s="9"/>
      <c r="GC3141" s="9"/>
      <c r="GD3141" s="9"/>
      <c r="GE3141" s="9"/>
      <c r="GF3141" s="9"/>
      <c r="GG3141" s="9"/>
      <c r="GH3141" s="9"/>
      <c r="GI3141" s="9"/>
      <c r="GJ3141" s="9"/>
      <c r="GK3141" s="9"/>
      <c r="GL3141" s="9"/>
      <c r="GM3141" s="9"/>
      <c r="GN3141" s="9"/>
      <c r="GO3141" s="9"/>
      <c r="GP3141" s="9"/>
      <c r="GQ3141" s="9"/>
      <c r="GR3141" s="9"/>
      <c r="GS3141" s="9"/>
      <c r="GT3141" s="9"/>
      <c r="GU3141" s="9"/>
      <c r="GV3141" s="9"/>
      <c r="GW3141" s="9"/>
      <c r="GX3141" s="9"/>
      <c r="GY3141" s="9"/>
      <c r="GZ3141" s="9"/>
      <c r="HA3141" s="9"/>
      <c r="HB3141" s="9"/>
      <c r="HC3141" s="9"/>
      <c r="HD3141" s="9"/>
      <c r="HE3141" s="9"/>
      <c r="HF3141" s="9"/>
      <c r="HG3141" s="9"/>
      <c r="HH3141" s="9"/>
      <c r="HI3141" s="9"/>
      <c r="HJ3141" s="9"/>
      <c r="HK3141" s="9"/>
      <c r="HL3141" s="9"/>
      <c r="HM3141" s="9"/>
      <c r="HN3141" s="9"/>
      <c r="HO3141" s="9"/>
    </row>
    <row r="3142" spans="5:223" x14ac:dyDescent="0.35">
      <c r="E3142" s="7"/>
      <c r="F3142" s="7"/>
      <c r="X3142" s="9"/>
      <c r="Y3142" s="9"/>
      <c r="Z3142" s="9"/>
      <c r="AA3142" s="9"/>
      <c r="AB3142" s="9"/>
      <c r="AC3142" s="9"/>
      <c r="AD3142" s="9"/>
      <c r="AE3142" s="9"/>
      <c r="AF3142" s="9"/>
      <c r="AG3142" s="9"/>
      <c r="AH3142" s="9"/>
      <c r="AI3142" s="9"/>
      <c r="AJ3142" s="9"/>
      <c r="AK3142" s="9"/>
      <c r="AL3142" s="9"/>
      <c r="AM3142" s="9"/>
      <c r="AN3142" s="9"/>
      <c r="AO3142" s="9"/>
      <c r="AP3142" s="9"/>
      <c r="AQ3142" s="9"/>
      <c r="AR3142" s="9"/>
      <c r="AS3142" s="9"/>
      <c r="AT3142" s="9"/>
      <c r="AU3142" s="9"/>
      <c r="AV3142" s="9"/>
      <c r="AW3142" s="9"/>
      <c r="AX3142" s="9"/>
      <c r="AY3142" s="9"/>
      <c r="AZ3142" s="9"/>
      <c r="BA3142" s="9"/>
      <c r="BB3142" s="9"/>
      <c r="BC3142" s="9"/>
      <c r="BD3142" s="9"/>
      <c r="BE3142" s="9"/>
      <c r="BF3142" s="9"/>
      <c r="BG3142" s="9"/>
      <c r="BH3142" s="9"/>
      <c r="BI3142" s="9"/>
      <c r="BJ3142" s="9"/>
      <c r="BK3142" s="9"/>
      <c r="BL3142" s="9"/>
      <c r="BM3142" s="9"/>
      <c r="BN3142" s="9"/>
      <c r="BO3142" s="9"/>
      <c r="BP3142" s="9"/>
      <c r="BQ3142" s="9"/>
      <c r="BR3142" s="9"/>
      <c r="BS3142" s="9"/>
      <c r="BT3142" s="9"/>
      <c r="BU3142" s="9"/>
      <c r="BV3142" s="9"/>
      <c r="BW3142" s="9"/>
      <c r="BX3142" s="9"/>
      <c r="BY3142" s="9"/>
      <c r="BZ3142" s="9"/>
      <c r="CA3142" s="9"/>
      <c r="CB3142" s="9"/>
      <c r="CC3142" s="9"/>
      <c r="CD3142" s="9"/>
      <c r="CE3142" s="9"/>
      <c r="CF3142" s="9"/>
      <c r="CG3142" s="9"/>
      <c r="CH3142" s="9"/>
      <c r="CI3142" s="9"/>
      <c r="CJ3142" s="9"/>
      <c r="CK3142" s="9"/>
      <c r="CL3142" s="9"/>
      <c r="CM3142" s="9"/>
      <c r="CN3142" s="9"/>
      <c r="CO3142" s="9"/>
      <c r="CP3142" s="9"/>
      <c r="CQ3142" s="9"/>
      <c r="CR3142" s="9"/>
      <c r="CS3142" s="9"/>
      <c r="CT3142" s="9"/>
      <c r="CU3142" s="9"/>
      <c r="CV3142" s="9"/>
      <c r="CW3142" s="9"/>
      <c r="CX3142" s="9"/>
      <c r="CY3142" s="9"/>
      <c r="CZ3142" s="9"/>
      <c r="DA3142" s="9"/>
      <c r="DB3142" s="9"/>
      <c r="DC3142" s="9"/>
      <c r="DD3142" s="9"/>
      <c r="DE3142" s="9"/>
      <c r="DF3142" s="9"/>
      <c r="DG3142" s="9"/>
      <c r="DH3142" s="9"/>
      <c r="DI3142" s="9"/>
      <c r="DJ3142" s="9"/>
      <c r="DK3142" s="9"/>
      <c r="DL3142" s="9"/>
      <c r="DM3142" s="9"/>
      <c r="DN3142" s="9"/>
      <c r="DO3142" s="9"/>
      <c r="DP3142" s="9"/>
      <c r="DQ3142" s="9"/>
      <c r="DR3142" s="9"/>
      <c r="DS3142" s="9"/>
      <c r="DT3142" s="9"/>
      <c r="DU3142" s="9"/>
      <c r="DV3142" s="9"/>
      <c r="DW3142" s="9"/>
      <c r="DX3142" s="9"/>
      <c r="DY3142" s="9"/>
      <c r="DZ3142" s="9"/>
      <c r="EA3142" s="9"/>
      <c r="EB3142" s="9"/>
      <c r="EC3142" s="9"/>
      <c r="ED3142" s="9"/>
      <c r="EE3142" s="9"/>
      <c r="EF3142" s="9"/>
      <c r="EG3142" s="9"/>
      <c r="EH3142" s="9"/>
      <c r="EI3142" s="9"/>
      <c r="EJ3142" s="9"/>
      <c r="EK3142" s="9"/>
      <c r="EL3142" s="9"/>
      <c r="EM3142" s="9"/>
      <c r="EN3142" s="9"/>
      <c r="EO3142" s="9"/>
      <c r="EP3142" s="9"/>
      <c r="EQ3142" s="9"/>
      <c r="ER3142" s="9"/>
      <c r="ES3142" s="9"/>
      <c r="ET3142" s="9"/>
      <c r="EU3142" s="9"/>
      <c r="EV3142" s="9"/>
      <c r="EW3142" s="9"/>
      <c r="EX3142" s="9"/>
      <c r="EY3142" s="9"/>
      <c r="EZ3142" s="9"/>
      <c r="FA3142" s="9"/>
      <c r="FB3142" s="9"/>
      <c r="FC3142" s="9"/>
      <c r="FD3142" s="9"/>
      <c r="FE3142" s="9"/>
      <c r="FF3142" s="9"/>
      <c r="FG3142" s="9"/>
      <c r="FH3142" s="9"/>
      <c r="FI3142" s="9"/>
      <c r="FJ3142" s="9"/>
      <c r="FK3142" s="9"/>
      <c r="FL3142" s="9"/>
      <c r="FM3142" s="9"/>
      <c r="FN3142" s="9"/>
      <c r="FO3142" s="9"/>
      <c r="FP3142" s="9"/>
      <c r="FQ3142" s="9"/>
      <c r="FR3142" s="9"/>
      <c r="FS3142" s="9"/>
      <c r="FT3142" s="9"/>
      <c r="FU3142" s="9"/>
      <c r="FV3142" s="9"/>
      <c r="FW3142" s="9"/>
      <c r="FX3142" s="9"/>
      <c r="FY3142" s="9"/>
      <c r="FZ3142" s="9"/>
      <c r="GA3142" s="9"/>
      <c r="GB3142" s="9"/>
      <c r="GC3142" s="9"/>
      <c r="GD3142" s="9"/>
      <c r="GE3142" s="9"/>
      <c r="GF3142" s="9"/>
      <c r="GG3142" s="9"/>
      <c r="GH3142" s="9"/>
      <c r="GI3142" s="9"/>
      <c r="GJ3142" s="9"/>
      <c r="GK3142" s="9"/>
      <c r="GL3142" s="9"/>
      <c r="GM3142" s="9"/>
      <c r="GN3142" s="9"/>
      <c r="GO3142" s="9"/>
      <c r="GP3142" s="9"/>
      <c r="GQ3142" s="9"/>
      <c r="GR3142" s="9"/>
      <c r="GS3142" s="9"/>
      <c r="GT3142" s="9"/>
      <c r="GU3142" s="9"/>
      <c r="GV3142" s="9"/>
      <c r="GW3142" s="9"/>
      <c r="GX3142" s="9"/>
      <c r="GY3142" s="9"/>
      <c r="GZ3142" s="9"/>
      <c r="HA3142" s="9"/>
      <c r="HB3142" s="9"/>
      <c r="HC3142" s="9"/>
      <c r="HD3142" s="9"/>
      <c r="HE3142" s="9"/>
      <c r="HF3142" s="9"/>
      <c r="HG3142" s="9"/>
      <c r="HH3142" s="9"/>
      <c r="HI3142" s="9"/>
      <c r="HJ3142" s="9"/>
      <c r="HK3142" s="9"/>
      <c r="HL3142" s="9"/>
      <c r="HM3142" s="9"/>
      <c r="HN3142" s="9"/>
      <c r="HO3142" s="9"/>
    </row>
    <row r="3152" spans="5:223" x14ac:dyDescent="0.35">
      <c r="E3152" s="7"/>
      <c r="F3152" s="7"/>
    </row>
    <row r="3153" spans="5:223" x14ac:dyDescent="0.35">
      <c r="E3153" s="7"/>
      <c r="F3153" s="7"/>
    </row>
    <row r="3154" spans="5:223" x14ac:dyDescent="0.35">
      <c r="E3154" s="7"/>
      <c r="F3154" s="7"/>
    </row>
    <row r="3155" spans="5:223" x14ac:dyDescent="0.35">
      <c r="E3155" s="7"/>
      <c r="F3155" s="7"/>
      <c r="X3155" s="9"/>
      <c r="Y3155" s="9"/>
      <c r="Z3155" s="9"/>
      <c r="AA3155" s="9"/>
      <c r="AB3155" s="9"/>
      <c r="AC3155" s="9"/>
      <c r="AD3155" s="9"/>
      <c r="AE3155" s="9"/>
      <c r="AF3155" s="9"/>
      <c r="AG3155" s="9"/>
      <c r="AH3155" s="9"/>
      <c r="AI3155" s="9"/>
      <c r="AJ3155" s="9"/>
      <c r="AK3155" s="9"/>
      <c r="AL3155" s="9"/>
      <c r="AM3155" s="9"/>
      <c r="AN3155" s="9"/>
      <c r="AO3155" s="9"/>
      <c r="AP3155" s="9"/>
      <c r="AQ3155" s="9"/>
      <c r="AR3155" s="9"/>
      <c r="AS3155" s="9"/>
      <c r="AT3155" s="9"/>
      <c r="AU3155" s="9"/>
      <c r="AV3155" s="9"/>
      <c r="AW3155" s="9"/>
      <c r="AX3155" s="9"/>
      <c r="AY3155" s="9"/>
      <c r="AZ3155" s="9"/>
      <c r="BA3155" s="9"/>
      <c r="BB3155" s="9"/>
      <c r="BC3155" s="9"/>
      <c r="BD3155" s="9"/>
      <c r="BE3155" s="9"/>
      <c r="BF3155" s="9"/>
      <c r="BG3155" s="9"/>
      <c r="BH3155" s="9"/>
      <c r="BI3155" s="9"/>
      <c r="BJ3155" s="9"/>
      <c r="BK3155" s="9"/>
      <c r="BL3155" s="9"/>
      <c r="BM3155" s="9"/>
      <c r="BN3155" s="9"/>
      <c r="BO3155" s="9"/>
      <c r="BP3155" s="9"/>
      <c r="BQ3155" s="9"/>
      <c r="BR3155" s="9"/>
      <c r="BS3155" s="9"/>
      <c r="BT3155" s="9"/>
      <c r="BU3155" s="9"/>
      <c r="BV3155" s="9"/>
      <c r="BW3155" s="9"/>
      <c r="BX3155" s="9"/>
      <c r="BY3155" s="9"/>
      <c r="BZ3155" s="9"/>
      <c r="CA3155" s="9"/>
      <c r="CB3155" s="9"/>
      <c r="CC3155" s="9"/>
      <c r="CD3155" s="9"/>
      <c r="CE3155" s="9"/>
      <c r="CF3155" s="9"/>
      <c r="CG3155" s="9"/>
      <c r="CH3155" s="9"/>
      <c r="CI3155" s="9"/>
      <c r="CJ3155" s="9"/>
      <c r="CK3155" s="9"/>
      <c r="CL3155" s="9"/>
      <c r="CM3155" s="9"/>
      <c r="CN3155" s="9"/>
      <c r="CO3155" s="9"/>
      <c r="CP3155" s="9"/>
      <c r="CQ3155" s="9"/>
      <c r="CR3155" s="9"/>
      <c r="CS3155" s="9"/>
      <c r="CT3155" s="9"/>
      <c r="CU3155" s="9"/>
      <c r="CV3155" s="9"/>
      <c r="CW3155" s="9"/>
      <c r="CX3155" s="9"/>
      <c r="CY3155" s="9"/>
      <c r="CZ3155" s="9"/>
      <c r="DA3155" s="9"/>
      <c r="DB3155" s="9"/>
      <c r="DC3155" s="9"/>
      <c r="DD3155" s="9"/>
      <c r="DE3155" s="9"/>
      <c r="DF3155" s="9"/>
      <c r="DG3155" s="9"/>
      <c r="DH3155" s="9"/>
      <c r="DI3155" s="9"/>
      <c r="DJ3155" s="9"/>
      <c r="DK3155" s="9"/>
      <c r="DL3155" s="9"/>
      <c r="DM3155" s="9"/>
      <c r="DN3155" s="9"/>
      <c r="DO3155" s="9"/>
      <c r="DP3155" s="9"/>
      <c r="DQ3155" s="9"/>
      <c r="DR3155" s="9"/>
      <c r="DS3155" s="9"/>
      <c r="DT3155" s="9"/>
      <c r="DU3155" s="9"/>
      <c r="DV3155" s="9"/>
      <c r="DW3155" s="9"/>
      <c r="DX3155" s="9"/>
      <c r="DY3155" s="9"/>
      <c r="DZ3155" s="9"/>
      <c r="EA3155" s="9"/>
      <c r="EB3155" s="9"/>
      <c r="EC3155" s="9"/>
      <c r="ED3155" s="9"/>
      <c r="EE3155" s="9"/>
      <c r="EF3155" s="9"/>
      <c r="EG3155" s="9"/>
      <c r="EH3155" s="9"/>
      <c r="EI3155" s="9"/>
      <c r="EJ3155" s="9"/>
      <c r="EK3155" s="9"/>
      <c r="EL3155" s="9"/>
      <c r="EM3155" s="9"/>
      <c r="EN3155" s="9"/>
      <c r="EO3155" s="9"/>
      <c r="EP3155" s="9"/>
      <c r="EQ3155" s="9"/>
      <c r="ER3155" s="9"/>
      <c r="ES3155" s="9"/>
      <c r="ET3155" s="9"/>
      <c r="EU3155" s="9"/>
      <c r="EV3155" s="9"/>
      <c r="EW3155" s="9"/>
      <c r="EX3155" s="9"/>
      <c r="EY3155" s="9"/>
      <c r="EZ3155" s="9"/>
      <c r="FA3155" s="9"/>
      <c r="FB3155" s="9"/>
      <c r="FC3155" s="9"/>
      <c r="FD3155" s="9"/>
      <c r="FE3155" s="9"/>
      <c r="FF3155" s="9"/>
      <c r="FG3155" s="9"/>
      <c r="FH3155" s="9"/>
      <c r="FI3155" s="9"/>
      <c r="FJ3155" s="9"/>
      <c r="FK3155" s="9"/>
      <c r="FL3155" s="9"/>
      <c r="FM3155" s="9"/>
      <c r="FN3155" s="9"/>
      <c r="FO3155" s="9"/>
      <c r="FP3155" s="9"/>
      <c r="FQ3155" s="9"/>
      <c r="FR3155" s="9"/>
      <c r="FS3155" s="9"/>
      <c r="FT3155" s="9"/>
      <c r="FU3155" s="9"/>
      <c r="FV3155" s="9"/>
      <c r="FW3155" s="9"/>
      <c r="FX3155" s="9"/>
      <c r="FY3155" s="9"/>
      <c r="FZ3155" s="9"/>
      <c r="GA3155" s="9"/>
      <c r="GB3155" s="9"/>
      <c r="GC3155" s="9"/>
      <c r="GD3155" s="9"/>
      <c r="GE3155" s="9"/>
      <c r="GF3155" s="9"/>
      <c r="GG3155" s="9"/>
      <c r="GH3155" s="9"/>
      <c r="GI3155" s="9"/>
      <c r="GJ3155" s="9"/>
      <c r="GK3155" s="9"/>
      <c r="GL3155" s="9"/>
      <c r="GM3155" s="9"/>
      <c r="GN3155" s="9"/>
      <c r="GO3155" s="9"/>
      <c r="GP3155" s="9"/>
      <c r="GQ3155" s="9"/>
      <c r="GR3155" s="9"/>
      <c r="GS3155" s="9"/>
      <c r="GT3155" s="9"/>
      <c r="GU3155" s="9"/>
      <c r="GV3155" s="9"/>
      <c r="GW3155" s="9"/>
      <c r="GX3155" s="9"/>
      <c r="GY3155" s="9"/>
      <c r="GZ3155" s="9"/>
      <c r="HA3155" s="9"/>
      <c r="HB3155" s="9"/>
      <c r="HC3155" s="9"/>
      <c r="HD3155" s="9"/>
      <c r="HE3155" s="9"/>
      <c r="HF3155" s="9"/>
      <c r="HG3155" s="9"/>
      <c r="HH3155" s="9"/>
      <c r="HI3155" s="9"/>
      <c r="HJ3155" s="9"/>
      <c r="HK3155" s="9"/>
      <c r="HL3155" s="9"/>
      <c r="HM3155" s="9"/>
      <c r="HN3155" s="9"/>
      <c r="HO3155" s="9"/>
    </row>
    <row r="3156" spans="5:223" x14ac:dyDescent="0.35">
      <c r="E3156" s="7"/>
      <c r="F3156" s="7"/>
      <c r="X3156" s="9"/>
      <c r="Y3156" s="9"/>
      <c r="Z3156" s="9"/>
      <c r="AA3156" s="9"/>
      <c r="AB3156" s="9"/>
      <c r="AC3156" s="9"/>
      <c r="AD3156" s="9"/>
      <c r="AE3156" s="9"/>
      <c r="AF3156" s="9"/>
      <c r="AG3156" s="9"/>
      <c r="AH3156" s="9"/>
      <c r="AI3156" s="9"/>
      <c r="AJ3156" s="9"/>
      <c r="AK3156" s="9"/>
      <c r="AL3156" s="9"/>
      <c r="AM3156" s="9"/>
      <c r="AN3156" s="9"/>
      <c r="AO3156" s="9"/>
      <c r="AP3156" s="9"/>
      <c r="AQ3156" s="9"/>
      <c r="AR3156" s="9"/>
      <c r="AS3156" s="9"/>
      <c r="AT3156" s="9"/>
      <c r="AU3156" s="9"/>
      <c r="AV3156" s="9"/>
      <c r="AW3156" s="9"/>
      <c r="AX3156" s="9"/>
      <c r="AY3156" s="9"/>
      <c r="AZ3156" s="9"/>
      <c r="BA3156" s="9"/>
      <c r="BB3156" s="9"/>
      <c r="BC3156" s="9"/>
      <c r="BD3156" s="9"/>
      <c r="BE3156" s="9"/>
      <c r="BF3156" s="9"/>
      <c r="BG3156" s="9"/>
      <c r="BH3156" s="9"/>
      <c r="BI3156" s="9"/>
      <c r="BJ3156" s="9"/>
      <c r="BK3156" s="9"/>
      <c r="BL3156" s="9"/>
      <c r="BM3156" s="9"/>
      <c r="BN3156" s="9"/>
      <c r="BO3156" s="9"/>
      <c r="BP3156" s="9"/>
      <c r="BQ3156" s="9"/>
      <c r="BR3156" s="9"/>
      <c r="BS3156" s="9"/>
      <c r="BT3156" s="9"/>
      <c r="BU3156" s="9"/>
      <c r="BV3156" s="9"/>
      <c r="BW3156" s="9"/>
      <c r="BX3156" s="9"/>
      <c r="BY3156" s="9"/>
      <c r="BZ3156" s="9"/>
      <c r="CA3156" s="9"/>
      <c r="CB3156" s="9"/>
      <c r="CC3156" s="9"/>
      <c r="CD3156" s="9"/>
      <c r="CE3156" s="9"/>
      <c r="CF3156" s="9"/>
      <c r="CG3156" s="9"/>
      <c r="CH3156" s="9"/>
      <c r="CI3156" s="9"/>
      <c r="CJ3156" s="9"/>
      <c r="CK3156" s="9"/>
      <c r="CL3156" s="9"/>
      <c r="CM3156" s="9"/>
      <c r="CN3156" s="9"/>
      <c r="CO3156" s="9"/>
      <c r="CP3156" s="9"/>
      <c r="CQ3156" s="9"/>
      <c r="CR3156" s="9"/>
      <c r="CS3156" s="9"/>
      <c r="CT3156" s="9"/>
      <c r="CU3156" s="9"/>
      <c r="CV3156" s="9"/>
      <c r="CW3156" s="9"/>
      <c r="CX3156" s="9"/>
      <c r="CY3156" s="9"/>
      <c r="CZ3156" s="9"/>
      <c r="DA3156" s="9"/>
      <c r="DB3156" s="9"/>
      <c r="DC3156" s="9"/>
      <c r="DD3156" s="9"/>
      <c r="DE3156" s="9"/>
      <c r="DF3156" s="9"/>
      <c r="DG3156" s="9"/>
      <c r="DH3156" s="9"/>
      <c r="DI3156" s="9"/>
      <c r="DJ3156" s="9"/>
      <c r="DK3156" s="9"/>
      <c r="DL3156" s="9"/>
      <c r="DM3156" s="9"/>
      <c r="DN3156" s="9"/>
      <c r="DO3156" s="9"/>
      <c r="DP3156" s="9"/>
      <c r="DQ3156" s="9"/>
      <c r="DR3156" s="9"/>
      <c r="DS3156" s="9"/>
      <c r="DT3156" s="9"/>
      <c r="DU3156" s="9"/>
      <c r="DV3156" s="9"/>
      <c r="DW3156" s="9"/>
      <c r="DX3156" s="9"/>
      <c r="DY3156" s="9"/>
      <c r="DZ3156" s="9"/>
      <c r="EA3156" s="9"/>
      <c r="EB3156" s="9"/>
      <c r="EC3156" s="9"/>
      <c r="ED3156" s="9"/>
      <c r="EE3156" s="9"/>
      <c r="EF3156" s="9"/>
      <c r="EG3156" s="9"/>
      <c r="EH3156" s="9"/>
      <c r="EI3156" s="9"/>
      <c r="EJ3156" s="9"/>
      <c r="EK3156" s="9"/>
      <c r="EL3156" s="9"/>
      <c r="EM3156" s="9"/>
      <c r="EN3156" s="9"/>
      <c r="EO3156" s="9"/>
      <c r="EP3156" s="9"/>
      <c r="EQ3156" s="9"/>
      <c r="ER3156" s="9"/>
      <c r="ES3156" s="9"/>
      <c r="ET3156" s="9"/>
      <c r="EU3156" s="9"/>
      <c r="EV3156" s="9"/>
      <c r="EW3156" s="9"/>
      <c r="EX3156" s="9"/>
      <c r="EY3156" s="9"/>
      <c r="EZ3156" s="9"/>
      <c r="FA3156" s="9"/>
      <c r="FB3156" s="9"/>
      <c r="FC3156" s="9"/>
      <c r="FD3156" s="9"/>
      <c r="FE3156" s="9"/>
      <c r="FF3156" s="9"/>
      <c r="FG3156" s="9"/>
      <c r="FH3156" s="9"/>
      <c r="FI3156" s="9"/>
      <c r="FJ3156" s="9"/>
      <c r="FK3156" s="9"/>
      <c r="FL3156" s="9"/>
      <c r="FM3156" s="9"/>
      <c r="FN3156" s="9"/>
      <c r="FO3156" s="9"/>
      <c r="FP3156" s="9"/>
      <c r="FQ3156" s="9"/>
      <c r="FR3156" s="9"/>
      <c r="FS3156" s="9"/>
      <c r="FT3156" s="9"/>
      <c r="FU3156" s="9"/>
      <c r="FV3156" s="9"/>
      <c r="FW3156" s="9"/>
      <c r="FX3156" s="9"/>
      <c r="FY3156" s="9"/>
      <c r="FZ3156" s="9"/>
      <c r="GA3156" s="9"/>
      <c r="GB3156" s="9"/>
      <c r="GC3156" s="9"/>
      <c r="GD3156" s="9"/>
      <c r="GE3156" s="9"/>
      <c r="GF3156" s="9"/>
      <c r="GG3156" s="9"/>
      <c r="GH3156" s="9"/>
      <c r="GI3156" s="9"/>
      <c r="GJ3156" s="9"/>
      <c r="GK3156" s="9"/>
      <c r="GL3156" s="9"/>
      <c r="GM3156" s="9"/>
      <c r="GN3156" s="9"/>
      <c r="GO3156" s="9"/>
      <c r="GP3156" s="9"/>
      <c r="GQ3156" s="9"/>
      <c r="GR3156" s="9"/>
      <c r="GS3156" s="9"/>
      <c r="GT3156" s="9"/>
      <c r="GU3156" s="9"/>
      <c r="GV3156" s="9"/>
      <c r="GW3156" s="9"/>
      <c r="GX3156" s="9"/>
      <c r="GY3156" s="9"/>
      <c r="GZ3156" s="9"/>
      <c r="HA3156" s="9"/>
      <c r="HB3156" s="9"/>
      <c r="HC3156" s="9"/>
      <c r="HD3156" s="9"/>
      <c r="HE3156" s="9"/>
      <c r="HF3156" s="9"/>
      <c r="HG3156" s="9"/>
      <c r="HH3156" s="9"/>
      <c r="HI3156" s="9"/>
      <c r="HJ3156" s="9"/>
      <c r="HK3156" s="9"/>
      <c r="HL3156" s="9"/>
      <c r="HM3156" s="9"/>
      <c r="HN3156" s="9"/>
      <c r="HO3156" s="9"/>
    </row>
    <row r="3157" spans="5:223" x14ac:dyDescent="0.35">
      <c r="E3157" s="7"/>
      <c r="F3157" s="7"/>
      <c r="X3157" s="9"/>
      <c r="Y3157" s="9"/>
      <c r="Z3157" s="9"/>
      <c r="AA3157" s="9"/>
      <c r="AB3157" s="9"/>
      <c r="AC3157" s="9"/>
      <c r="AD3157" s="9"/>
      <c r="AE3157" s="9"/>
      <c r="AF3157" s="9"/>
      <c r="AG3157" s="9"/>
      <c r="AH3157" s="9"/>
      <c r="AI3157" s="9"/>
      <c r="AJ3157" s="9"/>
      <c r="AK3157" s="9"/>
      <c r="AL3157" s="9"/>
      <c r="AM3157" s="9"/>
      <c r="AN3157" s="9"/>
      <c r="AO3157" s="9"/>
      <c r="AP3157" s="9"/>
      <c r="AQ3157" s="9"/>
      <c r="AR3157" s="9"/>
      <c r="AS3157" s="9"/>
      <c r="AT3157" s="9"/>
      <c r="AU3157" s="9"/>
      <c r="AV3157" s="9"/>
      <c r="AW3157" s="9"/>
      <c r="AX3157" s="9"/>
      <c r="AY3157" s="9"/>
      <c r="AZ3157" s="9"/>
      <c r="BA3157" s="9"/>
      <c r="BB3157" s="9"/>
      <c r="BC3157" s="9"/>
      <c r="BD3157" s="9"/>
      <c r="BE3157" s="9"/>
      <c r="BF3157" s="9"/>
      <c r="BG3157" s="9"/>
      <c r="BH3157" s="9"/>
      <c r="BI3157" s="9"/>
      <c r="BJ3157" s="9"/>
      <c r="BK3157" s="9"/>
      <c r="BL3157" s="9"/>
      <c r="BM3157" s="9"/>
      <c r="BN3157" s="9"/>
      <c r="BO3157" s="9"/>
      <c r="BP3157" s="9"/>
      <c r="BQ3157" s="9"/>
      <c r="BR3157" s="9"/>
      <c r="BS3157" s="9"/>
      <c r="BT3157" s="9"/>
      <c r="BU3157" s="9"/>
      <c r="BV3157" s="9"/>
      <c r="BW3157" s="9"/>
      <c r="BX3157" s="9"/>
      <c r="BY3157" s="9"/>
      <c r="BZ3157" s="9"/>
      <c r="CA3157" s="9"/>
      <c r="CB3157" s="9"/>
      <c r="CC3157" s="9"/>
      <c r="CD3157" s="9"/>
      <c r="CE3157" s="9"/>
      <c r="CF3157" s="9"/>
      <c r="CG3157" s="9"/>
      <c r="CH3157" s="9"/>
      <c r="CI3157" s="9"/>
      <c r="CJ3157" s="9"/>
      <c r="CK3157" s="9"/>
      <c r="CL3157" s="9"/>
      <c r="CM3157" s="9"/>
      <c r="CN3157" s="9"/>
      <c r="CO3157" s="9"/>
      <c r="CP3157" s="9"/>
      <c r="CQ3157" s="9"/>
      <c r="CR3157" s="9"/>
      <c r="CS3157" s="9"/>
      <c r="CT3157" s="9"/>
      <c r="CU3157" s="9"/>
      <c r="CV3157" s="9"/>
      <c r="CW3157" s="9"/>
      <c r="CX3157" s="9"/>
      <c r="CY3157" s="9"/>
      <c r="CZ3157" s="9"/>
      <c r="DA3157" s="9"/>
      <c r="DB3157" s="9"/>
      <c r="DC3157" s="9"/>
      <c r="DD3157" s="9"/>
      <c r="DE3157" s="9"/>
      <c r="DF3157" s="9"/>
      <c r="DG3157" s="9"/>
      <c r="DH3157" s="9"/>
      <c r="DI3157" s="9"/>
      <c r="DJ3157" s="9"/>
      <c r="DK3157" s="9"/>
      <c r="DL3157" s="9"/>
      <c r="DM3157" s="9"/>
      <c r="DN3157" s="9"/>
      <c r="DO3157" s="9"/>
      <c r="DP3157" s="9"/>
      <c r="DQ3157" s="9"/>
      <c r="DR3157" s="9"/>
      <c r="DS3157" s="9"/>
      <c r="DT3157" s="9"/>
      <c r="DU3157" s="9"/>
      <c r="DV3157" s="9"/>
      <c r="DW3157" s="9"/>
      <c r="DX3157" s="9"/>
      <c r="DY3157" s="9"/>
      <c r="DZ3157" s="9"/>
      <c r="EA3157" s="9"/>
      <c r="EB3157" s="9"/>
      <c r="EC3157" s="9"/>
      <c r="ED3157" s="9"/>
      <c r="EE3157" s="9"/>
      <c r="EF3157" s="9"/>
      <c r="EG3157" s="9"/>
      <c r="EH3157" s="9"/>
      <c r="EI3157" s="9"/>
      <c r="EJ3157" s="9"/>
      <c r="EK3157" s="9"/>
      <c r="EL3157" s="9"/>
      <c r="EM3157" s="9"/>
      <c r="EN3157" s="9"/>
      <c r="EO3157" s="9"/>
      <c r="EP3157" s="9"/>
      <c r="EQ3157" s="9"/>
      <c r="ER3157" s="9"/>
      <c r="ES3157" s="9"/>
      <c r="ET3157" s="9"/>
      <c r="EU3157" s="9"/>
      <c r="EV3157" s="9"/>
      <c r="EW3157" s="9"/>
      <c r="EX3157" s="9"/>
      <c r="EY3157" s="9"/>
      <c r="EZ3157" s="9"/>
      <c r="FA3157" s="9"/>
      <c r="FB3157" s="9"/>
      <c r="FC3157" s="9"/>
      <c r="FD3157" s="9"/>
      <c r="FE3157" s="9"/>
      <c r="FF3157" s="9"/>
      <c r="FG3157" s="9"/>
      <c r="FH3157" s="9"/>
      <c r="FI3157" s="9"/>
      <c r="FJ3157" s="9"/>
      <c r="FK3157" s="9"/>
      <c r="FL3157" s="9"/>
      <c r="FM3157" s="9"/>
      <c r="FN3157" s="9"/>
      <c r="FO3157" s="9"/>
      <c r="FP3157" s="9"/>
      <c r="FQ3157" s="9"/>
      <c r="FR3157" s="9"/>
      <c r="FS3157" s="9"/>
      <c r="FT3157" s="9"/>
      <c r="FU3157" s="9"/>
      <c r="FV3157" s="9"/>
      <c r="FW3157" s="9"/>
      <c r="FX3157" s="9"/>
      <c r="FY3157" s="9"/>
      <c r="FZ3157" s="9"/>
      <c r="GA3157" s="9"/>
      <c r="GB3157" s="9"/>
      <c r="GC3157" s="9"/>
      <c r="GD3157" s="9"/>
      <c r="GE3157" s="9"/>
      <c r="GF3157" s="9"/>
      <c r="GG3157" s="9"/>
      <c r="GH3157" s="9"/>
      <c r="GI3157" s="9"/>
      <c r="GJ3157" s="9"/>
      <c r="GK3157" s="9"/>
      <c r="GL3157" s="9"/>
      <c r="GM3157" s="9"/>
      <c r="GN3157" s="9"/>
      <c r="GO3157" s="9"/>
      <c r="GP3157" s="9"/>
      <c r="GQ3157" s="9"/>
      <c r="GR3157" s="9"/>
      <c r="GS3157" s="9"/>
      <c r="GT3157" s="9"/>
      <c r="GU3157" s="9"/>
      <c r="GV3157" s="9"/>
      <c r="GW3157" s="9"/>
      <c r="GX3157" s="9"/>
      <c r="GY3157" s="9"/>
      <c r="GZ3157" s="9"/>
      <c r="HA3157" s="9"/>
      <c r="HB3157" s="9"/>
      <c r="HC3157" s="9"/>
      <c r="HD3157" s="9"/>
      <c r="HE3157" s="9"/>
      <c r="HF3157" s="9"/>
      <c r="HG3157" s="9"/>
      <c r="HH3157" s="9"/>
      <c r="HI3157" s="9"/>
      <c r="HJ3157" s="9"/>
      <c r="HK3157" s="9"/>
      <c r="HL3157" s="9"/>
      <c r="HM3157" s="9"/>
      <c r="HN3157" s="9"/>
      <c r="HO3157" s="9"/>
    </row>
    <row r="3158" spans="5:223" x14ac:dyDescent="0.35">
      <c r="E3158" s="7"/>
      <c r="F3158" s="7"/>
      <c r="X3158" s="9"/>
      <c r="Y3158" s="9"/>
      <c r="Z3158" s="9"/>
      <c r="AA3158" s="9"/>
      <c r="AB3158" s="9"/>
      <c r="AC3158" s="9"/>
      <c r="AD3158" s="9"/>
      <c r="AE3158" s="9"/>
      <c r="AF3158" s="9"/>
      <c r="AG3158" s="9"/>
      <c r="AH3158" s="9"/>
      <c r="AI3158" s="9"/>
      <c r="AJ3158" s="9"/>
      <c r="AK3158" s="9"/>
      <c r="AL3158" s="9"/>
      <c r="AM3158" s="9"/>
      <c r="AN3158" s="9"/>
      <c r="AO3158" s="9"/>
      <c r="AP3158" s="9"/>
      <c r="AQ3158" s="9"/>
      <c r="AR3158" s="9"/>
      <c r="AS3158" s="9"/>
      <c r="AT3158" s="9"/>
      <c r="AU3158" s="9"/>
      <c r="AV3158" s="9"/>
      <c r="AW3158" s="9"/>
      <c r="AX3158" s="9"/>
      <c r="AY3158" s="9"/>
      <c r="AZ3158" s="9"/>
      <c r="BA3158" s="9"/>
      <c r="BB3158" s="9"/>
      <c r="BC3158" s="9"/>
      <c r="BD3158" s="9"/>
      <c r="BE3158" s="9"/>
      <c r="BF3158" s="9"/>
      <c r="BG3158" s="9"/>
      <c r="BH3158" s="9"/>
      <c r="BI3158" s="9"/>
      <c r="BJ3158" s="9"/>
      <c r="BK3158" s="9"/>
      <c r="BL3158" s="9"/>
      <c r="BM3158" s="9"/>
      <c r="BN3158" s="9"/>
      <c r="BO3158" s="9"/>
      <c r="BP3158" s="9"/>
      <c r="BQ3158" s="9"/>
      <c r="BR3158" s="9"/>
      <c r="BS3158" s="9"/>
      <c r="BT3158" s="9"/>
      <c r="BU3158" s="9"/>
      <c r="BV3158" s="9"/>
      <c r="BW3158" s="9"/>
      <c r="BX3158" s="9"/>
      <c r="BY3158" s="9"/>
      <c r="BZ3158" s="9"/>
      <c r="CA3158" s="9"/>
      <c r="CB3158" s="9"/>
      <c r="CC3158" s="9"/>
      <c r="CD3158" s="9"/>
      <c r="CE3158" s="9"/>
      <c r="CF3158" s="9"/>
      <c r="CG3158" s="9"/>
      <c r="CH3158" s="9"/>
      <c r="CI3158" s="9"/>
      <c r="CJ3158" s="9"/>
      <c r="CK3158" s="9"/>
      <c r="CL3158" s="9"/>
      <c r="CM3158" s="9"/>
      <c r="CN3158" s="9"/>
      <c r="CO3158" s="9"/>
      <c r="CP3158" s="9"/>
      <c r="CQ3158" s="9"/>
      <c r="CR3158" s="9"/>
      <c r="CS3158" s="9"/>
      <c r="CT3158" s="9"/>
      <c r="CU3158" s="9"/>
      <c r="CV3158" s="9"/>
      <c r="CW3158" s="9"/>
      <c r="CX3158" s="9"/>
      <c r="CY3158" s="9"/>
      <c r="CZ3158" s="9"/>
      <c r="DA3158" s="9"/>
      <c r="DB3158" s="9"/>
      <c r="DC3158" s="9"/>
      <c r="DD3158" s="9"/>
      <c r="DE3158" s="9"/>
      <c r="DF3158" s="9"/>
      <c r="DG3158" s="9"/>
      <c r="DH3158" s="9"/>
      <c r="DI3158" s="9"/>
      <c r="DJ3158" s="9"/>
      <c r="DK3158" s="9"/>
      <c r="DL3158" s="9"/>
      <c r="DM3158" s="9"/>
      <c r="DN3158" s="9"/>
      <c r="DO3158" s="9"/>
      <c r="DP3158" s="9"/>
      <c r="DQ3158" s="9"/>
      <c r="DR3158" s="9"/>
      <c r="DS3158" s="9"/>
      <c r="DT3158" s="9"/>
      <c r="DU3158" s="9"/>
      <c r="DV3158" s="9"/>
      <c r="DW3158" s="9"/>
      <c r="DX3158" s="9"/>
      <c r="DY3158" s="9"/>
      <c r="DZ3158" s="9"/>
      <c r="EA3158" s="9"/>
      <c r="EB3158" s="9"/>
      <c r="EC3158" s="9"/>
      <c r="ED3158" s="9"/>
      <c r="EE3158" s="9"/>
      <c r="EF3158" s="9"/>
      <c r="EG3158" s="9"/>
      <c r="EH3158" s="9"/>
      <c r="EI3158" s="9"/>
      <c r="EJ3158" s="9"/>
      <c r="EK3158" s="9"/>
      <c r="EL3158" s="9"/>
      <c r="EM3158" s="9"/>
      <c r="EN3158" s="9"/>
      <c r="EO3158" s="9"/>
      <c r="EP3158" s="9"/>
      <c r="EQ3158" s="9"/>
      <c r="ER3158" s="9"/>
      <c r="ES3158" s="9"/>
      <c r="ET3158" s="9"/>
      <c r="EU3158" s="9"/>
      <c r="EV3158" s="9"/>
      <c r="EW3158" s="9"/>
      <c r="EX3158" s="9"/>
      <c r="EY3158" s="9"/>
      <c r="EZ3158" s="9"/>
      <c r="FA3158" s="9"/>
      <c r="FB3158" s="9"/>
      <c r="FC3158" s="9"/>
      <c r="FD3158" s="9"/>
      <c r="FE3158" s="9"/>
      <c r="FF3158" s="9"/>
      <c r="FG3158" s="9"/>
      <c r="FH3158" s="9"/>
      <c r="FI3158" s="9"/>
      <c r="FJ3158" s="9"/>
      <c r="FK3158" s="9"/>
      <c r="FL3158" s="9"/>
      <c r="FM3158" s="9"/>
      <c r="FN3158" s="9"/>
      <c r="FO3158" s="9"/>
      <c r="FP3158" s="9"/>
      <c r="FQ3158" s="9"/>
      <c r="FR3158" s="9"/>
      <c r="FS3158" s="9"/>
      <c r="FT3158" s="9"/>
      <c r="FU3158" s="9"/>
      <c r="FV3158" s="9"/>
      <c r="FW3158" s="9"/>
      <c r="FX3158" s="9"/>
      <c r="FY3158" s="9"/>
      <c r="FZ3158" s="9"/>
      <c r="GA3158" s="9"/>
      <c r="GB3158" s="9"/>
      <c r="GC3158" s="9"/>
      <c r="GD3158" s="9"/>
      <c r="GE3158" s="9"/>
      <c r="GF3158" s="9"/>
      <c r="GG3158" s="9"/>
      <c r="GH3158" s="9"/>
      <c r="GI3158" s="9"/>
      <c r="GJ3158" s="9"/>
      <c r="GK3158" s="9"/>
      <c r="GL3158" s="9"/>
      <c r="GM3158" s="9"/>
      <c r="GN3158" s="9"/>
      <c r="GO3158" s="9"/>
      <c r="GP3158" s="9"/>
      <c r="GQ3158" s="9"/>
      <c r="GR3158" s="9"/>
      <c r="GS3158" s="9"/>
      <c r="GT3158" s="9"/>
      <c r="GU3158" s="9"/>
      <c r="GV3158" s="9"/>
      <c r="GW3158" s="9"/>
      <c r="GX3158" s="9"/>
      <c r="GY3158" s="9"/>
      <c r="GZ3158" s="9"/>
      <c r="HA3158" s="9"/>
      <c r="HB3158" s="9"/>
      <c r="HC3158" s="9"/>
      <c r="HD3158" s="9"/>
      <c r="HE3158" s="9"/>
      <c r="HF3158" s="9"/>
      <c r="HG3158" s="9"/>
      <c r="HH3158" s="9"/>
      <c r="HI3158" s="9"/>
      <c r="HJ3158" s="9"/>
      <c r="HK3158" s="9"/>
      <c r="HL3158" s="9"/>
      <c r="HM3158" s="9"/>
      <c r="HN3158" s="9"/>
      <c r="HO3158" s="9"/>
    </row>
    <row r="3159" spans="5:223" x14ac:dyDescent="0.35">
      <c r="E3159" s="7"/>
      <c r="F3159" s="7"/>
      <c r="X3159" s="9"/>
      <c r="Y3159" s="9"/>
      <c r="Z3159" s="9"/>
      <c r="AA3159" s="9"/>
      <c r="AB3159" s="9"/>
      <c r="AC3159" s="9"/>
      <c r="AD3159" s="9"/>
      <c r="AE3159" s="9"/>
      <c r="AF3159" s="9"/>
      <c r="AG3159" s="9"/>
      <c r="AH3159" s="9"/>
      <c r="AI3159" s="9"/>
      <c r="AJ3159" s="9"/>
      <c r="AK3159" s="9"/>
      <c r="AL3159" s="9"/>
      <c r="AM3159" s="9"/>
      <c r="AN3159" s="9"/>
      <c r="AO3159" s="9"/>
      <c r="AP3159" s="9"/>
      <c r="AQ3159" s="9"/>
      <c r="AR3159" s="9"/>
      <c r="AS3159" s="9"/>
      <c r="AT3159" s="9"/>
      <c r="AU3159" s="9"/>
      <c r="AV3159" s="9"/>
      <c r="AW3159" s="9"/>
      <c r="AX3159" s="9"/>
      <c r="AY3159" s="9"/>
      <c r="AZ3159" s="9"/>
      <c r="BA3159" s="9"/>
      <c r="BB3159" s="9"/>
      <c r="BC3159" s="9"/>
      <c r="BD3159" s="9"/>
      <c r="BE3159" s="9"/>
      <c r="BF3159" s="9"/>
      <c r="BG3159" s="9"/>
      <c r="BH3159" s="9"/>
      <c r="BI3159" s="9"/>
      <c r="BJ3159" s="9"/>
      <c r="BK3159" s="9"/>
      <c r="BL3159" s="9"/>
      <c r="BM3159" s="9"/>
      <c r="BN3159" s="9"/>
      <c r="BO3159" s="9"/>
      <c r="BP3159" s="9"/>
      <c r="BQ3159" s="9"/>
      <c r="BR3159" s="9"/>
      <c r="BS3159" s="9"/>
      <c r="BT3159" s="9"/>
      <c r="BU3159" s="9"/>
      <c r="BV3159" s="9"/>
      <c r="BW3159" s="9"/>
      <c r="BX3159" s="9"/>
      <c r="BY3159" s="9"/>
      <c r="BZ3159" s="9"/>
      <c r="CA3159" s="9"/>
      <c r="CB3159" s="9"/>
      <c r="CC3159" s="9"/>
      <c r="CD3159" s="9"/>
      <c r="CE3159" s="9"/>
      <c r="CF3159" s="9"/>
      <c r="CG3159" s="9"/>
      <c r="CH3159" s="9"/>
      <c r="CI3159" s="9"/>
      <c r="CJ3159" s="9"/>
      <c r="CK3159" s="9"/>
      <c r="CL3159" s="9"/>
      <c r="CM3159" s="9"/>
      <c r="CN3159" s="9"/>
      <c r="CO3159" s="9"/>
      <c r="CP3159" s="9"/>
      <c r="CQ3159" s="9"/>
      <c r="CR3159" s="9"/>
      <c r="CS3159" s="9"/>
      <c r="CT3159" s="9"/>
      <c r="CU3159" s="9"/>
      <c r="CV3159" s="9"/>
      <c r="CW3159" s="9"/>
      <c r="CX3159" s="9"/>
      <c r="CY3159" s="9"/>
      <c r="CZ3159" s="9"/>
      <c r="DA3159" s="9"/>
      <c r="DB3159" s="9"/>
      <c r="DC3159" s="9"/>
      <c r="DD3159" s="9"/>
      <c r="DE3159" s="9"/>
      <c r="DF3159" s="9"/>
      <c r="DG3159" s="9"/>
      <c r="DH3159" s="9"/>
      <c r="DI3159" s="9"/>
      <c r="DJ3159" s="9"/>
      <c r="DK3159" s="9"/>
      <c r="DL3159" s="9"/>
      <c r="DM3159" s="9"/>
      <c r="DN3159" s="9"/>
      <c r="DO3159" s="9"/>
      <c r="DP3159" s="9"/>
      <c r="DQ3159" s="9"/>
      <c r="DR3159" s="9"/>
      <c r="DS3159" s="9"/>
      <c r="DT3159" s="9"/>
      <c r="DU3159" s="9"/>
      <c r="DV3159" s="9"/>
      <c r="DW3159" s="9"/>
      <c r="DX3159" s="9"/>
      <c r="DY3159" s="9"/>
      <c r="DZ3159" s="9"/>
      <c r="EA3159" s="9"/>
      <c r="EB3159" s="9"/>
      <c r="EC3159" s="9"/>
      <c r="ED3159" s="9"/>
      <c r="EE3159" s="9"/>
      <c r="EF3159" s="9"/>
      <c r="EG3159" s="9"/>
      <c r="EH3159" s="9"/>
      <c r="EI3159" s="9"/>
      <c r="EJ3159" s="9"/>
      <c r="EK3159" s="9"/>
      <c r="EL3159" s="9"/>
      <c r="EM3159" s="9"/>
      <c r="EN3159" s="9"/>
      <c r="EO3159" s="9"/>
      <c r="EP3159" s="9"/>
      <c r="EQ3159" s="9"/>
      <c r="ER3159" s="9"/>
      <c r="ES3159" s="9"/>
      <c r="ET3159" s="9"/>
      <c r="EU3159" s="9"/>
      <c r="EV3159" s="9"/>
      <c r="EW3159" s="9"/>
      <c r="EX3159" s="9"/>
      <c r="EY3159" s="9"/>
      <c r="EZ3159" s="9"/>
      <c r="FA3159" s="9"/>
      <c r="FB3159" s="9"/>
      <c r="FC3159" s="9"/>
      <c r="FD3159" s="9"/>
      <c r="FE3159" s="9"/>
      <c r="FF3159" s="9"/>
      <c r="FG3159" s="9"/>
      <c r="FH3159" s="9"/>
      <c r="FI3159" s="9"/>
      <c r="FJ3159" s="9"/>
      <c r="FK3159" s="9"/>
      <c r="FL3159" s="9"/>
      <c r="FM3159" s="9"/>
      <c r="FN3159" s="9"/>
      <c r="FO3159" s="9"/>
      <c r="FP3159" s="9"/>
      <c r="FQ3159" s="9"/>
      <c r="FR3159" s="9"/>
      <c r="FS3159" s="9"/>
      <c r="FT3159" s="9"/>
      <c r="FU3159" s="9"/>
      <c r="FV3159" s="9"/>
      <c r="FW3159" s="9"/>
      <c r="FX3159" s="9"/>
      <c r="FY3159" s="9"/>
      <c r="FZ3159" s="9"/>
      <c r="GA3159" s="9"/>
      <c r="GB3159" s="9"/>
      <c r="GC3159" s="9"/>
      <c r="GD3159" s="9"/>
      <c r="GE3159" s="9"/>
      <c r="GF3159" s="9"/>
      <c r="GG3159" s="9"/>
      <c r="GH3159" s="9"/>
      <c r="GI3159" s="9"/>
      <c r="GJ3159" s="9"/>
      <c r="GK3159" s="9"/>
      <c r="GL3159" s="9"/>
      <c r="GM3159" s="9"/>
      <c r="GN3159" s="9"/>
      <c r="GO3159" s="9"/>
      <c r="GP3159" s="9"/>
      <c r="GQ3159" s="9"/>
      <c r="GR3159" s="9"/>
      <c r="GS3159" s="9"/>
      <c r="GT3159" s="9"/>
      <c r="GU3159" s="9"/>
      <c r="GV3159" s="9"/>
      <c r="GW3159" s="9"/>
      <c r="GX3159" s="9"/>
      <c r="GY3159" s="9"/>
      <c r="GZ3159" s="9"/>
      <c r="HA3159" s="9"/>
      <c r="HB3159" s="9"/>
      <c r="HC3159" s="9"/>
      <c r="HD3159" s="9"/>
      <c r="HE3159" s="9"/>
      <c r="HF3159" s="9"/>
      <c r="HG3159" s="9"/>
      <c r="HH3159" s="9"/>
      <c r="HI3159" s="9"/>
      <c r="HJ3159" s="9"/>
      <c r="HK3159" s="9"/>
      <c r="HL3159" s="9"/>
      <c r="HM3159" s="9"/>
      <c r="HN3159" s="9"/>
      <c r="HO3159" s="9"/>
    </row>
    <row r="3160" spans="5:223" x14ac:dyDescent="0.35">
      <c r="E3160" s="7"/>
      <c r="F3160" s="7"/>
      <c r="X3160" s="9"/>
      <c r="Y3160" s="9"/>
      <c r="Z3160" s="9"/>
      <c r="AA3160" s="9"/>
      <c r="AB3160" s="9"/>
      <c r="AC3160" s="9"/>
      <c r="AD3160" s="9"/>
      <c r="AE3160" s="9"/>
      <c r="AF3160" s="9"/>
      <c r="AG3160" s="9"/>
      <c r="AH3160" s="9"/>
      <c r="AI3160" s="9"/>
      <c r="AJ3160" s="9"/>
      <c r="AK3160" s="9"/>
      <c r="AL3160" s="9"/>
      <c r="AM3160" s="9"/>
      <c r="AN3160" s="9"/>
      <c r="AO3160" s="9"/>
      <c r="AP3160" s="9"/>
      <c r="AQ3160" s="9"/>
      <c r="AR3160" s="9"/>
      <c r="AS3160" s="9"/>
      <c r="AT3160" s="9"/>
      <c r="AU3160" s="9"/>
      <c r="AV3160" s="9"/>
      <c r="AW3160" s="9"/>
      <c r="AX3160" s="9"/>
      <c r="AY3160" s="9"/>
      <c r="AZ3160" s="9"/>
      <c r="BA3160" s="9"/>
      <c r="BB3160" s="9"/>
      <c r="BC3160" s="9"/>
      <c r="BD3160" s="9"/>
      <c r="BE3160" s="9"/>
      <c r="BF3160" s="9"/>
      <c r="BG3160" s="9"/>
      <c r="BH3160" s="9"/>
      <c r="BI3160" s="9"/>
      <c r="BJ3160" s="9"/>
      <c r="BK3160" s="9"/>
      <c r="BL3160" s="9"/>
      <c r="BM3160" s="9"/>
      <c r="BN3160" s="9"/>
      <c r="BO3160" s="9"/>
      <c r="BP3160" s="9"/>
      <c r="BQ3160" s="9"/>
      <c r="BR3160" s="9"/>
      <c r="BS3160" s="9"/>
      <c r="BT3160" s="9"/>
      <c r="BU3160" s="9"/>
      <c r="BV3160" s="9"/>
      <c r="BW3160" s="9"/>
      <c r="BX3160" s="9"/>
      <c r="BY3160" s="9"/>
      <c r="BZ3160" s="9"/>
      <c r="CA3160" s="9"/>
      <c r="CB3160" s="9"/>
      <c r="CC3160" s="9"/>
      <c r="CD3160" s="9"/>
      <c r="CE3160" s="9"/>
      <c r="CF3160" s="9"/>
      <c r="CG3160" s="9"/>
      <c r="CH3160" s="9"/>
      <c r="CI3160" s="9"/>
      <c r="CJ3160" s="9"/>
      <c r="CK3160" s="9"/>
      <c r="CL3160" s="9"/>
      <c r="CM3160" s="9"/>
      <c r="CN3160" s="9"/>
      <c r="CO3160" s="9"/>
      <c r="CP3160" s="9"/>
      <c r="CQ3160" s="9"/>
      <c r="CR3160" s="9"/>
      <c r="CS3160" s="9"/>
      <c r="CT3160" s="9"/>
      <c r="CU3160" s="9"/>
      <c r="CV3160" s="9"/>
      <c r="CW3160" s="9"/>
      <c r="CX3160" s="9"/>
      <c r="CY3160" s="9"/>
      <c r="CZ3160" s="9"/>
      <c r="DA3160" s="9"/>
      <c r="DB3160" s="9"/>
      <c r="DC3160" s="9"/>
      <c r="DD3160" s="9"/>
      <c r="DE3160" s="9"/>
      <c r="DF3160" s="9"/>
      <c r="DG3160" s="9"/>
      <c r="DH3160" s="9"/>
      <c r="DI3160" s="9"/>
      <c r="DJ3160" s="9"/>
      <c r="DK3160" s="9"/>
      <c r="DL3160" s="9"/>
      <c r="DM3160" s="9"/>
      <c r="DN3160" s="9"/>
      <c r="DO3160" s="9"/>
      <c r="DP3160" s="9"/>
      <c r="DQ3160" s="9"/>
      <c r="DR3160" s="9"/>
      <c r="DS3160" s="9"/>
      <c r="DT3160" s="9"/>
      <c r="DU3160" s="9"/>
      <c r="DV3160" s="9"/>
      <c r="DW3160" s="9"/>
      <c r="DX3160" s="9"/>
      <c r="DY3160" s="9"/>
      <c r="DZ3160" s="9"/>
      <c r="EA3160" s="9"/>
      <c r="EB3160" s="9"/>
      <c r="EC3160" s="9"/>
      <c r="ED3160" s="9"/>
      <c r="EE3160" s="9"/>
      <c r="EF3160" s="9"/>
      <c r="EG3160" s="9"/>
      <c r="EH3160" s="9"/>
      <c r="EI3160" s="9"/>
      <c r="EJ3160" s="9"/>
      <c r="EK3160" s="9"/>
      <c r="EL3160" s="9"/>
      <c r="EM3160" s="9"/>
      <c r="EN3160" s="9"/>
      <c r="EO3160" s="9"/>
      <c r="EP3160" s="9"/>
      <c r="EQ3160" s="9"/>
      <c r="ER3160" s="9"/>
      <c r="ES3160" s="9"/>
      <c r="ET3160" s="9"/>
      <c r="EU3160" s="9"/>
      <c r="EV3160" s="9"/>
      <c r="EW3160" s="9"/>
      <c r="EX3160" s="9"/>
      <c r="EY3160" s="9"/>
      <c r="EZ3160" s="9"/>
      <c r="FA3160" s="9"/>
      <c r="FB3160" s="9"/>
      <c r="FC3160" s="9"/>
      <c r="FD3160" s="9"/>
      <c r="FE3160" s="9"/>
      <c r="FF3160" s="9"/>
      <c r="FG3160" s="9"/>
      <c r="FH3160" s="9"/>
      <c r="FI3160" s="9"/>
      <c r="FJ3160" s="9"/>
      <c r="FK3160" s="9"/>
      <c r="FL3160" s="9"/>
      <c r="FM3160" s="9"/>
      <c r="FN3160" s="9"/>
      <c r="FO3160" s="9"/>
      <c r="FP3160" s="9"/>
      <c r="FQ3160" s="9"/>
      <c r="FR3160" s="9"/>
      <c r="FS3160" s="9"/>
      <c r="FT3160" s="9"/>
      <c r="FU3160" s="9"/>
      <c r="FV3160" s="9"/>
      <c r="FW3160" s="9"/>
      <c r="FX3160" s="9"/>
      <c r="FY3160" s="9"/>
      <c r="FZ3160" s="9"/>
      <c r="GA3160" s="9"/>
      <c r="GB3160" s="9"/>
      <c r="GC3160" s="9"/>
      <c r="GD3160" s="9"/>
      <c r="GE3160" s="9"/>
      <c r="GF3160" s="9"/>
      <c r="GG3160" s="9"/>
      <c r="GH3160" s="9"/>
      <c r="GI3160" s="9"/>
      <c r="GJ3160" s="9"/>
      <c r="GK3160" s="9"/>
      <c r="GL3160" s="9"/>
      <c r="GM3160" s="9"/>
      <c r="GN3160" s="9"/>
      <c r="GO3160" s="9"/>
      <c r="GP3160" s="9"/>
      <c r="GQ3160" s="9"/>
      <c r="GR3160" s="9"/>
      <c r="GS3160" s="9"/>
      <c r="GT3160" s="9"/>
      <c r="GU3160" s="9"/>
      <c r="GV3160" s="9"/>
      <c r="GW3160" s="9"/>
      <c r="GX3160" s="9"/>
      <c r="GY3160" s="9"/>
      <c r="GZ3160" s="9"/>
      <c r="HA3160" s="9"/>
      <c r="HB3160" s="9"/>
      <c r="HC3160" s="9"/>
      <c r="HD3160" s="9"/>
      <c r="HE3160" s="9"/>
      <c r="HF3160" s="9"/>
      <c r="HG3160" s="9"/>
      <c r="HH3160" s="9"/>
      <c r="HI3160" s="9"/>
      <c r="HJ3160" s="9"/>
      <c r="HK3160" s="9"/>
      <c r="HL3160" s="9"/>
      <c r="HM3160" s="9"/>
      <c r="HN3160" s="9"/>
      <c r="HO3160" s="9"/>
    </row>
    <row r="3161" spans="5:223" x14ac:dyDescent="0.35">
      <c r="E3161" s="7"/>
      <c r="F3161" s="7"/>
      <c r="X3161" s="9"/>
      <c r="Y3161" s="9"/>
      <c r="Z3161" s="9"/>
      <c r="AA3161" s="9"/>
      <c r="AB3161" s="9"/>
      <c r="AC3161" s="9"/>
      <c r="AD3161" s="9"/>
      <c r="AE3161" s="9"/>
      <c r="AF3161" s="9"/>
      <c r="AG3161" s="9"/>
      <c r="AH3161" s="9"/>
      <c r="AI3161" s="9"/>
      <c r="AJ3161" s="9"/>
      <c r="AK3161" s="9"/>
      <c r="AL3161" s="9"/>
      <c r="AM3161" s="9"/>
      <c r="AN3161" s="9"/>
      <c r="AO3161" s="9"/>
      <c r="AP3161" s="9"/>
      <c r="AQ3161" s="9"/>
      <c r="AR3161" s="9"/>
      <c r="AS3161" s="9"/>
      <c r="AT3161" s="9"/>
      <c r="AU3161" s="9"/>
      <c r="AV3161" s="9"/>
      <c r="AW3161" s="9"/>
      <c r="AX3161" s="9"/>
      <c r="AY3161" s="9"/>
      <c r="AZ3161" s="9"/>
      <c r="BA3161" s="9"/>
      <c r="BB3161" s="9"/>
      <c r="BC3161" s="9"/>
      <c r="BD3161" s="9"/>
      <c r="BE3161" s="9"/>
      <c r="BF3161" s="9"/>
      <c r="BG3161" s="9"/>
      <c r="BH3161" s="9"/>
      <c r="BI3161" s="9"/>
      <c r="BJ3161" s="9"/>
      <c r="BK3161" s="9"/>
      <c r="BL3161" s="9"/>
      <c r="BM3161" s="9"/>
      <c r="BN3161" s="9"/>
      <c r="BO3161" s="9"/>
      <c r="BP3161" s="9"/>
      <c r="BQ3161" s="9"/>
      <c r="BR3161" s="9"/>
      <c r="BS3161" s="9"/>
      <c r="BT3161" s="9"/>
      <c r="BU3161" s="9"/>
      <c r="BV3161" s="9"/>
      <c r="BW3161" s="9"/>
      <c r="BX3161" s="9"/>
      <c r="BY3161" s="9"/>
      <c r="BZ3161" s="9"/>
      <c r="CA3161" s="9"/>
      <c r="CB3161" s="9"/>
      <c r="CC3161" s="9"/>
      <c r="CD3161" s="9"/>
      <c r="CE3161" s="9"/>
      <c r="CF3161" s="9"/>
      <c r="CG3161" s="9"/>
      <c r="CH3161" s="9"/>
      <c r="CI3161" s="9"/>
      <c r="CJ3161" s="9"/>
      <c r="CK3161" s="9"/>
      <c r="CL3161" s="9"/>
      <c r="CM3161" s="9"/>
      <c r="CN3161" s="9"/>
      <c r="CO3161" s="9"/>
      <c r="CP3161" s="9"/>
      <c r="CQ3161" s="9"/>
      <c r="CR3161" s="9"/>
      <c r="CS3161" s="9"/>
      <c r="CT3161" s="9"/>
      <c r="CU3161" s="9"/>
      <c r="CV3161" s="9"/>
      <c r="CW3161" s="9"/>
      <c r="CX3161" s="9"/>
      <c r="CY3161" s="9"/>
      <c r="CZ3161" s="9"/>
      <c r="DA3161" s="9"/>
      <c r="DB3161" s="9"/>
      <c r="DC3161" s="9"/>
      <c r="DD3161" s="9"/>
      <c r="DE3161" s="9"/>
      <c r="DF3161" s="9"/>
      <c r="DG3161" s="9"/>
      <c r="DH3161" s="9"/>
      <c r="DI3161" s="9"/>
      <c r="DJ3161" s="9"/>
      <c r="DK3161" s="9"/>
      <c r="DL3161" s="9"/>
      <c r="DM3161" s="9"/>
      <c r="DN3161" s="9"/>
      <c r="DO3161" s="9"/>
      <c r="DP3161" s="9"/>
      <c r="DQ3161" s="9"/>
      <c r="DR3161" s="9"/>
      <c r="DS3161" s="9"/>
      <c r="DT3161" s="9"/>
      <c r="DU3161" s="9"/>
      <c r="DV3161" s="9"/>
      <c r="DW3161" s="9"/>
      <c r="DX3161" s="9"/>
      <c r="DY3161" s="9"/>
      <c r="DZ3161" s="9"/>
      <c r="EA3161" s="9"/>
      <c r="EB3161" s="9"/>
      <c r="EC3161" s="9"/>
      <c r="ED3161" s="9"/>
      <c r="EE3161" s="9"/>
      <c r="EF3161" s="9"/>
      <c r="EG3161" s="9"/>
      <c r="EH3161" s="9"/>
      <c r="EI3161" s="9"/>
      <c r="EJ3161" s="9"/>
      <c r="EK3161" s="9"/>
      <c r="EL3161" s="9"/>
      <c r="EM3161" s="9"/>
      <c r="EN3161" s="9"/>
      <c r="EO3161" s="9"/>
      <c r="EP3161" s="9"/>
      <c r="EQ3161" s="9"/>
      <c r="ER3161" s="9"/>
      <c r="ES3161" s="9"/>
      <c r="ET3161" s="9"/>
      <c r="EU3161" s="9"/>
      <c r="EV3161" s="9"/>
      <c r="EW3161" s="9"/>
      <c r="EX3161" s="9"/>
      <c r="EY3161" s="9"/>
      <c r="EZ3161" s="9"/>
      <c r="FA3161" s="9"/>
      <c r="FB3161" s="9"/>
      <c r="FC3161" s="9"/>
      <c r="FD3161" s="9"/>
      <c r="FE3161" s="9"/>
      <c r="FF3161" s="9"/>
      <c r="FG3161" s="9"/>
      <c r="FH3161" s="9"/>
      <c r="FI3161" s="9"/>
      <c r="FJ3161" s="9"/>
      <c r="FK3161" s="9"/>
      <c r="FL3161" s="9"/>
      <c r="FM3161" s="9"/>
      <c r="FN3161" s="9"/>
      <c r="FO3161" s="9"/>
      <c r="FP3161" s="9"/>
      <c r="FQ3161" s="9"/>
      <c r="FR3161" s="9"/>
      <c r="FS3161" s="9"/>
      <c r="FT3161" s="9"/>
      <c r="FU3161" s="9"/>
      <c r="FV3161" s="9"/>
      <c r="FW3161" s="9"/>
      <c r="FX3161" s="9"/>
      <c r="FY3161" s="9"/>
      <c r="FZ3161" s="9"/>
      <c r="GA3161" s="9"/>
      <c r="GB3161" s="9"/>
      <c r="GC3161" s="9"/>
      <c r="GD3161" s="9"/>
      <c r="GE3161" s="9"/>
      <c r="GF3161" s="9"/>
      <c r="GG3161" s="9"/>
      <c r="GH3161" s="9"/>
      <c r="GI3161" s="9"/>
      <c r="GJ3161" s="9"/>
      <c r="GK3161" s="9"/>
      <c r="GL3161" s="9"/>
      <c r="GM3161" s="9"/>
      <c r="GN3161" s="9"/>
      <c r="GO3161" s="9"/>
      <c r="GP3161" s="9"/>
      <c r="GQ3161" s="9"/>
      <c r="GR3161" s="9"/>
      <c r="GS3161" s="9"/>
      <c r="GT3161" s="9"/>
      <c r="GU3161" s="9"/>
      <c r="GV3161" s="9"/>
      <c r="GW3161" s="9"/>
      <c r="GX3161" s="9"/>
      <c r="GY3161" s="9"/>
      <c r="GZ3161" s="9"/>
      <c r="HA3161" s="9"/>
      <c r="HB3161" s="9"/>
      <c r="HC3161" s="9"/>
      <c r="HD3161" s="9"/>
      <c r="HE3161" s="9"/>
      <c r="HF3161" s="9"/>
      <c r="HG3161" s="9"/>
      <c r="HH3161" s="9"/>
      <c r="HI3161" s="9"/>
      <c r="HJ3161" s="9"/>
      <c r="HK3161" s="9"/>
      <c r="HL3161" s="9"/>
      <c r="HM3161" s="9"/>
      <c r="HN3161" s="9"/>
      <c r="HO3161" s="9"/>
    </row>
    <row r="3162" spans="5:223" x14ac:dyDescent="0.35">
      <c r="E3162" s="7"/>
      <c r="F3162" s="7"/>
      <c r="X3162" s="9"/>
      <c r="Y3162" s="9"/>
      <c r="Z3162" s="9"/>
      <c r="AA3162" s="9"/>
      <c r="AB3162" s="9"/>
      <c r="AC3162" s="9"/>
      <c r="AD3162" s="9"/>
      <c r="AE3162" s="9"/>
      <c r="AF3162" s="9"/>
      <c r="AG3162" s="9"/>
      <c r="AH3162" s="9"/>
      <c r="AI3162" s="9"/>
      <c r="AJ3162" s="9"/>
      <c r="AK3162" s="9"/>
      <c r="AL3162" s="9"/>
      <c r="AM3162" s="9"/>
      <c r="AN3162" s="9"/>
      <c r="AO3162" s="9"/>
      <c r="AP3162" s="9"/>
      <c r="AQ3162" s="9"/>
      <c r="AR3162" s="9"/>
      <c r="AS3162" s="9"/>
      <c r="AT3162" s="9"/>
      <c r="AU3162" s="9"/>
      <c r="AV3162" s="9"/>
      <c r="AW3162" s="9"/>
      <c r="AX3162" s="9"/>
      <c r="AY3162" s="9"/>
      <c r="AZ3162" s="9"/>
      <c r="BA3162" s="9"/>
      <c r="BB3162" s="9"/>
      <c r="BC3162" s="9"/>
      <c r="BD3162" s="9"/>
      <c r="BE3162" s="9"/>
      <c r="BF3162" s="9"/>
      <c r="BG3162" s="9"/>
      <c r="BH3162" s="9"/>
      <c r="BI3162" s="9"/>
      <c r="BJ3162" s="9"/>
      <c r="BK3162" s="9"/>
      <c r="BL3162" s="9"/>
      <c r="BM3162" s="9"/>
      <c r="BN3162" s="9"/>
      <c r="BO3162" s="9"/>
      <c r="BP3162" s="9"/>
      <c r="BQ3162" s="9"/>
      <c r="BR3162" s="9"/>
      <c r="BS3162" s="9"/>
      <c r="BT3162" s="9"/>
      <c r="BU3162" s="9"/>
      <c r="BV3162" s="9"/>
      <c r="BW3162" s="9"/>
      <c r="BX3162" s="9"/>
      <c r="BY3162" s="9"/>
      <c r="BZ3162" s="9"/>
      <c r="CA3162" s="9"/>
      <c r="CB3162" s="9"/>
      <c r="CC3162" s="9"/>
      <c r="CD3162" s="9"/>
      <c r="CE3162" s="9"/>
      <c r="CF3162" s="9"/>
      <c r="CG3162" s="9"/>
      <c r="CH3162" s="9"/>
      <c r="CI3162" s="9"/>
      <c r="CJ3162" s="9"/>
      <c r="CK3162" s="9"/>
      <c r="CL3162" s="9"/>
      <c r="CM3162" s="9"/>
      <c r="CN3162" s="9"/>
      <c r="CO3162" s="9"/>
      <c r="CP3162" s="9"/>
      <c r="CQ3162" s="9"/>
      <c r="CR3162" s="9"/>
      <c r="CS3162" s="9"/>
      <c r="CT3162" s="9"/>
      <c r="CU3162" s="9"/>
      <c r="CV3162" s="9"/>
      <c r="CW3162" s="9"/>
      <c r="CX3162" s="9"/>
      <c r="CY3162" s="9"/>
      <c r="CZ3162" s="9"/>
      <c r="DA3162" s="9"/>
      <c r="DB3162" s="9"/>
      <c r="DC3162" s="9"/>
      <c r="DD3162" s="9"/>
      <c r="DE3162" s="9"/>
      <c r="DF3162" s="9"/>
      <c r="DG3162" s="9"/>
      <c r="DH3162" s="9"/>
      <c r="DI3162" s="9"/>
      <c r="DJ3162" s="9"/>
      <c r="DK3162" s="9"/>
      <c r="DL3162" s="9"/>
      <c r="DM3162" s="9"/>
      <c r="DN3162" s="9"/>
      <c r="DO3162" s="9"/>
      <c r="DP3162" s="9"/>
      <c r="DQ3162" s="9"/>
      <c r="DR3162" s="9"/>
      <c r="DS3162" s="9"/>
      <c r="DT3162" s="9"/>
      <c r="DU3162" s="9"/>
      <c r="DV3162" s="9"/>
      <c r="DW3162" s="9"/>
      <c r="DX3162" s="9"/>
      <c r="DY3162" s="9"/>
      <c r="DZ3162" s="9"/>
      <c r="EA3162" s="9"/>
      <c r="EB3162" s="9"/>
      <c r="EC3162" s="9"/>
      <c r="ED3162" s="9"/>
      <c r="EE3162" s="9"/>
      <c r="EF3162" s="9"/>
      <c r="EG3162" s="9"/>
      <c r="EH3162" s="9"/>
      <c r="EI3162" s="9"/>
      <c r="EJ3162" s="9"/>
      <c r="EK3162" s="9"/>
      <c r="EL3162" s="9"/>
      <c r="EM3162" s="9"/>
      <c r="EN3162" s="9"/>
      <c r="EO3162" s="9"/>
      <c r="EP3162" s="9"/>
      <c r="EQ3162" s="9"/>
      <c r="ER3162" s="9"/>
      <c r="ES3162" s="9"/>
      <c r="ET3162" s="9"/>
      <c r="EU3162" s="9"/>
      <c r="EV3162" s="9"/>
      <c r="EW3162" s="9"/>
      <c r="EX3162" s="9"/>
      <c r="EY3162" s="9"/>
      <c r="EZ3162" s="9"/>
      <c r="FA3162" s="9"/>
      <c r="FB3162" s="9"/>
      <c r="FC3162" s="9"/>
      <c r="FD3162" s="9"/>
      <c r="FE3162" s="9"/>
      <c r="FF3162" s="9"/>
      <c r="FG3162" s="9"/>
      <c r="FH3162" s="9"/>
      <c r="FI3162" s="9"/>
      <c r="FJ3162" s="9"/>
      <c r="FK3162" s="9"/>
      <c r="FL3162" s="9"/>
      <c r="FM3162" s="9"/>
      <c r="FN3162" s="9"/>
      <c r="FO3162" s="9"/>
      <c r="FP3162" s="9"/>
      <c r="FQ3162" s="9"/>
      <c r="FR3162" s="9"/>
      <c r="FS3162" s="9"/>
      <c r="FT3162" s="9"/>
      <c r="FU3162" s="9"/>
      <c r="FV3162" s="9"/>
      <c r="FW3162" s="9"/>
      <c r="FX3162" s="9"/>
      <c r="FY3162" s="9"/>
      <c r="FZ3162" s="9"/>
      <c r="GA3162" s="9"/>
      <c r="GB3162" s="9"/>
      <c r="GC3162" s="9"/>
      <c r="GD3162" s="9"/>
      <c r="GE3162" s="9"/>
      <c r="GF3162" s="9"/>
      <c r="GG3162" s="9"/>
      <c r="GH3162" s="9"/>
      <c r="GI3162" s="9"/>
      <c r="GJ3162" s="9"/>
      <c r="GK3162" s="9"/>
      <c r="GL3162" s="9"/>
      <c r="GM3162" s="9"/>
      <c r="GN3162" s="9"/>
      <c r="GO3162" s="9"/>
      <c r="GP3162" s="9"/>
      <c r="GQ3162" s="9"/>
      <c r="GR3162" s="9"/>
      <c r="GS3162" s="9"/>
      <c r="GT3162" s="9"/>
      <c r="GU3162" s="9"/>
      <c r="GV3162" s="9"/>
      <c r="GW3162" s="9"/>
      <c r="GX3162" s="9"/>
      <c r="GY3162" s="9"/>
      <c r="GZ3162" s="9"/>
      <c r="HA3162" s="9"/>
      <c r="HB3162" s="9"/>
      <c r="HC3162" s="9"/>
      <c r="HD3162" s="9"/>
      <c r="HE3162" s="9"/>
      <c r="HF3162" s="9"/>
      <c r="HG3162" s="9"/>
      <c r="HH3162" s="9"/>
      <c r="HI3162" s="9"/>
      <c r="HJ3162" s="9"/>
      <c r="HK3162" s="9"/>
      <c r="HL3162" s="9"/>
      <c r="HM3162" s="9"/>
      <c r="HN3162" s="9"/>
      <c r="HO3162" s="9"/>
    </row>
    <row r="3163" spans="5:223" x14ac:dyDescent="0.35">
      <c r="E3163" s="7"/>
      <c r="F3163" s="7"/>
      <c r="X3163" s="9"/>
      <c r="Y3163" s="9"/>
      <c r="Z3163" s="9"/>
      <c r="AA3163" s="9"/>
      <c r="AB3163" s="9"/>
      <c r="AC3163" s="9"/>
      <c r="AD3163" s="9"/>
      <c r="AE3163" s="9"/>
      <c r="AF3163" s="9"/>
      <c r="AG3163" s="9"/>
      <c r="AH3163" s="9"/>
      <c r="AI3163" s="9"/>
      <c r="AJ3163" s="9"/>
      <c r="AK3163" s="9"/>
      <c r="AL3163" s="9"/>
      <c r="AM3163" s="9"/>
      <c r="AN3163" s="9"/>
      <c r="AO3163" s="9"/>
      <c r="AP3163" s="9"/>
      <c r="AQ3163" s="9"/>
      <c r="AR3163" s="9"/>
      <c r="AS3163" s="9"/>
      <c r="AT3163" s="9"/>
      <c r="AU3163" s="9"/>
      <c r="AV3163" s="9"/>
      <c r="AW3163" s="9"/>
      <c r="AX3163" s="9"/>
      <c r="AY3163" s="9"/>
      <c r="AZ3163" s="9"/>
      <c r="BA3163" s="9"/>
      <c r="BB3163" s="9"/>
      <c r="BC3163" s="9"/>
      <c r="BD3163" s="9"/>
      <c r="BE3163" s="9"/>
      <c r="BF3163" s="9"/>
      <c r="BG3163" s="9"/>
      <c r="BH3163" s="9"/>
      <c r="BI3163" s="9"/>
      <c r="BJ3163" s="9"/>
      <c r="BK3163" s="9"/>
      <c r="BL3163" s="9"/>
      <c r="BM3163" s="9"/>
      <c r="BN3163" s="9"/>
      <c r="BO3163" s="9"/>
      <c r="BP3163" s="9"/>
      <c r="BQ3163" s="9"/>
      <c r="BR3163" s="9"/>
      <c r="BS3163" s="9"/>
      <c r="BT3163" s="9"/>
      <c r="BU3163" s="9"/>
      <c r="BV3163" s="9"/>
      <c r="BW3163" s="9"/>
      <c r="BX3163" s="9"/>
      <c r="BY3163" s="9"/>
      <c r="BZ3163" s="9"/>
      <c r="CA3163" s="9"/>
      <c r="CB3163" s="9"/>
      <c r="CC3163" s="9"/>
      <c r="CD3163" s="9"/>
      <c r="CE3163" s="9"/>
      <c r="CF3163" s="9"/>
      <c r="CG3163" s="9"/>
      <c r="CH3163" s="9"/>
      <c r="CI3163" s="9"/>
      <c r="CJ3163" s="9"/>
      <c r="CK3163" s="9"/>
      <c r="CL3163" s="9"/>
      <c r="CM3163" s="9"/>
      <c r="CN3163" s="9"/>
      <c r="CO3163" s="9"/>
      <c r="CP3163" s="9"/>
      <c r="CQ3163" s="9"/>
      <c r="CR3163" s="9"/>
      <c r="CS3163" s="9"/>
      <c r="CT3163" s="9"/>
      <c r="CU3163" s="9"/>
      <c r="CV3163" s="9"/>
      <c r="CW3163" s="9"/>
      <c r="CX3163" s="9"/>
      <c r="CY3163" s="9"/>
      <c r="CZ3163" s="9"/>
      <c r="DA3163" s="9"/>
      <c r="DB3163" s="9"/>
      <c r="DC3163" s="9"/>
      <c r="DD3163" s="9"/>
      <c r="DE3163" s="9"/>
      <c r="DF3163" s="9"/>
      <c r="DG3163" s="9"/>
      <c r="DH3163" s="9"/>
      <c r="DI3163" s="9"/>
      <c r="DJ3163" s="9"/>
      <c r="DK3163" s="9"/>
      <c r="DL3163" s="9"/>
      <c r="DM3163" s="9"/>
      <c r="DN3163" s="9"/>
      <c r="DO3163" s="9"/>
      <c r="DP3163" s="9"/>
      <c r="DQ3163" s="9"/>
      <c r="DR3163" s="9"/>
      <c r="DS3163" s="9"/>
      <c r="DT3163" s="9"/>
      <c r="DU3163" s="9"/>
      <c r="DV3163" s="9"/>
      <c r="DW3163" s="9"/>
      <c r="DX3163" s="9"/>
      <c r="DY3163" s="9"/>
      <c r="DZ3163" s="9"/>
      <c r="EA3163" s="9"/>
      <c r="EB3163" s="9"/>
      <c r="EC3163" s="9"/>
      <c r="ED3163" s="9"/>
      <c r="EE3163" s="9"/>
      <c r="EF3163" s="9"/>
      <c r="EG3163" s="9"/>
      <c r="EH3163" s="9"/>
      <c r="EI3163" s="9"/>
      <c r="EJ3163" s="9"/>
      <c r="EK3163" s="9"/>
      <c r="EL3163" s="9"/>
      <c r="EM3163" s="9"/>
      <c r="EN3163" s="9"/>
      <c r="EO3163" s="9"/>
      <c r="EP3163" s="9"/>
      <c r="EQ3163" s="9"/>
      <c r="ER3163" s="9"/>
      <c r="ES3163" s="9"/>
      <c r="ET3163" s="9"/>
      <c r="EU3163" s="9"/>
      <c r="EV3163" s="9"/>
      <c r="EW3163" s="9"/>
      <c r="EX3163" s="9"/>
      <c r="EY3163" s="9"/>
      <c r="EZ3163" s="9"/>
      <c r="FA3163" s="9"/>
      <c r="FB3163" s="9"/>
      <c r="FC3163" s="9"/>
      <c r="FD3163" s="9"/>
      <c r="FE3163" s="9"/>
      <c r="FF3163" s="9"/>
      <c r="FG3163" s="9"/>
      <c r="FH3163" s="9"/>
      <c r="FI3163" s="9"/>
      <c r="FJ3163" s="9"/>
      <c r="FK3163" s="9"/>
      <c r="FL3163" s="9"/>
      <c r="FM3163" s="9"/>
      <c r="FN3163" s="9"/>
      <c r="FO3163" s="9"/>
      <c r="FP3163" s="9"/>
      <c r="FQ3163" s="9"/>
      <c r="FR3163" s="9"/>
      <c r="FS3163" s="9"/>
      <c r="FT3163" s="9"/>
      <c r="FU3163" s="9"/>
      <c r="FV3163" s="9"/>
      <c r="FW3163" s="9"/>
      <c r="FX3163" s="9"/>
      <c r="FY3163" s="9"/>
      <c r="FZ3163" s="9"/>
      <c r="GA3163" s="9"/>
      <c r="GB3163" s="9"/>
      <c r="GC3163" s="9"/>
      <c r="GD3163" s="9"/>
      <c r="GE3163" s="9"/>
      <c r="GF3163" s="9"/>
      <c r="GG3163" s="9"/>
      <c r="GH3163" s="9"/>
      <c r="GI3163" s="9"/>
      <c r="GJ3163" s="9"/>
      <c r="GK3163" s="9"/>
      <c r="GL3163" s="9"/>
      <c r="GM3163" s="9"/>
      <c r="GN3163" s="9"/>
      <c r="GO3163" s="9"/>
      <c r="GP3163" s="9"/>
      <c r="GQ3163" s="9"/>
      <c r="GR3163" s="9"/>
      <c r="GS3163" s="9"/>
      <c r="GT3163" s="9"/>
      <c r="GU3163" s="9"/>
      <c r="GV3163" s="9"/>
      <c r="GW3163" s="9"/>
      <c r="GX3163" s="9"/>
      <c r="GY3163" s="9"/>
      <c r="GZ3163" s="9"/>
      <c r="HA3163" s="9"/>
      <c r="HB3163" s="9"/>
      <c r="HC3163" s="9"/>
      <c r="HD3163" s="9"/>
      <c r="HE3163" s="9"/>
      <c r="HF3163" s="9"/>
      <c r="HG3163" s="9"/>
      <c r="HH3163" s="9"/>
      <c r="HI3163" s="9"/>
      <c r="HJ3163" s="9"/>
      <c r="HK3163" s="9"/>
      <c r="HL3163" s="9"/>
      <c r="HM3163" s="9"/>
      <c r="HN3163" s="9"/>
      <c r="HO3163" s="9"/>
    </row>
    <row r="3164" spans="5:223" x14ac:dyDescent="0.35">
      <c r="E3164" s="7"/>
      <c r="F3164" s="7"/>
      <c r="X3164" s="9"/>
      <c r="Y3164" s="9"/>
      <c r="Z3164" s="9"/>
      <c r="AA3164" s="9"/>
      <c r="AB3164" s="9"/>
      <c r="AC3164" s="9"/>
      <c r="AD3164" s="9"/>
      <c r="AE3164" s="9"/>
      <c r="AF3164" s="9"/>
      <c r="AG3164" s="9"/>
      <c r="AH3164" s="9"/>
      <c r="AI3164" s="9"/>
      <c r="AJ3164" s="9"/>
      <c r="AK3164" s="9"/>
      <c r="AL3164" s="9"/>
      <c r="AM3164" s="9"/>
      <c r="AN3164" s="9"/>
      <c r="AO3164" s="9"/>
      <c r="AP3164" s="9"/>
      <c r="AQ3164" s="9"/>
      <c r="AR3164" s="9"/>
      <c r="AS3164" s="9"/>
      <c r="AT3164" s="9"/>
      <c r="AU3164" s="9"/>
      <c r="AV3164" s="9"/>
      <c r="AW3164" s="9"/>
      <c r="AX3164" s="9"/>
      <c r="AY3164" s="9"/>
      <c r="AZ3164" s="9"/>
      <c r="BA3164" s="9"/>
      <c r="BB3164" s="9"/>
      <c r="BC3164" s="9"/>
      <c r="BD3164" s="9"/>
      <c r="BE3164" s="9"/>
      <c r="BF3164" s="9"/>
      <c r="BG3164" s="9"/>
      <c r="BH3164" s="9"/>
      <c r="BI3164" s="9"/>
      <c r="BJ3164" s="9"/>
      <c r="BK3164" s="9"/>
      <c r="BL3164" s="9"/>
      <c r="BM3164" s="9"/>
      <c r="BN3164" s="9"/>
      <c r="BO3164" s="9"/>
      <c r="BP3164" s="9"/>
      <c r="BQ3164" s="9"/>
      <c r="BR3164" s="9"/>
      <c r="BS3164" s="9"/>
      <c r="BT3164" s="9"/>
      <c r="BU3164" s="9"/>
      <c r="BV3164" s="9"/>
      <c r="BW3164" s="9"/>
      <c r="BX3164" s="9"/>
      <c r="BY3164" s="9"/>
      <c r="BZ3164" s="9"/>
      <c r="CA3164" s="9"/>
      <c r="CB3164" s="9"/>
      <c r="CC3164" s="9"/>
      <c r="CD3164" s="9"/>
      <c r="CE3164" s="9"/>
      <c r="CF3164" s="9"/>
      <c r="CG3164" s="9"/>
      <c r="CH3164" s="9"/>
      <c r="CI3164" s="9"/>
      <c r="CJ3164" s="9"/>
      <c r="CK3164" s="9"/>
      <c r="CL3164" s="9"/>
      <c r="CM3164" s="9"/>
      <c r="CN3164" s="9"/>
      <c r="CO3164" s="9"/>
      <c r="CP3164" s="9"/>
      <c r="CQ3164" s="9"/>
      <c r="CR3164" s="9"/>
      <c r="CS3164" s="9"/>
      <c r="CT3164" s="9"/>
      <c r="CU3164" s="9"/>
      <c r="CV3164" s="9"/>
      <c r="CW3164" s="9"/>
      <c r="CX3164" s="9"/>
      <c r="CY3164" s="9"/>
      <c r="CZ3164" s="9"/>
      <c r="DA3164" s="9"/>
      <c r="DB3164" s="9"/>
      <c r="DC3164" s="9"/>
      <c r="DD3164" s="9"/>
      <c r="DE3164" s="9"/>
      <c r="DF3164" s="9"/>
      <c r="DG3164" s="9"/>
      <c r="DH3164" s="9"/>
      <c r="DI3164" s="9"/>
      <c r="DJ3164" s="9"/>
      <c r="DK3164" s="9"/>
      <c r="DL3164" s="9"/>
      <c r="DM3164" s="9"/>
      <c r="DN3164" s="9"/>
      <c r="DO3164" s="9"/>
      <c r="DP3164" s="9"/>
      <c r="DQ3164" s="9"/>
      <c r="DR3164" s="9"/>
      <c r="DS3164" s="9"/>
      <c r="DT3164" s="9"/>
      <c r="DU3164" s="9"/>
      <c r="DV3164" s="9"/>
      <c r="DW3164" s="9"/>
      <c r="DX3164" s="9"/>
      <c r="DY3164" s="9"/>
      <c r="DZ3164" s="9"/>
      <c r="EA3164" s="9"/>
      <c r="EB3164" s="9"/>
      <c r="EC3164" s="9"/>
      <c r="ED3164" s="9"/>
      <c r="EE3164" s="9"/>
      <c r="EF3164" s="9"/>
      <c r="EG3164" s="9"/>
      <c r="EH3164" s="9"/>
      <c r="EI3164" s="9"/>
      <c r="EJ3164" s="9"/>
      <c r="EK3164" s="9"/>
      <c r="EL3164" s="9"/>
      <c r="EM3164" s="9"/>
      <c r="EN3164" s="9"/>
      <c r="EO3164" s="9"/>
      <c r="EP3164" s="9"/>
      <c r="EQ3164" s="9"/>
      <c r="ER3164" s="9"/>
      <c r="ES3164" s="9"/>
      <c r="ET3164" s="9"/>
      <c r="EU3164" s="9"/>
      <c r="EV3164" s="9"/>
      <c r="EW3164" s="9"/>
      <c r="EX3164" s="9"/>
      <c r="EY3164" s="9"/>
      <c r="EZ3164" s="9"/>
      <c r="FA3164" s="9"/>
      <c r="FB3164" s="9"/>
      <c r="FC3164" s="9"/>
      <c r="FD3164" s="9"/>
      <c r="FE3164" s="9"/>
      <c r="FF3164" s="9"/>
      <c r="FG3164" s="9"/>
      <c r="FH3164" s="9"/>
      <c r="FI3164" s="9"/>
      <c r="FJ3164" s="9"/>
      <c r="FK3164" s="9"/>
      <c r="FL3164" s="9"/>
      <c r="FM3164" s="9"/>
      <c r="FN3164" s="9"/>
      <c r="FO3164" s="9"/>
      <c r="FP3164" s="9"/>
      <c r="FQ3164" s="9"/>
      <c r="FR3164" s="9"/>
      <c r="FS3164" s="9"/>
      <c r="FT3164" s="9"/>
      <c r="FU3164" s="9"/>
      <c r="FV3164" s="9"/>
      <c r="FW3164" s="9"/>
      <c r="FX3164" s="9"/>
      <c r="FY3164" s="9"/>
      <c r="FZ3164" s="9"/>
      <c r="GA3164" s="9"/>
      <c r="GB3164" s="9"/>
      <c r="GC3164" s="9"/>
      <c r="GD3164" s="9"/>
      <c r="GE3164" s="9"/>
      <c r="GF3164" s="9"/>
      <c r="GG3164" s="9"/>
      <c r="GH3164" s="9"/>
      <c r="GI3164" s="9"/>
      <c r="GJ3164" s="9"/>
      <c r="GK3164" s="9"/>
      <c r="GL3164" s="9"/>
      <c r="GM3164" s="9"/>
      <c r="GN3164" s="9"/>
      <c r="GO3164" s="9"/>
      <c r="GP3164" s="9"/>
      <c r="GQ3164" s="9"/>
      <c r="GR3164" s="9"/>
      <c r="GS3164" s="9"/>
      <c r="GT3164" s="9"/>
      <c r="GU3164" s="9"/>
      <c r="GV3164" s="9"/>
      <c r="GW3164" s="9"/>
      <c r="GX3164" s="9"/>
      <c r="GY3164" s="9"/>
      <c r="GZ3164" s="9"/>
      <c r="HA3164" s="9"/>
      <c r="HB3164" s="9"/>
      <c r="HC3164" s="9"/>
      <c r="HD3164" s="9"/>
      <c r="HE3164" s="9"/>
      <c r="HF3164" s="9"/>
      <c r="HG3164" s="9"/>
      <c r="HH3164" s="9"/>
      <c r="HI3164" s="9"/>
      <c r="HJ3164" s="9"/>
      <c r="HK3164" s="9"/>
      <c r="HL3164" s="9"/>
      <c r="HM3164" s="9"/>
      <c r="HN3164" s="9"/>
      <c r="HO3164" s="9"/>
    </row>
    <row r="3165" spans="5:223" x14ac:dyDescent="0.35">
      <c r="E3165" s="7"/>
      <c r="F3165" s="7"/>
      <c r="X3165" s="9"/>
      <c r="Y3165" s="9"/>
      <c r="Z3165" s="9"/>
      <c r="AA3165" s="9"/>
      <c r="AB3165" s="9"/>
      <c r="AC3165" s="9"/>
      <c r="AD3165" s="9"/>
      <c r="AE3165" s="9"/>
      <c r="AF3165" s="9"/>
      <c r="AG3165" s="9"/>
      <c r="AH3165" s="9"/>
      <c r="AI3165" s="9"/>
      <c r="AJ3165" s="9"/>
      <c r="AK3165" s="9"/>
      <c r="AL3165" s="9"/>
      <c r="AM3165" s="9"/>
      <c r="AN3165" s="9"/>
      <c r="AO3165" s="9"/>
      <c r="AP3165" s="9"/>
      <c r="AQ3165" s="9"/>
      <c r="AR3165" s="9"/>
      <c r="AS3165" s="9"/>
      <c r="AT3165" s="9"/>
      <c r="AU3165" s="9"/>
      <c r="AV3165" s="9"/>
      <c r="AW3165" s="9"/>
      <c r="AX3165" s="9"/>
      <c r="AY3165" s="9"/>
      <c r="AZ3165" s="9"/>
      <c r="BA3165" s="9"/>
      <c r="BB3165" s="9"/>
      <c r="BC3165" s="9"/>
      <c r="BD3165" s="9"/>
      <c r="BE3165" s="9"/>
      <c r="BF3165" s="9"/>
      <c r="BG3165" s="9"/>
      <c r="BH3165" s="9"/>
      <c r="BI3165" s="9"/>
      <c r="BJ3165" s="9"/>
      <c r="BK3165" s="9"/>
      <c r="BL3165" s="9"/>
      <c r="BM3165" s="9"/>
      <c r="BN3165" s="9"/>
      <c r="BO3165" s="9"/>
      <c r="BP3165" s="9"/>
      <c r="BQ3165" s="9"/>
      <c r="BR3165" s="9"/>
      <c r="BS3165" s="9"/>
      <c r="BT3165" s="9"/>
      <c r="BU3165" s="9"/>
      <c r="BV3165" s="9"/>
      <c r="BW3165" s="9"/>
      <c r="BX3165" s="9"/>
      <c r="BY3165" s="9"/>
      <c r="BZ3165" s="9"/>
      <c r="CA3165" s="9"/>
      <c r="CB3165" s="9"/>
      <c r="CC3165" s="9"/>
      <c r="CD3165" s="9"/>
      <c r="CE3165" s="9"/>
      <c r="CF3165" s="9"/>
      <c r="CG3165" s="9"/>
      <c r="CH3165" s="9"/>
      <c r="CI3165" s="9"/>
      <c r="CJ3165" s="9"/>
      <c r="CK3165" s="9"/>
      <c r="CL3165" s="9"/>
      <c r="CM3165" s="9"/>
      <c r="CN3165" s="9"/>
      <c r="CO3165" s="9"/>
      <c r="CP3165" s="9"/>
      <c r="CQ3165" s="9"/>
      <c r="CR3165" s="9"/>
      <c r="CS3165" s="9"/>
      <c r="CT3165" s="9"/>
      <c r="CU3165" s="9"/>
      <c r="CV3165" s="9"/>
      <c r="CW3165" s="9"/>
      <c r="CX3165" s="9"/>
      <c r="CY3165" s="9"/>
      <c r="CZ3165" s="9"/>
      <c r="DA3165" s="9"/>
      <c r="DB3165" s="9"/>
      <c r="DC3165" s="9"/>
      <c r="DD3165" s="9"/>
      <c r="DE3165" s="9"/>
      <c r="DF3165" s="9"/>
      <c r="DG3165" s="9"/>
      <c r="DH3165" s="9"/>
      <c r="DI3165" s="9"/>
      <c r="DJ3165" s="9"/>
      <c r="DK3165" s="9"/>
      <c r="DL3165" s="9"/>
      <c r="DM3165" s="9"/>
      <c r="DN3165" s="9"/>
      <c r="DO3165" s="9"/>
      <c r="DP3165" s="9"/>
      <c r="DQ3165" s="9"/>
      <c r="DR3165" s="9"/>
      <c r="DS3165" s="9"/>
      <c r="DT3165" s="9"/>
      <c r="DU3165" s="9"/>
      <c r="DV3165" s="9"/>
      <c r="DW3165" s="9"/>
      <c r="DX3165" s="9"/>
      <c r="DY3165" s="9"/>
      <c r="DZ3165" s="9"/>
      <c r="EA3165" s="9"/>
      <c r="EB3165" s="9"/>
      <c r="EC3165" s="9"/>
      <c r="ED3165" s="9"/>
      <c r="EE3165" s="9"/>
      <c r="EF3165" s="9"/>
      <c r="EG3165" s="9"/>
      <c r="EH3165" s="9"/>
      <c r="EI3165" s="9"/>
      <c r="EJ3165" s="9"/>
      <c r="EK3165" s="9"/>
      <c r="EL3165" s="9"/>
      <c r="EM3165" s="9"/>
      <c r="EN3165" s="9"/>
      <c r="EO3165" s="9"/>
      <c r="EP3165" s="9"/>
      <c r="EQ3165" s="9"/>
      <c r="ER3165" s="9"/>
      <c r="ES3165" s="9"/>
      <c r="ET3165" s="9"/>
      <c r="EU3165" s="9"/>
      <c r="EV3165" s="9"/>
      <c r="EW3165" s="9"/>
      <c r="EX3165" s="9"/>
      <c r="EY3165" s="9"/>
      <c r="EZ3165" s="9"/>
      <c r="FA3165" s="9"/>
      <c r="FB3165" s="9"/>
      <c r="FC3165" s="9"/>
      <c r="FD3165" s="9"/>
      <c r="FE3165" s="9"/>
      <c r="FF3165" s="9"/>
      <c r="FG3165" s="9"/>
      <c r="FH3165" s="9"/>
      <c r="FI3165" s="9"/>
      <c r="FJ3165" s="9"/>
      <c r="FK3165" s="9"/>
      <c r="FL3165" s="9"/>
      <c r="FM3165" s="9"/>
      <c r="FN3165" s="9"/>
      <c r="FO3165" s="9"/>
      <c r="FP3165" s="9"/>
      <c r="FQ3165" s="9"/>
      <c r="FR3165" s="9"/>
      <c r="FS3165" s="9"/>
      <c r="FT3165" s="9"/>
      <c r="FU3165" s="9"/>
      <c r="FV3165" s="9"/>
      <c r="FW3165" s="9"/>
      <c r="FX3165" s="9"/>
      <c r="FY3165" s="9"/>
      <c r="FZ3165" s="9"/>
      <c r="GA3165" s="9"/>
      <c r="GB3165" s="9"/>
      <c r="GC3165" s="9"/>
      <c r="GD3165" s="9"/>
      <c r="GE3165" s="9"/>
      <c r="GF3165" s="9"/>
      <c r="GG3165" s="9"/>
      <c r="GH3165" s="9"/>
      <c r="GI3165" s="9"/>
      <c r="GJ3165" s="9"/>
      <c r="GK3165" s="9"/>
      <c r="GL3165" s="9"/>
      <c r="GM3165" s="9"/>
      <c r="GN3165" s="9"/>
      <c r="GO3165" s="9"/>
      <c r="GP3165" s="9"/>
      <c r="GQ3165" s="9"/>
      <c r="GR3165" s="9"/>
      <c r="GS3165" s="9"/>
      <c r="GT3165" s="9"/>
      <c r="GU3165" s="9"/>
      <c r="GV3165" s="9"/>
      <c r="GW3165" s="9"/>
      <c r="GX3165" s="9"/>
      <c r="GY3165" s="9"/>
      <c r="GZ3165" s="9"/>
      <c r="HA3165" s="9"/>
      <c r="HB3165" s="9"/>
      <c r="HC3165" s="9"/>
      <c r="HD3165" s="9"/>
      <c r="HE3165" s="9"/>
      <c r="HF3165" s="9"/>
      <c r="HG3165" s="9"/>
      <c r="HH3165" s="9"/>
      <c r="HI3165" s="9"/>
      <c r="HJ3165" s="9"/>
      <c r="HK3165" s="9"/>
      <c r="HL3165" s="9"/>
      <c r="HM3165" s="9"/>
      <c r="HN3165" s="9"/>
      <c r="HO3165" s="9"/>
    </row>
    <row r="3166" spans="5:223" x14ac:dyDescent="0.35">
      <c r="E3166" s="7"/>
      <c r="F3166" s="7"/>
      <c r="X3166" s="9"/>
      <c r="Y3166" s="9"/>
      <c r="Z3166" s="9"/>
      <c r="AA3166" s="9"/>
      <c r="AB3166" s="9"/>
      <c r="AC3166" s="9"/>
      <c r="AD3166" s="9"/>
      <c r="AE3166" s="9"/>
      <c r="AF3166" s="9"/>
      <c r="AG3166" s="9"/>
      <c r="AH3166" s="9"/>
      <c r="AI3166" s="9"/>
      <c r="AJ3166" s="9"/>
      <c r="AK3166" s="9"/>
      <c r="AL3166" s="9"/>
      <c r="AM3166" s="9"/>
      <c r="AN3166" s="9"/>
      <c r="AO3166" s="9"/>
      <c r="AP3166" s="9"/>
      <c r="AQ3166" s="9"/>
      <c r="AR3166" s="9"/>
      <c r="AS3166" s="9"/>
      <c r="AT3166" s="9"/>
      <c r="AU3166" s="9"/>
      <c r="AV3166" s="9"/>
      <c r="AW3166" s="9"/>
      <c r="AX3166" s="9"/>
      <c r="AY3166" s="9"/>
      <c r="AZ3166" s="9"/>
      <c r="BA3166" s="9"/>
      <c r="BB3166" s="9"/>
      <c r="BC3166" s="9"/>
      <c r="BD3166" s="9"/>
      <c r="BE3166" s="9"/>
      <c r="BF3166" s="9"/>
      <c r="BG3166" s="9"/>
      <c r="BH3166" s="9"/>
      <c r="BI3166" s="9"/>
      <c r="BJ3166" s="9"/>
      <c r="BK3166" s="9"/>
      <c r="BL3166" s="9"/>
      <c r="BM3166" s="9"/>
      <c r="BN3166" s="9"/>
      <c r="BO3166" s="9"/>
      <c r="BP3166" s="9"/>
      <c r="BQ3166" s="9"/>
      <c r="BR3166" s="9"/>
      <c r="BS3166" s="9"/>
      <c r="BT3166" s="9"/>
      <c r="BU3166" s="9"/>
      <c r="BV3166" s="9"/>
      <c r="BW3166" s="9"/>
      <c r="BX3166" s="9"/>
      <c r="BY3166" s="9"/>
      <c r="BZ3166" s="9"/>
      <c r="CA3166" s="9"/>
      <c r="CB3166" s="9"/>
      <c r="CC3166" s="9"/>
      <c r="CD3166" s="9"/>
      <c r="CE3166" s="9"/>
      <c r="CF3166" s="9"/>
      <c r="CG3166" s="9"/>
      <c r="CH3166" s="9"/>
      <c r="CI3166" s="9"/>
      <c r="CJ3166" s="9"/>
      <c r="CK3166" s="9"/>
      <c r="CL3166" s="9"/>
      <c r="CM3166" s="9"/>
      <c r="CN3166" s="9"/>
      <c r="CO3166" s="9"/>
      <c r="CP3166" s="9"/>
      <c r="CQ3166" s="9"/>
      <c r="CR3166" s="9"/>
      <c r="CS3166" s="9"/>
      <c r="CT3166" s="9"/>
      <c r="CU3166" s="9"/>
      <c r="CV3166" s="9"/>
      <c r="CW3166" s="9"/>
      <c r="CX3166" s="9"/>
      <c r="CY3166" s="9"/>
      <c r="CZ3166" s="9"/>
      <c r="DA3166" s="9"/>
      <c r="DB3166" s="9"/>
      <c r="DC3166" s="9"/>
      <c r="DD3166" s="9"/>
      <c r="DE3166" s="9"/>
      <c r="DF3166" s="9"/>
      <c r="DG3166" s="9"/>
      <c r="DH3166" s="9"/>
      <c r="DI3166" s="9"/>
      <c r="DJ3166" s="9"/>
      <c r="DK3166" s="9"/>
      <c r="DL3166" s="9"/>
      <c r="DM3166" s="9"/>
      <c r="DN3166" s="9"/>
      <c r="DO3166" s="9"/>
      <c r="DP3166" s="9"/>
      <c r="DQ3166" s="9"/>
      <c r="DR3166" s="9"/>
      <c r="DS3166" s="9"/>
      <c r="DT3166" s="9"/>
      <c r="DU3166" s="9"/>
      <c r="DV3166" s="9"/>
      <c r="DW3166" s="9"/>
      <c r="DX3166" s="9"/>
      <c r="DY3166" s="9"/>
      <c r="DZ3166" s="9"/>
      <c r="EA3166" s="9"/>
      <c r="EB3166" s="9"/>
      <c r="EC3166" s="9"/>
      <c r="ED3166" s="9"/>
      <c r="EE3166" s="9"/>
      <c r="EF3166" s="9"/>
      <c r="EG3166" s="9"/>
      <c r="EH3166" s="9"/>
      <c r="EI3166" s="9"/>
      <c r="EJ3166" s="9"/>
      <c r="EK3166" s="9"/>
      <c r="EL3166" s="9"/>
      <c r="EM3166" s="9"/>
      <c r="EN3166" s="9"/>
      <c r="EO3166" s="9"/>
      <c r="EP3166" s="9"/>
      <c r="EQ3166" s="9"/>
      <c r="ER3166" s="9"/>
      <c r="ES3166" s="9"/>
      <c r="ET3166" s="9"/>
      <c r="EU3166" s="9"/>
      <c r="EV3166" s="9"/>
      <c r="EW3166" s="9"/>
      <c r="EX3166" s="9"/>
      <c r="EY3166" s="9"/>
      <c r="EZ3166" s="9"/>
      <c r="FA3166" s="9"/>
      <c r="FB3166" s="9"/>
      <c r="FC3166" s="9"/>
      <c r="FD3166" s="9"/>
      <c r="FE3166" s="9"/>
      <c r="FF3166" s="9"/>
      <c r="FG3166" s="9"/>
      <c r="FH3166" s="9"/>
      <c r="FI3166" s="9"/>
      <c r="FJ3166" s="9"/>
      <c r="FK3166" s="9"/>
      <c r="FL3166" s="9"/>
      <c r="FM3166" s="9"/>
      <c r="FN3166" s="9"/>
      <c r="FO3166" s="9"/>
      <c r="FP3166" s="9"/>
      <c r="FQ3166" s="9"/>
      <c r="FR3166" s="9"/>
      <c r="FS3166" s="9"/>
      <c r="FT3166" s="9"/>
      <c r="FU3166" s="9"/>
      <c r="FV3166" s="9"/>
      <c r="FW3166" s="9"/>
      <c r="FX3166" s="9"/>
      <c r="FY3166" s="9"/>
      <c r="FZ3166" s="9"/>
      <c r="GA3166" s="9"/>
      <c r="GB3166" s="9"/>
      <c r="GC3166" s="9"/>
      <c r="GD3166" s="9"/>
      <c r="GE3166" s="9"/>
      <c r="GF3166" s="9"/>
      <c r="GG3166" s="9"/>
      <c r="GH3166" s="9"/>
      <c r="GI3166" s="9"/>
      <c r="GJ3166" s="9"/>
      <c r="GK3166" s="9"/>
      <c r="GL3166" s="9"/>
      <c r="GM3166" s="9"/>
      <c r="GN3166" s="9"/>
      <c r="GO3166" s="9"/>
      <c r="GP3166" s="9"/>
      <c r="GQ3166" s="9"/>
      <c r="GR3166" s="9"/>
      <c r="GS3166" s="9"/>
      <c r="GT3166" s="9"/>
      <c r="GU3166" s="9"/>
      <c r="GV3166" s="9"/>
      <c r="GW3166" s="9"/>
      <c r="GX3166" s="9"/>
      <c r="GY3166" s="9"/>
      <c r="GZ3166" s="9"/>
      <c r="HA3166" s="9"/>
      <c r="HB3166" s="9"/>
      <c r="HC3166" s="9"/>
      <c r="HD3166" s="9"/>
      <c r="HE3166" s="9"/>
      <c r="HF3166" s="9"/>
      <c r="HG3166" s="9"/>
      <c r="HH3166" s="9"/>
      <c r="HI3166" s="9"/>
      <c r="HJ3166" s="9"/>
      <c r="HK3166" s="9"/>
      <c r="HL3166" s="9"/>
      <c r="HM3166" s="9"/>
      <c r="HN3166" s="9"/>
      <c r="HO3166" s="9"/>
    </row>
    <row r="3167" spans="5:223" x14ac:dyDescent="0.35">
      <c r="E3167" s="7"/>
      <c r="F3167" s="7"/>
      <c r="X3167" s="9"/>
      <c r="Y3167" s="9"/>
      <c r="Z3167" s="9"/>
      <c r="AA3167" s="9"/>
      <c r="AB3167" s="9"/>
      <c r="AC3167" s="9"/>
      <c r="AD3167" s="9"/>
      <c r="AE3167" s="9"/>
      <c r="AF3167" s="9"/>
      <c r="AG3167" s="9"/>
      <c r="AH3167" s="9"/>
      <c r="AI3167" s="9"/>
      <c r="AJ3167" s="9"/>
      <c r="AK3167" s="9"/>
      <c r="AL3167" s="9"/>
      <c r="AM3167" s="9"/>
      <c r="AN3167" s="9"/>
      <c r="AO3167" s="9"/>
      <c r="AP3167" s="9"/>
      <c r="AQ3167" s="9"/>
      <c r="AR3167" s="9"/>
      <c r="AS3167" s="9"/>
      <c r="AT3167" s="9"/>
      <c r="AU3167" s="9"/>
      <c r="AV3167" s="9"/>
      <c r="AW3167" s="9"/>
      <c r="AX3167" s="9"/>
      <c r="AY3167" s="9"/>
      <c r="AZ3167" s="9"/>
      <c r="BA3167" s="9"/>
      <c r="BB3167" s="9"/>
      <c r="BC3167" s="9"/>
      <c r="BD3167" s="9"/>
      <c r="BE3167" s="9"/>
      <c r="BF3167" s="9"/>
      <c r="BG3167" s="9"/>
      <c r="BH3167" s="9"/>
      <c r="BI3167" s="9"/>
      <c r="BJ3167" s="9"/>
      <c r="BK3167" s="9"/>
      <c r="BL3167" s="9"/>
      <c r="BM3167" s="9"/>
      <c r="BN3167" s="9"/>
      <c r="BO3167" s="9"/>
      <c r="BP3167" s="9"/>
      <c r="BQ3167" s="9"/>
      <c r="BR3167" s="9"/>
      <c r="BS3167" s="9"/>
      <c r="BT3167" s="9"/>
      <c r="BU3167" s="9"/>
      <c r="BV3167" s="9"/>
      <c r="BW3167" s="9"/>
      <c r="BX3167" s="9"/>
      <c r="BY3167" s="9"/>
      <c r="BZ3167" s="9"/>
      <c r="CA3167" s="9"/>
      <c r="CB3167" s="9"/>
      <c r="CC3167" s="9"/>
      <c r="CD3167" s="9"/>
      <c r="CE3167" s="9"/>
      <c r="CF3167" s="9"/>
      <c r="CG3167" s="9"/>
      <c r="CH3167" s="9"/>
      <c r="CI3167" s="9"/>
      <c r="CJ3167" s="9"/>
      <c r="CK3167" s="9"/>
      <c r="CL3167" s="9"/>
      <c r="CM3167" s="9"/>
      <c r="CN3167" s="9"/>
      <c r="CO3167" s="9"/>
      <c r="CP3167" s="9"/>
      <c r="CQ3167" s="9"/>
      <c r="CR3167" s="9"/>
      <c r="CS3167" s="9"/>
      <c r="CT3167" s="9"/>
      <c r="CU3167" s="9"/>
      <c r="CV3167" s="9"/>
      <c r="CW3167" s="9"/>
      <c r="CX3167" s="9"/>
      <c r="CY3167" s="9"/>
      <c r="CZ3167" s="9"/>
      <c r="DA3167" s="9"/>
      <c r="DB3167" s="9"/>
      <c r="DC3167" s="9"/>
      <c r="DD3167" s="9"/>
      <c r="DE3167" s="9"/>
      <c r="DF3167" s="9"/>
      <c r="DG3167" s="9"/>
      <c r="DH3167" s="9"/>
      <c r="DI3167" s="9"/>
      <c r="DJ3167" s="9"/>
      <c r="DK3167" s="9"/>
      <c r="DL3167" s="9"/>
      <c r="DM3167" s="9"/>
      <c r="DN3167" s="9"/>
      <c r="DO3167" s="9"/>
      <c r="DP3167" s="9"/>
      <c r="DQ3167" s="9"/>
      <c r="DR3167" s="9"/>
      <c r="DS3167" s="9"/>
      <c r="DT3167" s="9"/>
      <c r="DU3167" s="9"/>
      <c r="DV3167" s="9"/>
      <c r="DW3167" s="9"/>
      <c r="DX3167" s="9"/>
      <c r="DY3167" s="9"/>
      <c r="DZ3167" s="9"/>
      <c r="EA3167" s="9"/>
      <c r="EB3167" s="9"/>
      <c r="EC3167" s="9"/>
      <c r="ED3167" s="9"/>
      <c r="EE3167" s="9"/>
      <c r="EF3167" s="9"/>
      <c r="EG3167" s="9"/>
      <c r="EH3167" s="9"/>
      <c r="EI3167" s="9"/>
      <c r="EJ3167" s="9"/>
      <c r="EK3167" s="9"/>
      <c r="EL3167" s="9"/>
      <c r="EM3167" s="9"/>
      <c r="EN3167" s="9"/>
      <c r="EO3167" s="9"/>
      <c r="EP3167" s="9"/>
      <c r="EQ3167" s="9"/>
      <c r="ER3167" s="9"/>
      <c r="ES3167" s="9"/>
      <c r="ET3167" s="9"/>
      <c r="EU3167" s="9"/>
      <c r="EV3167" s="9"/>
      <c r="EW3167" s="9"/>
      <c r="EX3167" s="9"/>
      <c r="EY3167" s="9"/>
      <c r="EZ3167" s="9"/>
      <c r="FA3167" s="9"/>
      <c r="FB3167" s="9"/>
      <c r="FC3167" s="9"/>
      <c r="FD3167" s="9"/>
      <c r="FE3167" s="9"/>
      <c r="FF3167" s="9"/>
      <c r="FG3167" s="9"/>
      <c r="FH3167" s="9"/>
      <c r="FI3167" s="9"/>
      <c r="FJ3167" s="9"/>
      <c r="FK3167" s="9"/>
      <c r="FL3167" s="9"/>
      <c r="FM3167" s="9"/>
      <c r="FN3167" s="9"/>
      <c r="FO3167" s="9"/>
      <c r="FP3167" s="9"/>
      <c r="FQ3167" s="9"/>
      <c r="FR3167" s="9"/>
      <c r="FS3167" s="9"/>
      <c r="FT3167" s="9"/>
      <c r="FU3167" s="9"/>
      <c r="FV3167" s="9"/>
      <c r="FW3167" s="9"/>
      <c r="FX3167" s="9"/>
      <c r="FY3167" s="9"/>
      <c r="FZ3167" s="9"/>
      <c r="GA3167" s="9"/>
      <c r="GB3167" s="9"/>
      <c r="GC3167" s="9"/>
      <c r="GD3167" s="9"/>
      <c r="GE3167" s="9"/>
      <c r="GF3167" s="9"/>
      <c r="GG3167" s="9"/>
      <c r="GH3167" s="9"/>
      <c r="GI3167" s="9"/>
      <c r="GJ3167" s="9"/>
      <c r="GK3167" s="9"/>
      <c r="GL3167" s="9"/>
      <c r="GM3167" s="9"/>
      <c r="GN3167" s="9"/>
      <c r="GO3167" s="9"/>
      <c r="GP3167" s="9"/>
      <c r="GQ3167" s="9"/>
      <c r="GR3167" s="9"/>
      <c r="GS3167" s="9"/>
      <c r="GT3167" s="9"/>
      <c r="GU3167" s="9"/>
      <c r="GV3167" s="9"/>
      <c r="GW3167" s="9"/>
      <c r="GX3167" s="9"/>
      <c r="GY3167" s="9"/>
      <c r="GZ3167" s="9"/>
      <c r="HA3167" s="9"/>
      <c r="HB3167" s="9"/>
      <c r="HC3167" s="9"/>
      <c r="HD3167" s="9"/>
      <c r="HE3167" s="9"/>
      <c r="HF3167" s="9"/>
      <c r="HG3167" s="9"/>
      <c r="HH3167" s="9"/>
      <c r="HI3167" s="9"/>
      <c r="HJ3167" s="9"/>
      <c r="HK3167" s="9"/>
      <c r="HL3167" s="9"/>
      <c r="HM3167" s="9"/>
      <c r="HN3167" s="9"/>
      <c r="HO3167" s="9"/>
    </row>
    <row r="3168" spans="5:223" x14ac:dyDescent="0.35">
      <c r="E3168" s="7"/>
      <c r="F3168" s="7"/>
      <c r="X3168" s="9"/>
      <c r="Y3168" s="9"/>
      <c r="Z3168" s="9"/>
      <c r="AA3168" s="9"/>
      <c r="AB3168" s="9"/>
      <c r="AC3168" s="9"/>
      <c r="AD3168" s="9"/>
      <c r="AE3168" s="9"/>
      <c r="AF3168" s="9"/>
      <c r="AG3168" s="9"/>
      <c r="AH3168" s="9"/>
      <c r="AI3168" s="9"/>
      <c r="AJ3168" s="9"/>
      <c r="AK3168" s="9"/>
      <c r="AL3168" s="9"/>
      <c r="AM3168" s="9"/>
      <c r="AN3168" s="9"/>
      <c r="AO3168" s="9"/>
      <c r="AP3168" s="9"/>
      <c r="AQ3168" s="9"/>
      <c r="AR3168" s="9"/>
      <c r="AS3168" s="9"/>
      <c r="AT3168" s="9"/>
      <c r="AU3168" s="9"/>
      <c r="AV3168" s="9"/>
      <c r="AW3168" s="9"/>
      <c r="AX3168" s="9"/>
      <c r="AY3168" s="9"/>
      <c r="AZ3168" s="9"/>
      <c r="BA3168" s="9"/>
      <c r="BB3168" s="9"/>
      <c r="BC3168" s="9"/>
      <c r="BD3168" s="9"/>
      <c r="BE3168" s="9"/>
      <c r="BF3168" s="9"/>
      <c r="BG3168" s="9"/>
      <c r="BH3168" s="9"/>
      <c r="BI3168" s="9"/>
      <c r="BJ3168" s="9"/>
      <c r="BK3168" s="9"/>
      <c r="BL3168" s="9"/>
      <c r="BM3168" s="9"/>
      <c r="BN3168" s="9"/>
      <c r="BO3168" s="9"/>
      <c r="BP3168" s="9"/>
      <c r="BQ3168" s="9"/>
      <c r="BR3168" s="9"/>
      <c r="BS3168" s="9"/>
      <c r="BT3168" s="9"/>
      <c r="BU3168" s="9"/>
      <c r="BV3168" s="9"/>
      <c r="BW3168" s="9"/>
      <c r="BX3168" s="9"/>
      <c r="BY3168" s="9"/>
      <c r="BZ3168" s="9"/>
      <c r="CA3168" s="9"/>
      <c r="CB3168" s="9"/>
      <c r="CC3168" s="9"/>
      <c r="CD3168" s="9"/>
      <c r="CE3168" s="9"/>
      <c r="CF3168" s="9"/>
      <c r="CG3168" s="9"/>
      <c r="CH3168" s="9"/>
      <c r="CI3168" s="9"/>
      <c r="CJ3168" s="9"/>
      <c r="CK3168" s="9"/>
      <c r="CL3168" s="9"/>
      <c r="CM3168" s="9"/>
      <c r="CN3168" s="9"/>
      <c r="CO3168" s="9"/>
      <c r="CP3168" s="9"/>
      <c r="CQ3168" s="9"/>
      <c r="CR3168" s="9"/>
      <c r="CS3168" s="9"/>
      <c r="CT3168" s="9"/>
      <c r="CU3168" s="9"/>
      <c r="CV3168" s="9"/>
      <c r="CW3168" s="9"/>
      <c r="CX3168" s="9"/>
      <c r="CY3168" s="9"/>
      <c r="CZ3168" s="9"/>
      <c r="DA3168" s="9"/>
      <c r="DB3168" s="9"/>
      <c r="DC3168" s="9"/>
      <c r="DD3168" s="9"/>
      <c r="DE3168" s="9"/>
      <c r="DF3168" s="9"/>
      <c r="DG3168" s="9"/>
      <c r="DH3168" s="9"/>
      <c r="DI3168" s="9"/>
      <c r="DJ3168" s="9"/>
      <c r="DK3168" s="9"/>
      <c r="DL3168" s="9"/>
      <c r="DM3168" s="9"/>
      <c r="DN3168" s="9"/>
      <c r="DO3168" s="9"/>
      <c r="DP3168" s="9"/>
      <c r="DQ3168" s="9"/>
      <c r="DR3168" s="9"/>
      <c r="DS3168" s="9"/>
      <c r="DT3168" s="9"/>
      <c r="DU3168" s="9"/>
      <c r="DV3168" s="9"/>
      <c r="DW3168" s="9"/>
      <c r="DX3168" s="9"/>
      <c r="DY3168" s="9"/>
      <c r="DZ3168" s="9"/>
      <c r="EA3168" s="9"/>
      <c r="EB3168" s="9"/>
      <c r="EC3168" s="9"/>
      <c r="ED3168" s="9"/>
      <c r="EE3168" s="9"/>
      <c r="EF3168" s="9"/>
      <c r="EG3168" s="9"/>
      <c r="EH3168" s="9"/>
      <c r="EI3168" s="9"/>
      <c r="EJ3168" s="9"/>
      <c r="EK3168" s="9"/>
      <c r="EL3168" s="9"/>
      <c r="EM3168" s="9"/>
      <c r="EN3168" s="9"/>
      <c r="EO3168" s="9"/>
      <c r="EP3168" s="9"/>
      <c r="EQ3168" s="9"/>
      <c r="ER3168" s="9"/>
      <c r="ES3168" s="9"/>
      <c r="ET3168" s="9"/>
      <c r="EU3168" s="9"/>
      <c r="EV3168" s="9"/>
      <c r="EW3168" s="9"/>
      <c r="EX3168" s="9"/>
      <c r="EY3168" s="9"/>
      <c r="EZ3168" s="9"/>
      <c r="FA3168" s="9"/>
      <c r="FB3168" s="9"/>
      <c r="FC3168" s="9"/>
      <c r="FD3168" s="9"/>
      <c r="FE3168" s="9"/>
      <c r="FF3168" s="9"/>
      <c r="FG3168" s="9"/>
      <c r="FH3168" s="9"/>
      <c r="FI3168" s="9"/>
      <c r="FJ3168" s="9"/>
      <c r="FK3168" s="9"/>
      <c r="FL3168" s="9"/>
      <c r="FM3168" s="9"/>
      <c r="FN3168" s="9"/>
      <c r="FO3168" s="9"/>
      <c r="FP3168" s="9"/>
      <c r="FQ3168" s="9"/>
      <c r="FR3168" s="9"/>
      <c r="FS3168" s="9"/>
      <c r="FT3168" s="9"/>
      <c r="FU3168" s="9"/>
      <c r="FV3168" s="9"/>
      <c r="FW3168" s="9"/>
      <c r="FX3168" s="9"/>
      <c r="FY3168" s="9"/>
      <c r="FZ3168" s="9"/>
      <c r="GA3168" s="9"/>
      <c r="GB3168" s="9"/>
      <c r="GC3168" s="9"/>
      <c r="GD3168" s="9"/>
      <c r="GE3168" s="9"/>
      <c r="GF3168" s="9"/>
      <c r="GG3168" s="9"/>
      <c r="GH3168" s="9"/>
      <c r="GI3168" s="9"/>
      <c r="GJ3168" s="9"/>
      <c r="GK3168" s="9"/>
      <c r="GL3168" s="9"/>
      <c r="GM3168" s="9"/>
      <c r="GN3168" s="9"/>
      <c r="GO3168" s="9"/>
      <c r="GP3168" s="9"/>
      <c r="GQ3168" s="9"/>
      <c r="GR3168" s="9"/>
      <c r="GS3168" s="9"/>
      <c r="GT3168" s="9"/>
      <c r="GU3168" s="9"/>
      <c r="GV3168" s="9"/>
      <c r="GW3168" s="9"/>
      <c r="GX3168" s="9"/>
      <c r="GY3168" s="9"/>
      <c r="GZ3168" s="9"/>
      <c r="HA3168" s="9"/>
      <c r="HB3168" s="9"/>
      <c r="HC3168" s="9"/>
      <c r="HD3168" s="9"/>
      <c r="HE3168" s="9"/>
      <c r="HF3168" s="9"/>
      <c r="HG3168" s="9"/>
      <c r="HH3168" s="9"/>
      <c r="HI3168" s="9"/>
      <c r="HJ3168" s="9"/>
      <c r="HK3168" s="9"/>
      <c r="HL3168" s="9"/>
      <c r="HM3168" s="9"/>
      <c r="HN3168" s="9"/>
      <c r="HO3168" s="9"/>
    </row>
    <row r="3169" spans="5:6" x14ac:dyDescent="0.35">
      <c r="E3169" s="7"/>
      <c r="F3169" s="7"/>
    </row>
    <row r="3170" spans="5:6" x14ac:dyDescent="0.35">
      <c r="E3170" s="7"/>
      <c r="F3170" s="7"/>
    </row>
    <row r="3171" spans="5:6" x14ac:dyDescent="0.35">
      <c r="E3171" s="7"/>
      <c r="F3171" s="7"/>
    </row>
    <row r="3172" spans="5:6" x14ac:dyDescent="0.35">
      <c r="E3172" s="7"/>
      <c r="F3172" s="7"/>
    </row>
    <row r="3173" spans="5:6" x14ac:dyDescent="0.35">
      <c r="E3173" s="7"/>
      <c r="F3173" s="7"/>
    </row>
    <row r="3174" spans="5:6" x14ac:dyDescent="0.35">
      <c r="E3174" s="7"/>
      <c r="F3174" s="7"/>
    </row>
    <row r="3179" spans="5:6" x14ac:dyDescent="0.35">
      <c r="E3179" s="7"/>
      <c r="F3179" s="7"/>
    </row>
    <row r="3180" spans="5:6" x14ac:dyDescent="0.35">
      <c r="E3180" s="7"/>
      <c r="F3180" s="7"/>
    </row>
    <row r="3181" spans="5:6" x14ac:dyDescent="0.35">
      <c r="E3181" s="7"/>
      <c r="F3181" s="7"/>
    </row>
    <row r="3182" spans="5:6" x14ac:dyDescent="0.35">
      <c r="E3182" s="7"/>
      <c r="F3182" s="7"/>
    </row>
    <row r="3183" spans="5:6" x14ac:dyDescent="0.35">
      <c r="E3183" s="7"/>
      <c r="F3183" s="7"/>
    </row>
    <row r="3184" spans="5:6" x14ac:dyDescent="0.35">
      <c r="E3184" s="7"/>
      <c r="F3184" s="7"/>
    </row>
    <row r="3185" spans="5:6" x14ac:dyDescent="0.35">
      <c r="E3185" s="7"/>
      <c r="F3185" s="7"/>
    </row>
    <row r="3186" spans="5:6" x14ac:dyDescent="0.35">
      <c r="E3186" s="7"/>
      <c r="F3186" s="7"/>
    </row>
    <row r="3187" spans="5:6" x14ac:dyDescent="0.35">
      <c r="E3187" s="7"/>
      <c r="F3187" s="7"/>
    </row>
  </sheetData>
  <autoFilter ref="A4:K3074"/>
  <customSheetViews>
    <customSheetView guid="{3511D8A4-2A8D-4563-8DF1-C381EEDBF68F}" scale="90" showPageBreaks="1" printArea="1" showAutoFilter="1" topLeftCell="A172">
      <selection activeCell="I185" sqref="I185"/>
      <rowBreaks count="7" manualBreakCount="7">
        <brk id="87" max="7" man="1"/>
        <brk id="166" max="7" man="1"/>
        <brk id="257" max="7" man="1"/>
        <brk id="348" max="7" man="1"/>
        <brk id="447" max="7" man="1"/>
        <brk id="547" max="7" man="1"/>
        <brk id="650" max="7" man="1"/>
      </rowBreaks>
      <pageMargins left="0.31496062992125984" right="0.31496062992125984" top="0.35433070866141736" bottom="0.35433070866141736" header="0.31496062992125984" footer="0.31496062992125984"/>
      <printOptions horizontalCentered="1"/>
      <pageSetup paperSize="9" scale="49" fitToHeight="10" orientation="portrait" r:id="rId1"/>
      <autoFilter ref="B1:I1"/>
    </customSheetView>
    <customSheetView guid="{CC3EEC02-30D2-4905-AE21-71EA71520321}" scale="80" showPageBreaks="1" printArea="1" showAutoFilter="1" topLeftCell="A380">
      <selection activeCell="F648" sqref="F648:H650"/>
      <rowBreaks count="7" manualBreakCount="7">
        <brk id="87" max="7" man="1"/>
        <brk id="166" max="7" man="1"/>
        <brk id="257" max="7" man="1"/>
        <brk id="348" max="7" man="1"/>
        <brk id="447" max="7" man="1"/>
        <brk id="547" max="7" man="1"/>
        <brk id="650" max="7" man="1"/>
      </rowBreaks>
      <pageMargins left="0.31496062992125984" right="0.31496062992125984" top="0.35433070866141736" bottom="0.35433070866141736" header="0.31496062992125984" footer="0.31496062992125984"/>
      <printOptions horizontalCentered="1"/>
      <pageSetup paperSize="9" scale="49" fitToHeight="10" orientation="portrait" r:id="rId2"/>
      <autoFilter ref="B1:I1"/>
    </customSheetView>
    <customSheetView guid="{114D0552-1D3C-4C9A-AF28-55BD1176DD7C}" showPageBreaks="1" fitToPage="1" printArea="1" showAutoFilter="1">
      <pane xSplit="3" ySplit="5" topLeftCell="D133" activePane="bottomRight" state="frozen"/>
      <selection pane="bottomRight" activeCell="F82" sqref="F82"/>
      <rowBreaks count="12" manualBreakCount="12">
        <brk id="64" max="7" man="1"/>
        <brk id="110" max="7" man="1"/>
        <brk id="139" max="7" man="1"/>
        <brk id="150" max="7" man="1"/>
        <brk id="181" max="7" man="1"/>
        <brk id="312" max="7" man="1"/>
        <brk id="365" max="7" man="1"/>
        <brk id="433" max="7" man="1"/>
        <brk id="499" max="7" man="1"/>
        <brk id="569" max="7" man="1"/>
        <brk id="637" max="7" man="1"/>
        <brk id="847" max="7" man="1"/>
      </rowBreaks>
      <pageMargins left="0.31496062992125984" right="0.31496062992125984" top="0.35433070866141736" bottom="0.35433070866141736" header="0.31496062992125984" footer="0.31496062992125984"/>
      <printOptions horizontalCentered="1"/>
      <pageSetup paperSize="9" scale="10" orientation="portrait" r:id="rId3"/>
      <autoFilter ref="B1:I1"/>
    </customSheetView>
  </customSheetViews>
  <mergeCells count="6037">
    <mergeCell ref="C3077:K3077"/>
    <mergeCell ref="A2669:A2670"/>
    <mergeCell ref="B2669:B2670"/>
    <mergeCell ref="C2669:C2670"/>
    <mergeCell ref="D2669:D2670"/>
    <mergeCell ref="E2669:E2670"/>
    <mergeCell ref="F2669:F2670"/>
    <mergeCell ref="G2669:G2670"/>
    <mergeCell ref="A2679:A2681"/>
    <mergeCell ref="B2679:B2681"/>
    <mergeCell ref="C2679:C2681"/>
    <mergeCell ref="D2679:D2681"/>
    <mergeCell ref="D2676:D2678"/>
    <mergeCell ref="E2676:E2678"/>
    <mergeCell ref="F2676:F2678"/>
    <mergeCell ref="G2676:G2678"/>
    <mergeCell ref="A2673:A2675"/>
    <mergeCell ref="F2679:F2681"/>
    <mergeCell ref="A2671:A2672"/>
    <mergeCell ref="B2671:B2672"/>
    <mergeCell ref="C2671:C2672"/>
    <mergeCell ref="A2676:A2678"/>
    <mergeCell ref="B2676:B2678"/>
    <mergeCell ref="C2676:C2678"/>
    <mergeCell ref="D2671:D2672"/>
    <mergeCell ref="E2671:E2672"/>
    <mergeCell ref="A2853:A2859"/>
    <mergeCell ref="B2853:B2859"/>
    <mergeCell ref="C2853:C2859"/>
    <mergeCell ref="D2853:D2859"/>
    <mergeCell ref="E2853:E2859"/>
    <mergeCell ref="F2853:F2859"/>
    <mergeCell ref="A2871:A2873"/>
    <mergeCell ref="B2871:B2873"/>
    <mergeCell ref="C2871:C2873"/>
    <mergeCell ref="D2871:D2873"/>
    <mergeCell ref="E2871:E2873"/>
    <mergeCell ref="F2871:F2873"/>
    <mergeCell ref="G2871:G2873"/>
    <mergeCell ref="A2860:A2862"/>
    <mergeCell ref="B2860:B2862"/>
    <mergeCell ref="C2860:C2862"/>
    <mergeCell ref="D2860:D2862"/>
    <mergeCell ref="E2860:E2862"/>
    <mergeCell ref="F2860:F2862"/>
    <mergeCell ref="A2863:A2865"/>
    <mergeCell ref="A2847:A2849"/>
    <mergeCell ref="B2847:B2849"/>
    <mergeCell ref="C2847:C2849"/>
    <mergeCell ref="D2847:D2849"/>
    <mergeCell ref="E2847:E2849"/>
    <mergeCell ref="F2847:F2849"/>
    <mergeCell ref="G2847:G2849"/>
    <mergeCell ref="G2861:G2862"/>
    <mergeCell ref="A2994:A2996"/>
    <mergeCell ref="B2994:B2996"/>
    <mergeCell ref="C2994:C2996"/>
    <mergeCell ref="D2994:D2996"/>
    <mergeCell ref="E2994:E2996"/>
    <mergeCell ref="F2994:F2996"/>
    <mergeCell ref="G2994:G2996"/>
    <mergeCell ref="A3000:A3002"/>
    <mergeCell ref="B3000:B3002"/>
    <mergeCell ref="C3000:C3002"/>
    <mergeCell ref="D3000:D3002"/>
    <mergeCell ref="E3000:E3002"/>
    <mergeCell ref="F3000:F3002"/>
    <mergeCell ref="G3000:G3002"/>
    <mergeCell ref="A2997:A2999"/>
    <mergeCell ref="B2997:B2999"/>
    <mergeCell ref="C2997:C2999"/>
    <mergeCell ref="D2997:D2999"/>
    <mergeCell ref="E2997:E2999"/>
    <mergeCell ref="F2997:F2999"/>
    <mergeCell ref="G2997:G2999"/>
    <mergeCell ref="F2991:F2993"/>
    <mergeCell ref="G2991:G2993"/>
    <mergeCell ref="A2982:A2984"/>
    <mergeCell ref="B2982:B2984"/>
    <mergeCell ref="C2982:C2984"/>
    <mergeCell ref="D2982:D2984"/>
    <mergeCell ref="E2982:E2984"/>
    <mergeCell ref="F2982:F2984"/>
    <mergeCell ref="G2983:G2984"/>
    <mergeCell ref="A2985:A2987"/>
    <mergeCell ref="B2985:B2987"/>
    <mergeCell ref="C2985:C2987"/>
    <mergeCell ref="D2985:D2987"/>
    <mergeCell ref="E2985:E2987"/>
    <mergeCell ref="F2985:F2987"/>
    <mergeCell ref="A2991:A2993"/>
    <mergeCell ref="B2991:B2993"/>
    <mergeCell ref="C2991:C2993"/>
    <mergeCell ref="D2991:D2993"/>
    <mergeCell ref="E2991:E2993"/>
    <mergeCell ref="G2985:G2987"/>
    <mergeCell ref="G2988:G2990"/>
    <mergeCell ref="A2988:A2990"/>
    <mergeCell ref="B2988:B2990"/>
    <mergeCell ref="C2988:C2990"/>
    <mergeCell ref="D2988:D2990"/>
    <mergeCell ref="E2988:E2990"/>
    <mergeCell ref="F2988:F2990"/>
    <mergeCell ref="G2973:G2975"/>
    <mergeCell ref="A2970:A2972"/>
    <mergeCell ref="B2970:B2972"/>
    <mergeCell ref="C2970:C2972"/>
    <mergeCell ref="D2970:D2972"/>
    <mergeCell ref="E2970:E2972"/>
    <mergeCell ref="F2970:F2972"/>
    <mergeCell ref="G2970:G2972"/>
    <mergeCell ref="A2961:A2963"/>
    <mergeCell ref="B2961:B2963"/>
    <mergeCell ref="C2961:C2963"/>
    <mergeCell ref="D2961:D2963"/>
    <mergeCell ref="E2961:E2963"/>
    <mergeCell ref="F2961:F2963"/>
    <mergeCell ref="G2961:G2963"/>
    <mergeCell ref="A2964:A2966"/>
    <mergeCell ref="B2964:B2966"/>
    <mergeCell ref="C2964:C2966"/>
    <mergeCell ref="D2964:D2966"/>
    <mergeCell ref="E2964:E2966"/>
    <mergeCell ref="F2964:F2966"/>
    <mergeCell ref="G2964:G2966"/>
    <mergeCell ref="E2973:E2975"/>
    <mergeCell ref="F2973:F2975"/>
    <mergeCell ref="F2967:F2969"/>
    <mergeCell ref="G2967:G2969"/>
    <mergeCell ref="C2955:C2957"/>
    <mergeCell ref="D2955:D2957"/>
    <mergeCell ref="E2955:E2957"/>
    <mergeCell ref="F2955:F2957"/>
    <mergeCell ref="G2955:G2957"/>
    <mergeCell ref="B2958:B2960"/>
    <mergeCell ref="C2958:C2960"/>
    <mergeCell ref="D2958:D2960"/>
    <mergeCell ref="E2958:E2960"/>
    <mergeCell ref="F2958:F2960"/>
    <mergeCell ref="G2958:G2960"/>
    <mergeCell ref="A2949:A2951"/>
    <mergeCell ref="B2949:B2951"/>
    <mergeCell ref="C2949:C2951"/>
    <mergeCell ref="D2949:D2951"/>
    <mergeCell ref="E2949:E2951"/>
    <mergeCell ref="F2949:F2951"/>
    <mergeCell ref="G2949:G2951"/>
    <mergeCell ref="A2955:A2957"/>
    <mergeCell ref="B2955:B2957"/>
    <mergeCell ref="A2958:A2960"/>
    <mergeCell ref="A2952:A2954"/>
    <mergeCell ref="B2952:B2954"/>
    <mergeCell ref="C2952:C2954"/>
    <mergeCell ref="D2952:D2954"/>
    <mergeCell ref="E2952:E2954"/>
    <mergeCell ref="F2952:F2954"/>
    <mergeCell ref="G2952:G2954"/>
    <mergeCell ref="C2931:C2937"/>
    <mergeCell ref="D2931:D2937"/>
    <mergeCell ref="E2931:E2937"/>
    <mergeCell ref="F2931:F2937"/>
    <mergeCell ref="G2932:G2933"/>
    <mergeCell ref="G2934:G2935"/>
    <mergeCell ref="G2936:G2937"/>
    <mergeCell ref="A2941:A2943"/>
    <mergeCell ref="B2941:B2943"/>
    <mergeCell ref="C2941:C2943"/>
    <mergeCell ref="D2941:D2943"/>
    <mergeCell ref="E2941:E2943"/>
    <mergeCell ref="F2941:F2943"/>
    <mergeCell ref="G2941:G2943"/>
    <mergeCell ref="A2938:A2940"/>
    <mergeCell ref="B2938:B2940"/>
    <mergeCell ref="C2938:C2940"/>
    <mergeCell ref="A2931:A2937"/>
    <mergeCell ref="G2910:G2912"/>
    <mergeCell ref="A2913:A2915"/>
    <mergeCell ref="A2928:A2930"/>
    <mergeCell ref="B2928:B2930"/>
    <mergeCell ref="C2928:C2930"/>
    <mergeCell ref="D2928:D2930"/>
    <mergeCell ref="E2928:E2930"/>
    <mergeCell ref="F2928:F2930"/>
    <mergeCell ref="G2928:G2930"/>
    <mergeCell ref="A2925:A2927"/>
    <mergeCell ref="B2925:B2927"/>
    <mergeCell ref="C2925:C2927"/>
    <mergeCell ref="D2925:D2927"/>
    <mergeCell ref="E2925:E2927"/>
    <mergeCell ref="F2925:F2927"/>
    <mergeCell ref="G2925:G2927"/>
    <mergeCell ref="G2919:G2921"/>
    <mergeCell ref="G2916:G2918"/>
    <mergeCell ref="A2922:A2924"/>
    <mergeCell ref="B2922:B2924"/>
    <mergeCell ref="C2922:C2924"/>
    <mergeCell ref="D2922:D2924"/>
    <mergeCell ref="E2922:E2924"/>
    <mergeCell ref="F2922:F2924"/>
    <mergeCell ref="G2922:G2924"/>
    <mergeCell ref="D2907:D2909"/>
    <mergeCell ref="E2907:E2909"/>
    <mergeCell ref="F2907:F2909"/>
    <mergeCell ref="F2901:F2903"/>
    <mergeCell ref="A2895:A2897"/>
    <mergeCell ref="B2895:B2897"/>
    <mergeCell ref="C2895:C2897"/>
    <mergeCell ref="D2895:D2897"/>
    <mergeCell ref="E2895:E2897"/>
    <mergeCell ref="A2904:A2906"/>
    <mergeCell ref="B2904:B2906"/>
    <mergeCell ref="A2919:A2921"/>
    <mergeCell ref="B2919:B2921"/>
    <mergeCell ref="C2919:C2921"/>
    <mergeCell ref="D2919:D2921"/>
    <mergeCell ref="E2919:E2921"/>
    <mergeCell ref="F2919:F2921"/>
    <mergeCell ref="A2916:A2918"/>
    <mergeCell ref="B2916:B2918"/>
    <mergeCell ref="C2916:C2918"/>
    <mergeCell ref="D2916:D2918"/>
    <mergeCell ref="E2916:E2918"/>
    <mergeCell ref="F2916:F2918"/>
    <mergeCell ref="A2910:A2912"/>
    <mergeCell ref="B2910:B2912"/>
    <mergeCell ref="C2910:C2912"/>
    <mergeCell ref="D2910:D2912"/>
    <mergeCell ref="E2910:E2912"/>
    <mergeCell ref="F2910:F2912"/>
    <mergeCell ref="A2880:A2882"/>
    <mergeCell ref="B2880:B2882"/>
    <mergeCell ref="C2880:C2882"/>
    <mergeCell ref="D2880:D2882"/>
    <mergeCell ref="E2880:E2882"/>
    <mergeCell ref="F2880:F2882"/>
    <mergeCell ref="D2886:D2888"/>
    <mergeCell ref="E2886:E2888"/>
    <mergeCell ref="F2886:F2888"/>
    <mergeCell ref="G2886:G2888"/>
    <mergeCell ref="A2886:A2888"/>
    <mergeCell ref="B2886:B2888"/>
    <mergeCell ref="B2913:B2915"/>
    <mergeCell ref="C2913:C2915"/>
    <mergeCell ref="D2913:D2915"/>
    <mergeCell ref="E2913:E2915"/>
    <mergeCell ref="F2913:F2915"/>
    <mergeCell ref="G2913:G2915"/>
    <mergeCell ref="C2886:C2888"/>
    <mergeCell ref="A2898:A2900"/>
    <mergeCell ref="B2898:B2900"/>
    <mergeCell ref="C2898:C2900"/>
    <mergeCell ref="D2898:D2900"/>
    <mergeCell ref="E2898:E2900"/>
    <mergeCell ref="F2898:F2900"/>
    <mergeCell ref="A2901:A2903"/>
    <mergeCell ref="B2901:B2903"/>
    <mergeCell ref="C2901:C2903"/>
    <mergeCell ref="D2901:D2903"/>
    <mergeCell ref="E2901:E2903"/>
    <mergeCell ref="B2907:B2909"/>
    <mergeCell ref="C2907:C2909"/>
    <mergeCell ref="A2850:A2852"/>
    <mergeCell ref="B2850:B2852"/>
    <mergeCell ref="C2850:C2852"/>
    <mergeCell ref="D2850:D2852"/>
    <mergeCell ref="E2850:E2852"/>
    <mergeCell ref="F2850:F2852"/>
    <mergeCell ref="G2850:G2852"/>
    <mergeCell ref="A2883:A2885"/>
    <mergeCell ref="B2883:B2885"/>
    <mergeCell ref="C2883:C2885"/>
    <mergeCell ref="D2883:D2885"/>
    <mergeCell ref="E2883:E2885"/>
    <mergeCell ref="F2883:F2885"/>
    <mergeCell ref="G2883:G2885"/>
    <mergeCell ref="G2901:G2903"/>
    <mergeCell ref="F2877:F2879"/>
    <mergeCell ref="G2877:G2879"/>
    <mergeCell ref="A2877:A2879"/>
    <mergeCell ref="B2877:B2879"/>
    <mergeCell ref="C2877:C2879"/>
    <mergeCell ref="D2877:D2879"/>
    <mergeCell ref="A2889:A2891"/>
    <mergeCell ref="B2889:B2891"/>
    <mergeCell ref="C2889:C2891"/>
    <mergeCell ref="D2889:D2891"/>
    <mergeCell ref="E2889:E2891"/>
    <mergeCell ref="F2889:F2891"/>
    <mergeCell ref="A2892:A2894"/>
    <mergeCell ref="B2892:B2894"/>
    <mergeCell ref="C2892:C2894"/>
    <mergeCell ref="D2892:D2894"/>
    <mergeCell ref="E2892:E2894"/>
    <mergeCell ref="A2844:A2846"/>
    <mergeCell ref="B2844:B2846"/>
    <mergeCell ref="C2844:C2846"/>
    <mergeCell ref="D2844:D2846"/>
    <mergeCell ref="E2844:E2846"/>
    <mergeCell ref="F2844:F2846"/>
    <mergeCell ref="G2844:G2846"/>
    <mergeCell ref="A2833:A2837"/>
    <mergeCell ref="B2833:B2837"/>
    <mergeCell ref="C2833:C2837"/>
    <mergeCell ref="D2833:D2837"/>
    <mergeCell ref="E2833:E2837"/>
    <mergeCell ref="F2833:F2837"/>
    <mergeCell ref="G2833:G2835"/>
    <mergeCell ref="G2880:G2882"/>
    <mergeCell ref="A2874:A2876"/>
    <mergeCell ref="B2874:B2876"/>
    <mergeCell ref="C2874:C2876"/>
    <mergeCell ref="D2874:D2876"/>
    <mergeCell ref="E2874:E2876"/>
    <mergeCell ref="F2874:F2876"/>
    <mergeCell ref="A2866:A2870"/>
    <mergeCell ref="B2866:B2870"/>
    <mergeCell ref="C2866:C2870"/>
    <mergeCell ref="D2866:D2870"/>
    <mergeCell ref="E2866:E2870"/>
    <mergeCell ref="F2866:F2870"/>
    <mergeCell ref="G2867:G2868"/>
    <mergeCell ref="G2869:G2870"/>
    <mergeCell ref="G2854:G2855"/>
    <mergeCell ref="G2856:G2857"/>
    <mergeCell ref="G2858:G2859"/>
    <mergeCell ref="A2817:A2823"/>
    <mergeCell ref="B2817:B2823"/>
    <mergeCell ref="C2817:C2823"/>
    <mergeCell ref="D2817:D2823"/>
    <mergeCell ref="E2817:E2823"/>
    <mergeCell ref="F2817:F2823"/>
    <mergeCell ref="G2822:G2823"/>
    <mergeCell ref="A2824:A2826"/>
    <mergeCell ref="B2824:B2826"/>
    <mergeCell ref="C2824:C2826"/>
    <mergeCell ref="D2824:D2826"/>
    <mergeCell ref="E2824:E2826"/>
    <mergeCell ref="F2824:F2826"/>
    <mergeCell ref="G2824:G2826"/>
    <mergeCell ref="G2818:G2819"/>
    <mergeCell ref="A2827:A2829"/>
    <mergeCell ref="A2841:A2843"/>
    <mergeCell ref="B2841:B2843"/>
    <mergeCell ref="C2841:C2843"/>
    <mergeCell ref="D2841:D2843"/>
    <mergeCell ref="E2841:E2843"/>
    <mergeCell ref="F2841:F2843"/>
    <mergeCell ref="G2841:G2843"/>
    <mergeCell ref="A2830:A2832"/>
    <mergeCell ref="B2830:B2832"/>
    <mergeCell ref="C2830:C2832"/>
    <mergeCell ref="D2830:D2832"/>
    <mergeCell ref="E2830:E2832"/>
    <mergeCell ref="F2830:F2832"/>
    <mergeCell ref="G2830:G2832"/>
    <mergeCell ref="A2807:A2811"/>
    <mergeCell ref="B2807:B2811"/>
    <mergeCell ref="C2807:C2811"/>
    <mergeCell ref="D2807:D2811"/>
    <mergeCell ref="E2807:E2811"/>
    <mergeCell ref="F2807:F2811"/>
    <mergeCell ref="G2808:G2809"/>
    <mergeCell ref="G2810:G2811"/>
    <mergeCell ref="A2797:A2803"/>
    <mergeCell ref="B2797:B2803"/>
    <mergeCell ref="C2797:C2803"/>
    <mergeCell ref="D2797:D2803"/>
    <mergeCell ref="E2797:E2803"/>
    <mergeCell ref="F2797:F2803"/>
    <mergeCell ref="G2813:G2814"/>
    <mergeCell ref="A2788:A2790"/>
    <mergeCell ref="B2788:B2790"/>
    <mergeCell ref="C2788:C2790"/>
    <mergeCell ref="D2788:D2790"/>
    <mergeCell ref="E2788:E2790"/>
    <mergeCell ref="F2788:F2790"/>
    <mergeCell ref="G2788:G2790"/>
    <mergeCell ref="G2798:G2799"/>
    <mergeCell ref="G2800:G2801"/>
    <mergeCell ref="G2802:G2803"/>
    <mergeCell ref="A2804:A2806"/>
    <mergeCell ref="B2804:B2806"/>
    <mergeCell ref="C2804:C2806"/>
    <mergeCell ref="D2804:D2806"/>
    <mergeCell ref="E2804:E2806"/>
    <mergeCell ref="F2804:F2806"/>
    <mergeCell ref="A2791:A2793"/>
    <mergeCell ref="B2791:B2793"/>
    <mergeCell ref="C2791:C2793"/>
    <mergeCell ref="D2791:D2793"/>
    <mergeCell ref="E2791:E2793"/>
    <mergeCell ref="F2791:F2793"/>
    <mergeCell ref="G2791:G2793"/>
    <mergeCell ref="A2794:A2796"/>
    <mergeCell ref="B2794:B2796"/>
    <mergeCell ref="C2794:C2796"/>
    <mergeCell ref="D2794:D2796"/>
    <mergeCell ref="E2794:E2796"/>
    <mergeCell ref="F2794:F2796"/>
    <mergeCell ref="G2794:G2796"/>
    <mergeCell ref="G2778:G2779"/>
    <mergeCell ref="G2780:G2781"/>
    <mergeCell ref="A2782:A2784"/>
    <mergeCell ref="B2782:B2784"/>
    <mergeCell ref="C2782:C2784"/>
    <mergeCell ref="D2782:D2784"/>
    <mergeCell ref="E2782:E2784"/>
    <mergeCell ref="F2782:F2784"/>
    <mergeCell ref="G2782:G2784"/>
    <mergeCell ref="A2785:A2787"/>
    <mergeCell ref="B2785:B2787"/>
    <mergeCell ref="C2785:C2787"/>
    <mergeCell ref="D2785:D2787"/>
    <mergeCell ref="E2785:E2787"/>
    <mergeCell ref="F2785:F2787"/>
    <mergeCell ref="G2785:G2787"/>
    <mergeCell ref="C2777:C2781"/>
    <mergeCell ref="D2777:D2781"/>
    <mergeCell ref="E2777:E2781"/>
    <mergeCell ref="F2777:F2781"/>
    <mergeCell ref="A2769:A2771"/>
    <mergeCell ref="B2769:B2771"/>
    <mergeCell ref="C2769:C2771"/>
    <mergeCell ref="D2769:D2771"/>
    <mergeCell ref="E2769:E2771"/>
    <mergeCell ref="F2769:F2771"/>
    <mergeCell ref="G2770:G2771"/>
    <mergeCell ref="A2772:A2776"/>
    <mergeCell ref="B2772:B2776"/>
    <mergeCell ref="C2772:C2776"/>
    <mergeCell ref="D2772:D2776"/>
    <mergeCell ref="E2772:E2776"/>
    <mergeCell ref="F2772:F2776"/>
    <mergeCell ref="G2773:G2774"/>
    <mergeCell ref="G2775:G2776"/>
    <mergeCell ref="B2682:B2684"/>
    <mergeCell ref="C2682:C2684"/>
    <mergeCell ref="A2761:A2765"/>
    <mergeCell ref="B2761:B2765"/>
    <mergeCell ref="C2761:C2765"/>
    <mergeCell ref="D2761:D2765"/>
    <mergeCell ref="E2761:E2765"/>
    <mergeCell ref="F2761:F2765"/>
    <mergeCell ref="G2762:G2763"/>
    <mergeCell ref="G2764:G2765"/>
    <mergeCell ref="A2755:A2757"/>
    <mergeCell ref="B2755:B2757"/>
    <mergeCell ref="C2755:C2757"/>
    <mergeCell ref="D2755:D2757"/>
    <mergeCell ref="E2755:E2757"/>
    <mergeCell ref="F2755:F2757"/>
    <mergeCell ref="G1870:G1872"/>
    <mergeCell ref="A1499:A1505"/>
    <mergeCell ref="B1499:B1505"/>
    <mergeCell ref="C1499:C1505"/>
    <mergeCell ref="D1499:D1505"/>
    <mergeCell ref="E1499:E1505"/>
    <mergeCell ref="F1499:F1505"/>
    <mergeCell ref="A1864:A1865"/>
    <mergeCell ref="B1864:B1865"/>
    <mergeCell ref="C1864:C1865"/>
    <mergeCell ref="D1864:D1865"/>
    <mergeCell ref="E1864:E1865"/>
    <mergeCell ref="F1864:F1865"/>
    <mergeCell ref="G1864:G1865"/>
    <mergeCell ref="A1839:A1842"/>
    <mergeCell ref="B1839:B1842"/>
    <mergeCell ref="C1839:C1842"/>
    <mergeCell ref="D1839:D1842"/>
    <mergeCell ref="E1839:E1842"/>
    <mergeCell ref="F1839:F1842"/>
    <mergeCell ref="D1829:D1832"/>
    <mergeCell ref="E1829:E1832"/>
    <mergeCell ref="F1829:F1832"/>
    <mergeCell ref="D1818:D1819"/>
    <mergeCell ref="E1818:E1819"/>
    <mergeCell ref="F1818:F1819"/>
    <mergeCell ref="G1818:G1819"/>
    <mergeCell ref="A1820:A1823"/>
    <mergeCell ref="B1820:B1823"/>
    <mergeCell ref="C1820:C1823"/>
    <mergeCell ref="D1820:D1823"/>
    <mergeCell ref="G2502:G2504"/>
    <mergeCell ref="E2679:E2681"/>
    <mergeCell ref="A2657:A2659"/>
    <mergeCell ref="G2755:G2757"/>
    <mergeCell ref="D2682:D2684"/>
    <mergeCell ref="E2682:E2684"/>
    <mergeCell ref="F2682:F2684"/>
    <mergeCell ref="G2682:G2684"/>
    <mergeCell ref="B2690:B2692"/>
    <mergeCell ref="C2690:C2692"/>
    <mergeCell ref="D2690:D2692"/>
    <mergeCell ref="E2690:E2692"/>
    <mergeCell ref="F2690:F2692"/>
    <mergeCell ref="G2690:G2692"/>
    <mergeCell ref="C2657:C2659"/>
    <mergeCell ref="D2657:D2659"/>
    <mergeCell ref="A2666:A2668"/>
    <mergeCell ref="B2666:B2668"/>
    <mergeCell ref="C2666:C2668"/>
    <mergeCell ref="G2758:G2760"/>
    <mergeCell ref="A2685:A2686"/>
    <mergeCell ref="B2685:B2686"/>
    <mergeCell ref="C2685:C2686"/>
    <mergeCell ref="D2685:D2686"/>
    <mergeCell ref="E2685:E2686"/>
    <mergeCell ref="F2685:F2686"/>
    <mergeCell ref="G2685:G2686"/>
    <mergeCell ref="A2502:A2504"/>
    <mergeCell ref="B2502:B2504"/>
    <mergeCell ref="A1808:A1812"/>
    <mergeCell ref="B1808:B1812"/>
    <mergeCell ref="C1808:C1812"/>
    <mergeCell ref="D1808:D1812"/>
    <mergeCell ref="E1808:E1812"/>
    <mergeCell ref="F1808:F1812"/>
    <mergeCell ref="A2497:A2498"/>
    <mergeCell ref="B2497:B2498"/>
    <mergeCell ref="C2497:C2498"/>
    <mergeCell ref="D2497:D2498"/>
    <mergeCell ref="E2497:E2498"/>
    <mergeCell ref="C2502:C2504"/>
    <mergeCell ref="D2502:D2504"/>
    <mergeCell ref="A2690:A2692"/>
    <mergeCell ref="A2682:A2684"/>
    <mergeCell ref="A2687:A2689"/>
    <mergeCell ref="B2687:B2689"/>
    <mergeCell ref="C2687:C2689"/>
    <mergeCell ref="D2687:D2689"/>
    <mergeCell ref="E2687:E2689"/>
    <mergeCell ref="F2687:F2689"/>
    <mergeCell ref="G2687:G2689"/>
    <mergeCell ref="F1786:F1788"/>
    <mergeCell ref="A1789:A1790"/>
    <mergeCell ref="B1789:B1790"/>
    <mergeCell ref="F1789:F1790"/>
    <mergeCell ref="A1791:A1797"/>
    <mergeCell ref="B1791:B1797"/>
    <mergeCell ref="C1791:C1797"/>
    <mergeCell ref="D1791:D1797"/>
    <mergeCell ref="E1791:E1797"/>
    <mergeCell ref="F1791:F1797"/>
    <mergeCell ref="E1820:E1823"/>
    <mergeCell ref="F1820:F1823"/>
    <mergeCell ref="A1805:A1807"/>
    <mergeCell ref="B1805:B1807"/>
    <mergeCell ref="C1805:C1807"/>
    <mergeCell ref="A2758:A2760"/>
    <mergeCell ref="B2758:B2760"/>
    <mergeCell ref="C2758:C2760"/>
    <mergeCell ref="D2758:D2760"/>
    <mergeCell ref="E2758:E2760"/>
    <mergeCell ref="F2758:F2760"/>
    <mergeCell ref="E2502:E2504"/>
    <mergeCell ref="F2502:F2504"/>
    <mergeCell ref="F1870:F1872"/>
    <mergeCell ref="G1779:G1780"/>
    <mergeCell ref="G1786:G1788"/>
    <mergeCell ref="D1805:D1807"/>
    <mergeCell ref="E1805:E1807"/>
    <mergeCell ref="F1805:F1807"/>
    <mergeCell ref="A1781:A1782"/>
    <mergeCell ref="B1781:B1782"/>
    <mergeCell ref="C1781:C1782"/>
    <mergeCell ref="D1781:D1782"/>
    <mergeCell ref="E1781:E1782"/>
    <mergeCell ref="F1781:F1782"/>
    <mergeCell ref="G1781:G1782"/>
    <mergeCell ref="A1783:A1785"/>
    <mergeCell ref="B1783:B1785"/>
    <mergeCell ref="C1783:C1785"/>
    <mergeCell ref="G1783:G1785"/>
    <mergeCell ref="G1805:G1807"/>
    <mergeCell ref="G1789:G1790"/>
    <mergeCell ref="G1791:G1793"/>
    <mergeCell ref="G1794:G1795"/>
    <mergeCell ref="G1796:G1797"/>
    <mergeCell ref="A1798:A1800"/>
    <mergeCell ref="B1798:B1800"/>
    <mergeCell ref="C1798:C1800"/>
    <mergeCell ref="D1798:D1800"/>
    <mergeCell ref="A1801:A1804"/>
    <mergeCell ref="B1801:B1804"/>
    <mergeCell ref="D1783:D1785"/>
    <mergeCell ref="E1783:E1785"/>
    <mergeCell ref="F1783:F1785"/>
    <mergeCell ref="A1786:A1788"/>
    <mergeCell ref="B1786:B1788"/>
    <mergeCell ref="G1759:G1760"/>
    <mergeCell ref="G1761:G1762"/>
    <mergeCell ref="G1763:G1764"/>
    <mergeCell ref="G1765:G1767"/>
    <mergeCell ref="A1768:A1769"/>
    <mergeCell ref="B1768:B1769"/>
    <mergeCell ref="C1768:C1769"/>
    <mergeCell ref="D1768:D1769"/>
    <mergeCell ref="E1768:E1769"/>
    <mergeCell ref="F1768:F1769"/>
    <mergeCell ref="G1768:G1769"/>
    <mergeCell ref="C1789:C1790"/>
    <mergeCell ref="D1789:D1790"/>
    <mergeCell ref="E1789:E1790"/>
    <mergeCell ref="A1770:A1776"/>
    <mergeCell ref="B1770:B1776"/>
    <mergeCell ref="C1770:C1776"/>
    <mergeCell ref="D1770:D1776"/>
    <mergeCell ref="E1770:E1776"/>
    <mergeCell ref="F1770:F1776"/>
    <mergeCell ref="G1771:G1772"/>
    <mergeCell ref="G1773:G1774"/>
    <mergeCell ref="G1775:G1776"/>
    <mergeCell ref="A1777:A1778"/>
    <mergeCell ref="B1777:B1778"/>
    <mergeCell ref="C1777:C1778"/>
    <mergeCell ref="D1777:D1778"/>
    <mergeCell ref="E1777:E1778"/>
    <mergeCell ref="F1777:F1778"/>
    <mergeCell ref="G1777:G1778"/>
    <mergeCell ref="A1779:A1780"/>
    <mergeCell ref="B1779:B1780"/>
    <mergeCell ref="G1753:G1754"/>
    <mergeCell ref="E1741:E1747"/>
    <mergeCell ref="F1741:F1747"/>
    <mergeCell ref="G1742:G1744"/>
    <mergeCell ref="G1745:G1747"/>
    <mergeCell ref="A1755:A1757"/>
    <mergeCell ref="B1755:B1757"/>
    <mergeCell ref="C1755:C1757"/>
    <mergeCell ref="D1755:D1757"/>
    <mergeCell ref="E1755:E1757"/>
    <mergeCell ref="F1755:F1757"/>
    <mergeCell ref="G1755:G1757"/>
    <mergeCell ref="A1748:A1749"/>
    <mergeCell ref="B1748:B1749"/>
    <mergeCell ref="C1748:C1749"/>
    <mergeCell ref="D1748:D1749"/>
    <mergeCell ref="E1748:E1749"/>
    <mergeCell ref="F1748:F1749"/>
    <mergeCell ref="G1748:G1749"/>
    <mergeCell ref="A1741:A1747"/>
    <mergeCell ref="G1750:G1752"/>
    <mergeCell ref="A1726:A1728"/>
    <mergeCell ref="B1726:B1728"/>
    <mergeCell ref="C1726:C1728"/>
    <mergeCell ref="D1726:D1728"/>
    <mergeCell ref="E1726:E1728"/>
    <mergeCell ref="F1726:F1728"/>
    <mergeCell ref="G1727:G1728"/>
    <mergeCell ref="A1729:A1730"/>
    <mergeCell ref="B1729:B1730"/>
    <mergeCell ref="C1729:C1730"/>
    <mergeCell ref="D1729:D1730"/>
    <mergeCell ref="E1729:E1730"/>
    <mergeCell ref="F1729:F1730"/>
    <mergeCell ref="G1729:G1730"/>
    <mergeCell ref="A1734:A1740"/>
    <mergeCell ref="B1734:B1740"/>
    <mergeCell ref="C1734:C1740"/>
    <mergeCell ref="D1734:D1740"/>
    <mergeCell ref="E1734:E1740"/>
    <mergeCell ref="F1734:F1740"/>
    <mergeCell ref="G1738:G1740"/>
    <mergeCell ref="A1731:A1733"/>
    <mergeCell ref="B1731:B1733"/>
    <mergeCell ref="C1731:C1733"/>
    <mergeCell ref="D1731:D1733"/>
    <mergeCell ref="E1731:E1733"/>
    <mergeCell ref="F1731:F1733"/>
    <mergeCell ref="G1731:G1733"/>
    <mergeCell ref="G1735:G1737"/>
    <mergeCell ref="A1715:A1717"/>
    <mergeCell ref="B1715:B1717"/>
    <mergeCell ref="C1715:C1717"/>
    <mergeCell ref="D1715:D1717"/>
    <mergeCell ref="E1715:E1717"/>
    <mergeCell ref="F1715:F1717"/>
    <mergeCell ref="G1715:G1717"/>
    <mergeCell ref="A1718:A1720"/>
    <mergeCell ref="B1718:B1720"/>
    <mergeCell ref="C1718:C1720"/>
    <mergeCell ref="D1718:D1720"/>
    <mergeCell ref="E1718:E1720"/>
    <mergeCell ref="F1718:F1720"/>
    <mergeCell ref="G1718:G1720"/>
    <mergeCell ref="A1721:A1723"/>
    <mergeCell ref="B1721:B1723"/>
    <mergeCell ref="C1721:C1723"/>
    <mergeCell ref="D1721:D1723"/>
    <mergeCell ref="A1710:A1712"/>
    <mergeCell ref="B1710:B1712"/>
    <mergeCell ref="C1710:C1712"/>
    <mergeCell ref="D1710:D1712"/>
    <mergeCell ref="E1710:E1712"/>
    <mergeCell ref="F1710:F1712"/>
    <mergeCell ref="G1710:G1712"/>
    <mergeCell ref="A1713:A1714"/>
    <mergeCell ref="B1713:B1714"/>
    <mergeCell ref="C1713:C1714"/>
    <mergeCell ref="D1713:D1714"/>
    <mergeCell ref="E1713:E1714"/>
    <mergeCell ref="F1713:F1714"/>
    <mergeCell ref="G1713:G1714"/>
    <mergeCell ref="A1702:A1704"/>
    <mergeCell ref="B1702:B1704"/>
    <mergeCell ref="C1702:C1704"/>
    <mergeCell ref="D1702:D1704"/>
    <mergeCell ref="E1702:E1704"/>
    <mergeCell ref="F1702:F1704"/>
    <mergeCell ref="G1702:G1704"/>
    <mergeCell ref="A1705:A1706"/>
    <mergeCell ref="B1705:B1706"/>
    <mergeCell ref="C1705:C1706"/>
    <mergeCell ref="D1705:D1706"/>
    <mergeCell ref="E1705:E1706"/>
    <mergeCell ref="F1705:F1706"/>
    <mergeCell ref="G1705:G1706"/>
    <mergeCell ref="A1707:A1709"/>
    <mergeCell ref="B1707:B1709"/>
    <mergeCell ref="C1707:C1709"/>
    <mergeCell ref="D1707:D1709"/>
    <mergeCell ref="E1707:E1709"/>
    <mergeCell ref="F1707:F1709"/>
    <mergeCell ref="G1707:G1709"/>
    <mergeCell ref="A1690:A1692"/>
    <mergeCell ref="B1690:B1692"/>
    <mergeCell ref="C1690:C1692"/>
    <mergeCell ref="D1690:D1692"/>
    <mergeCell ref="E1690:E1692"/>
    <mergeCell ref="F1690:F1692"/>
    <mergeCell ref="A1693:A1694"/>
    <mergeCell ref="B1693:B1694"/>
    <mergeCell ref="C1693:C1694"/>
    <mergeCell ref="D1693:D1694"/>
    <mergeCell ref="E1693:E1694"/>
    <mergeCell ref="F1693:F1694"/>
    <mergeCell ref="G1693:G1694"/>
    <mergeCell ref="A1695:A1701"/>
    <mergeCell ref="B1695:B1701"/>
    <mergeCell ref="C1695:C1701"/>
    <mergeCell ref="D1695:D1701"/>
    <mergeCell ref="E1695:E1701"/>
    <mergeCell ref="F1695:F1701"/>
    <mergeCell ref="G1696:G1698"/>
    <mergeCell ref="G1699:G1701"/>
    <mergeCell ref="B1670:B1679"/>
    <mergeCell ref="C1670:C1679"/>
    <mergeCell ref="D1670:D1679"/>
    <mergeCell ref="E1670:E1679"/>
    <mergeCell ref="F1670:F1679"/>
    <mergeCell ref="G1670:G1673"/>
    <mergeCell ref="G1677:G1679"/>
    <mergeCell ref="A1680:A1686"/>
    <mergeCell ref="B1680:B1686"/>
    <mergeCell ref="C1680:C1686"/>
    <mergeCell ref="D1680:D1686"/>
    <mergeCell ref="E1680:E1686"/>
    <mergeCell ref="F1680:F1686"/>
    <mergeCell ref="G1681:G1683"/>
    <mergeCell ref="G1684:G1686"/>
    <mergeCell ref="A1687:A1689"/>
    <mergeCell ref="B1687:B1689"/>
    <mergeCell ref="C1687:C1689"/>
    <mergeCell ref="D1687:D1689"/>
    <mergeCell ref="E1687:E1689"/>
    <mergeCell ref="F1687:F1689"/>
    <mergeCell ref="A1489:A1491"/>
    <mergeCell ref="B1489:B1491"/>
    <mergeCell ref="C1489:C1491"/>
    <mergeCell ref="D1489:D1491"/>
    <mergeCell ref="E1489:E1491"/>
    <mergeCell ref="F1489:F1491"/>
    <mergeCell ref="G1489:G1491"/>
    <mergeCell ref="B1486:B1488"/>
    <mergeCell ref="C1486:C1488"/>
    <mergeCell ref="D1486:D1488"/>
    <mergeCell ref="G1500:G1501"/>
    <mergeCell ref="G1502:G1503"/>
    <mergeCell ref="A1472:A1474"/>
    <mergeCell ref="B1472:B1474"/>
    <mergeCell ref="C1472:C1474"/>
    <mergeCell ref="D1472:D1474"/>
    <mergeCell ref="E1472:E1474"/>
    <mergeCell ref="F1472:F1474"/>
    <mergeCell ref="G1472:G1473"/>
    <mergeCell ref="D1475:D1483"/>
    <mergeCell ref="E1475:E1483"/>
    <mergeCell ref="F1475:F1483"/>
    <mergeCell ref="G1476:G1477"/>
    <mergeCell ref="G1478:G1479"/>
    <mergeCell ref="G1480:G1481"/>
    <mergeCell ref="G1482:G1483"/>
    <mergeCell ref="A1475:A1483"/>
    <mergeCell ref="B1475:B1483"/>
    <mergeCell ref="C1475:C1483"/>
    <mergeCell ref="A1484:A1485"/>
    <mergeCell ref="B1484:B1485"/>
    <mergeCell ref="C1484:C1485"/>
    <mergeCell ref="D1484:D1485"/>
    <mergeCell ref="E1484:E1485"/>
    <mergeCell ref="A1486:A1488"/>
    <mergeCell ref="F1484:F1485"/>
    <mergeCell ref="A1470:A1471"/>
    <mergeCell ref="B1470:B1471"/>
    <mergeCell ref="C1470:C1471"/>
    <mergeCell ref="D1470:D1471"/>
    <mergeCell ref="E1470:E1471"/>
    <mergeCell ref="F1470:F1471"/>
    <mergeCell ref="G1470:G1471"/>
    <mergeCell ref="A1466:A1467"/>
    <mergeCell ref="B1466:B1467"/>
    <mergeCell ref="C1466:C1467"/>
    <mergeCell ref="D1466:D1467"/>
    <mergeCell ref="E1466:E1467"/>
    <mergeCell ref="F1466:F1467"/>
    <mergeCell ref="G1466:G1467"/>
    <mergeCell ref="A1468:A1469"/>
    <mergeCell ref="B1468:B1469"/>
    <mergeCell ref="C1468:C1469"/>
    <mergeCell ref="D1468:D1469"/>
    <mergeCell ref="E1468:E1469"/>
    <mergeCell ref="F1468:F1469"/>
    <mergeCell ref="G1468:G1469"/>
    <mergeCell ref="G1484:G1485"/>
    <mergeCell ref="E1486:E1488"/>
    <mergeCell ref="F1486:F1488"/>
    <mergeCell ref="A1464:A1465"/>
    <mergeCell ref="B1464:B1465"/>
    <mergeCell ref="C1464:C1465"/>
    <mergeCell ref="D1464:D1465"/>
    <mergeCell ref="E1464:E1465"/>
    <mergeCell ref="F1464:F1465"/>
    <mergeCell ref="G1464:G1465"/>
    <mergeCell ref="A1461:A1463"/>
    <mergeCell ref="B1461:B1463"/>
    <mergeCell ref="C1461:C1463"/>
    <mergeCell ref="D1461:D1463"/>
    <mergeCell ref="E1461:E1463"/>
    <mergeCell ref="F1461:F1463"/>
    <mergeCell ref="A1458:A1460"/>
    <mergeCell ref="B1458:B1460"/>
    <mergeCell ref="C1458:C1460"/>
    <mergeCell ref="D1458:D1460"/>
    <mergeCell ref="E1458:E1460"/>
    <mergeCell ref="A1448:A1450"/>
    <mergeCell ref="B1448:B1450"/>
    <mergeCell ref="C1448:C1450"/>
    <mergeCell ref="D1448:D1450"/>
    <mergeCell ref="E1448:E1450"/>
    <mergeCell ref="F1448:F1450"/>
    <mergeCell ref="G1448:G1450"/>
    <mergeCell ref="A1454:A1455"/>
    <mergeCell ref="B1454:B1455"/>
    <mergeCell ref="C1454:C1455"/>
    <mergeCell ref="D1454:D1455"/>
    <mergeCell ref="E1454:E1455"/>
    <mergeCell ref="F1454:F1455"/>
    <mergeCell ref="G1454:G1455"/>
    <mergeCell ref="A1451:A1453"/>
    <mergeCell ref="B1451:B1453"/>
    <mergeCell ref="C1451:C1453"/>
    <mergeCell ref="D1451:D1453"/>
    <mergeCell ref="E1451:E1453"/>
    <mergeCell ref="F1451:F1453"/>
    <mergeCell ref="G1451:G1453"/>
    <mergeCell ref="A1428:A1429"/>
    <mergeCell ref="B1428:B1429"/>
    <mergeCell ref="C1428:C1429"/>
    <mergeCell ref="D1428:D1429"/>
    <mergeCell ref="E1428:E1429"/>
    <mergeCell ref="F1428:F1429"/>
    <mergeCell ref="G1428:G1429"/>
    <mergeCell ref="A1430:A1436"/>
    <mergeCell ref="B1430:B1436"/>
    <mergeCell ref="C1430:C1436"/>
    <mergeCell ref="D1430:D1436"/>
    <mergeCell ref="E1430:E1436"/>
    <mergeCell ref="F1430:F1436"/>
    <mergeCell ref="G1435:G1436"/>
    <mergeCell ref="E1423:E1424"/>
    <mergeCell ref="F1423:F1424"/>
    <mergeCell ref="G1423:G1424"/>
    <mergeCell ref="A1425:A1427"/>
    <mergeCell ref="B1425:B1427"/>
    <mergeCell ref="C1425:C1427"/>
    <mergeCell ref="D1425:D1427"/>
    <mergeCell ref="E1425:E1427"/>
    <mergeCell ref="F1425:F1427"/>
    <mergeCell ref="G1425:G1427"/>
    <mergeCell ref="A1423:A1424"/>
    <mergeCell ref="B1423:B1424"/>
    <mergeCell ref="C1423:C1424"/>
    <mergeCell ref="D1423:D1424"/>
    <mergeCell ref="E1418:E1419"/>
    <mergeCell ref="F1418:F1419"/>
    <mergeCell ref="G1418:G1419"/>
    <mergeCell ref="A1420:A1422"/>
    <mergeCell ref="B1420:B1422"/>
    <mergeCell ref="C1420:C1422"/>
    <mergeCell ref="D1420:D1422"/>
    <mergeCell ref="E1420:E1422"/>
    <mergeCell ref="F1420:F1422"/>
    <mergeCell ref="G1420:G1422"/>
    <mergeCell ref="A1418:A1419"/>
    <mergeCell ref="B1418:B1419"/>
    <mergeCell ref="C1418:C1419"/>
    <mergeCell ref="D1418:D1419"/>
    <mergeCell ref="A1412:A1413"/>
    <mergeCell ref="B1412:B1413"/>
    <mergeCell ref="C1412:C1413"/>
    <mergeCell ref="D1412:D1413"/>
    <mergeCell ref="E1412:E1413"/>
    <mergeCell ref="F1412:F1413"/>
    <mergeCell ref="G1412:G1413"/>
    <mergeCell ref="E1414:E1415"/>
    <mergeCell ref="F1414:F1415"/>
    <mergeCell ref="G1414:G1415"/>
    <mergeCell ref="A1416:A1417"/>
    <mergeCell ref="B1416:B1417"/>
    <mergeCell ref="C1416:C1417"/>
    <mergeCell ref="D1416:D1417"/>
    <mergeCell ref="E1416:E1417"/>
    <mergeCell ref="F1416:F1417"/>
    <mergeCell ref="G1416:G1417"/>
    <mergeCell ref="A1414:A1415"/>
    <mergeCell ref="B1414:B1415"/>
    <mergeCell ref="C1414:C1415"/>
    <mergeCell ref="D1414:D1415"/>
    <mergeCell ref="A1402:A1404"/>
    <mergeCell ref="B1402:B1404"/>
    <mergeCell ref="C1402:C1404"/>
    <mergeCell ref="D1402:D1404"/>
    <mergeCell ref="E1402:E1404"/>
    <mergeCell ref="F1402:F1404"/>
    <mergeCell ref="A1395:A1401"/>
    <mergeCell ref="B1395:B1401"/>
    <mergeCell ref="C1395:C1401"/>
    <mergeCell ref="D1395:D1401"/>
    <mergeCell ref="E1395:E1401"/>
    <mergeCell ref="F1395:F1401"/>
    <mergeCell ref="C1405:C1411"/>
    <mergeCell ref="D1405:D1411"/>
    <mergeCell ref="E1405:E1411"/>
    <mergeCell ref="F1405:F1411"/>
    <mergeCell ref="G1406:G1407"/>
    <mergeCell ref="G1408:G1409"/>
    <mergeCell ref="G1410:G1411"/>
    <mergeCell ref="E1385:E1387"/>
    <mergeCell ref="F1385:F1387"/>
    <mergeCell ref="G1385:G1387"/>
    <mergeCell ref="A1388:A1394"/>
    <mergeCell ref="B1388:B1394"/>
    <mergeCell ref="C1388:C1394"/>
    <mergeCell ref="D1388:D1394"/>
    <mergeCell ref="E1388:E1394"/>
    <mergeCell ref="F1388:F1394"/>
    <mergeCell ref="G1389:G1390"/>
    <mergeCell ref="G1391:G1392"/>
    <mergeCell ref="G1393:G1394"/>
    <mergeCell ref="A1385:A1387"/>
    <mergeCell ref="B1385:B1387"/>
    <mergeCell ref="C1385:C1387"/>
    <mergeCell ref="D1385:D1387"/>
    <mergeCell ref="A1405:A1411"/>
    <mergeCell ref="B1405:B1411"/>
    <mergeCell ref="A1381:A1382"/>
    <mergeCell ref="B1381:B1382"/>
    <mergeCell ref="C1381:C1382"/>
    <mergeCell ref="D1381:D1382"/>
    <mergeCell ref="E1381:E1382"/>
    <mergeCell ref="F1381:F1382"/>
    <mergeCell ref="A1383:A1384"/>
    <mergeCell ref="B1383:B1384"/>
    <mergeCell ref="C1383:C1384"/>
    <mergeCell ref="D1383:D1384"/>
    <mergeCell ref="E1383:E1384"/>
    <mergeCell ref="F1383:F1384"/>
    <mergeCell ref="G1383:G1384"/>
    <mergeCell ref="G1381:G1382"/>
    <mergeCell ref="A1365:A1367"/>
    <mergeCell ref="B1365:B1367"/>
    <mergeCell ref="C1365:C1367"/>
    <mergeCell ref="D1365:D1367"/>
    <mergeCell ref="E1365:E1367"/>
    <mergeCell ref="F1365:F1367"/>
    <mergeCell ref="G1365:G1367"/>
    <mergeCell ref="B1378:B1380"/>
    <mergeCell ref="C1378:C1380"/>
    <mergeCell ref="D1378:D1380"/>
    <mergeCell ref="E1378:E1380"/>
    <mergeCell ref="F1378:F1380"/>
    <mergeCell ref="G1378:G1380"/>
    <mergeCell ref="G1373:G1374"/>
    <mergeCell ref="A1368:A1374"/>
    <mergeCell ref="B1368:B1374"/>
    <mergeCell ref="C1368:C1374"/>
    <mergeCell ref="D1368:D1374"/>
    <mergeCell ref="E1368:E1374"/>
    <mergeCell ref="F1368:F1374"/>
    <mergeCell ref="G1369:G1370"/>
    <mergeCell ref="G1371:G1372"/>
    <mergeCell ref="A1375:A1377"/>
    <mergeCell ref="B1375:B1377"/>
    <mergeCell ref="C1375:C1377"/>
    <mergeCell ref="D1375:D1377"/>
    <mergeCell ref="A1359:A1361"/>
    <mergeCell ref="B1359:B1361"/>
    <mergeCell ref="C1359:C1361"/>
    <mergeCell ref="D1359:D1361"/>
    <mergeCell ref="E1359:E1361"/>
    <mergeCell ref="F1359:F1361"/>
    <mergeCell ref="G1359:G1361"/>
    <mergeCell ref="A1354:A1358"/>
    <mergeCell ref="B1354:B1358"/>
    <mergeCell ref="A1362:A1364"/>
    <mergeCell ref="B1362:B1364"/>
    <mergeCell ref="C1362:C1364"/>
    <mergeCell ref="D1362:D1364"/>
    <mergeCell ref="E1362:E1364"/>
    <mergeCell ref="F1362:F1364"/>
    <mergeCell ref="G1362:G1364"/>
    <mergeCell ref="A1351:A1353"/>
    <mergeCell ref="B1351:B1353"/>
    <mergeCell ref="C1351:C1353"/>
    <mergeCell ref="D1351:D1353"/>
    <mergeCell ref="E1351:E1353"/>
    <mergeCell ref="F1351:F1353"/>
    <mergeCell ref="G1351:G1353"/>
    <mergeCell ref="C1354:C1358"/>
    <mergeCell ref="D1354:D1358"/>
    <mergeCell ref="E1354:E1358"/>
    <mergeCell ref="F1354:F1358"/>
    <mergeCell ref="G1355:G1356"/>
    <mergeCell ref="G1357:G1358"/>
    <mergeCell ref="A1340:A1341"/>
    <mergeCell ref="B1340:B1341"/>
    <mergeCell ref="C1340:C1341"/>
    <mergeCell ref="D1340:D1341"/>
    <mergeCell ref="E1340:E1341"/>
    <mergeCell ref="F1340:F1341"/>
    <mergeCell ref="G1340:G1341"/>
    <mergeCell ref="A1348:A1350"/>
    <mergeCell ref="B1348:B1350"/>
    <mergeCell ref="C1348:C1350"/>
    <mergeCell ref="D1348:D1350"/>
    <mergeCell ref="E1348:E1350"/>
    <mergeCell ref="F1348:F1350"/>
    <mergeCell ref="G1348:G1350"/>
    <mergeCell ref="A1342:A1344"/>
    <mergeCell ref="B1342:B1344"/>
    <mergeCell ref="C1342:C1344"/>
    <mergeCell ref="D1342:D1344"/>
    <mergeCell ref="E1342:E1344"/>
    <mergeCell ref="F1342:F1344"/>
    <mergeCell ref="G1342:G1344"/>
    <mergeCell ref="A1345:A1347"/>
    <mergeCell ref="B1345:B1347"/>
    <mergeCell ref="C1345:C1347"/>
    <mergeCell ref="D1345:D1347"/>
    <mergeCell ref="E1345:E1347"/>
    <mergeCell ref="A1330:A1332"/>
    <mergeCell ref="B1330:B1332"/>
    <mergeCell ref="C1330:C1332"/>
    <mergeCell ref="D1330:D1332"/>
    <mergeCell ref="E1330:E1332"/>
    <mergeCell ref="F1330:F1332"/>
    <mergeCell ref="G1330:G1332"/>
    <mergeCell ref="A1333:A1339"/>
    <mergeCell ref="B1333:B1339"/>
    <mergeCell ref="C1333:C1339"/>
    <mergeCell ref="D1333:D1339"/>
    <mergeCell ref="E1333:E1339"/>
    <mergeCell ref="F1333:F1339"/>
    <mergeCell ref="G1333:G1335"/>
    <mergeCell ref="G1336:G1337"/>
    <mergeCell ref="G1338:G1339"/>
    <mergeCell ref="F1345:F1347"/>
    <mergeCell ref="G1345:G1347"/>
    <mergeCell ref="A1324:A1326"/>
    <mergeCell ref="B1324:B1326"/>
    <mergeCell ref="C1324:C1326"/>
    <mergeCell ref="D1324:D1326"/>
    <mergeCell ref="E1324:E1326"/>
    <mergeCell ref="F1324:F1326"/>
    <mergeCell ref="G1324:G1326"/>
    <mergeCell ref="A1327:A1329"/>
    <mergeCell ref="B1327:B1329"/>
    <mergeCell ref="C1327:C1329"/>
    <mergeCell ref="D1327:D1329"/>
    <mergeCell ref="E1327:E1329"/>
    <mergeCell ref="F1327:F1329"/>
    <mergeCell ref="G1327:G1329"/>
    <mergeCell ref="A1315:A1316"/>
    <mergeCell ref="B1315:B1316"/>
    <mergeCell ref="C1315:C1316"/>
    <mergeCell ref="D1315:D1316"/>
    <mergeCell ref="E1315:E1316"/>
    <mergeCell ref="F1315:F1316"/>
    <mergeCell ref="G1315:G1316"/>
    <mergeCell ref="A1317:A1323"/>
    <mergeCell ref="B1317:B1323"/>
    <mergeCell ref="C1317:C1323"/>
    <mergeCell ref="D1317:D1323"/>
    <mergeCell ref="E1317:E1323"/>
    <mergeCell ref="F1317:F1323"/>
    <mergeCell ref="G1318:G1319"/>
    <mergeCell ref="G1320:G1321"/>
    <mergeCell ref="G1322:G1323"/>
    <mergeCell ref="C1313:C1314"/>
    <mergeCell ref="D1313:D1314"/>
    <mergeCell ref="E1313:E1314"/>
    <mergeCell ref="F1313:F1314"/>
    <mergeCell ref="G1313:G1314"/>
    <mergeCell ref="A1296:A1298"/>
    <mergeCell ref="B1296:B1298"/>
    <mergeCell ref="C1296:C1298"/>
    <mergeCell ref="D1296:D1298"/>
    <mergeCell ref="E1296:E1298"/>
    <mergeCell ref="F1296:F1298"/>
    <mergeCell ref="G1296:G1298"/>
    <mergeCell ref="A1299:A1309"/>
    <mergeCell ref="B1299:B1309"/>
    <mergeCell ref="C1299:C1309"/>
    <mergeCell ref="D1299:D1309"/>
    <mergeCell ref="E1299:E1309"/>
    <mergeCell ref="F1299:F1309"/>
    <mergeCell ref="G1300:G1301"/>
    <mergeCell ref="G1302:G1303"/>
    <mergeCell ref="G1304:G1305"/>
    <mergeCell ref="G1306:G1307"/>
    <mergeCell ref="G1308:G1309"/>
    <mergeCell ref="D1437:D1439"/>
    <mergeCell ref="G1431:G1432"/>
    <mergeCell ref="G1433:G1434"/>
    <mergeCell ref="E1437:E1439"/>
    <mergeCell ref="F1437:F1439"/>
    <mergeCell ref="D1288:D1290"/>
    <mergeCell ref="E1288:E1290"/>
    <mergeCell ref="F1288:F1290"/>
    <mergeCell ref="G1288:G1290"/>
    <mergeCell ref="A1291:A1292"/>
    <mergeCell ref="B1291:B1292"/>
    <mergeCell ref="C1291:C1292"/>
    <mergeCell ref="D1291:D1292"/>
    <mergeCell ref="E1291:E1292"/>
    <mergeCell ref="F1291:F1292"/>
    <mergeCell ref="G1291:G1292"/>
    <mergeCell ref="A1293:A1295"/>
    <mergeCell ref="B1293:B1295"/>
    <mergeCell ref="C1293:C1295"/>
    <mergeCell ref="D1293:D1295"/>
    <mergeCell ref="E1293:E1295"/>
    <mergeCell ref="F1293:F1295"/>
    <mergeCell ref="G1293:G1295"/>
    <mergeCell ref="A1310:A1312"/>
    <mergeCell ref="B1310:B1312"/>
    <mergeCell ref="C1310:C1312"/>
    <mergeCell ref="D1310:D1312"/>
    <mergeCell ref="E1310:E1312"/>
    <mergeCell ref="F1310:F1312"/>
    <mergeCell ref="G1310:G1312"/>
    <mergeCell ref="A1313:A1314"/>
    <mergeCell ref="B1313:B1314"/>
    <mergeCell ref="G1509:G1510"/>
    <mergeCell ref="G1511:G1512"/>
    <mergeCell ref="G1493:G1494"/>
    <mergeCell ref="G1495:G1496"/>
    <mergeCell ref="G1497:G1498"/>
    <mergeCell ref="B1253:B1259"/>
    <mergeCell ref="C1253:C1259"/>
    <mergeCell ref="D1253:D1259"/>
    <mergeCell ref="G1437:G1439"/>
    <mergeCell ref="E1440:E1442"/>
    <mergeCell ref="F1440:F1442"/>
    <mergeCell ref="D1260:D1262"/>
    <mergeCell ref="E1260:E1262"/>
    <mergeCell ref="F1260:F1262"/>
    <mergeCell ref="G1260:G1262"/>
    <mergeCell ref="A1263:A1287"/>
    <mergeCell ref="B1263:B1287"/>
    <mergeCell ref="C1263:C1287"/>
    <mergeCell ref="D1263:D1287"/>
    <mergeCell ref="E1263:E1287"/>
    <mergeCell ref="F1263:F1287"/>
    <mergeCell ref="G1264:G1266"/>
    <mergeCell ref="G1267:G1269"/>
    <mergeCell ref="G1270:G1272"/>
    <mergeCell ref="G1273:G1275"/>
    <mergeCell ref="G1276:G1278"/>
    <mergeCell ref="G1279:G1281"/>
    <mergeCell ref="G1285:G1287"/>
    <mergeCell ref="G1282:G1284"/>
    <mergeCell ref="C1288:C1290"/>
    <mergeCell ref="B1437:B1439"/>
    <mergeCell ref="C1437:C1439"/>
    <mergeCell ref="C1445:C1447"/>
    <mergeCell ref="D1445:D1447"/>
    <mergeCell ref="E1445:E1447"/>
    <mergeCell ref="F1445:F1447"/>
    <mergeCell ref="G1445:G1447"/>
    <mergeCell ref="A1440:A1442"/>
    <mergeCell ref="B1440:B1442"/>
    <mergeCell ref="C1440:C1442"/>
    <mergeCell ref="D1440:D1442"/>
    <mergeCell ref="A1443:A1444"/>
    <mergeCell ref="B1443:B1444"/>
    <mergeCell ref="A1513:A1515"/>
    <mergeCell ref="B1513:B1515"/>
    <mergeCell ref="C1513:C1515"/>
    <mergeCell ref="D1513:D1515"/>
    <mergeCell ref="E1513:E1515"/>
    <mergeCell ref="F1513:F1515"/>
    <mergeCell ref="G1513:G1515"/>
    <mergeCell ref="G1504:G1505"/>
    <mergeCell ref="A1506:A1512"/>
    <mergeCell ref="B1506:B1512"/>
    <mergeCell ref="A1492:A1498"/>
    <mergeCell ref="B1492:B1498"/>
    <mergeCell ref="C1492:C1498"/>
    <mergeCell ref="D1492:D1498"/>
    <mergeCell ref="E1492:E1498"/>
    <mergeCell ref="F1492:F1498"/>
    <mergeCell ref="C1506:C1512"/>
    <mergeCell ref="D1506:D1512"/>
    <mergeCell ref="E1506:E1512"/>
    <mergeCell ref="F1506:F1512"/>
    <mergeCell ref="G1507:G1508"/>
    <mergeCell ref="A275:A276"/>
    <mergeCell ref="B275:B276"/>
    <mergeCell ref="C275:C276"/>
    <mergeCell ref="D275:D276"/>
    <mergeCell ref="E275:E276"/>
    <mergeCell ref="F275:F276"/>
    <mergeCell ref="A1125:A1127"/>
    <mergeCell ref="B1125:B1127"/>
    <mergeCell ref="C1125:C1127"/>
    <mergeCell ref="D1125:D1127"/>
    <mergeCell ref="E1125:E1127"/>
    <mergeCell ref="F1125:F1127"/>
    <mergeCell ref="G1125:G1127"/>
    <mergeCell ref="A1128:A1130"/>
    <mergeCell ref="B1128:B1130"/>
    <mergeCell ref="A1288:A1290"/>
    <mergeCell ref="B1288:B1290"/>
    <mergeCell ref="C1128:C1130"/>
    <mergeCell ref="E1253:E1259"/>
    <mergeCell ref="F1253:F1259"/>
    <mergeCell ref="G1254:G1255"/>
    <mergeCell ref="G1256:G1257"/>
    <mergeCell ref="G1258:G1259"/>
    <mergeCell ref="A1260:A1262"/>
    <mergeCell ref="B1260:B1262"/>
    <mergeCell ref="C1260:C1262"/>
    <mergeCell ref="A1253:A1259"/>
    <mergeCell ref="E1128:E1130"/>
    <mergeCell ref="F1128:F1130"/>
    <mergeCell ref="G1128:G1130"/>
    <mergeCell ref="A1119:A1121"/>
    <mergeCell ref="B1119:B1121"/>
    <mergeCell ref="A263:A266"/>
    <mergeCell ref="B263:B266"/>
    <mergeCell ref="C263:C266"/>
    <mergeCell ref="D263:D266"/>
    <mergeCell ref="E263:E266"/>
    <mergeCell ref="F263:F266"/>
    <mergeCell ref="A267:A270"/>
    <mergeCell ref="B267:B270"/>
    <mergeCell ref="C267:C270"/>
    <mergeCell ref="D267:D270"/>
    <mergeCell ref="E267:E270"/>
    <mergeCell ref="F267:F270"/>
    <mergeCell ref="A271:A274"/>
    <mergeCell ref="B271:B274"/>
    <mergeCell ref="C271:C274"/>
    <mergeCell ref="D271:D274"/>
    <mergeCell ref="E271:E274"/>
    <mergeCell ref="F271:F274"/>
    <mergeCell ref="A258:A259"/>
    <mergeCell ref="B258:B259"/>
    <mergeCell ref="C258:C259"/>
    <mergeCell ref="D258:D259"/>
    <mergeCell ref="E258:E259"/>
    <mergeCell ref="F258:F259"/>
    <mergeCell ref="G258:G259"/>
    <mergeCell ref="A260:A262"/>
    <mergeCell ref="B260:B262"/>
    <mergeCell ref="C260:C262"/>
    <mergeCell ref="D260:D262"/>
    <mergeCell ref="E260:E262"/>
    <mergeCell ref="F260:F262"/>
    <mergeCell ref="A252:A254"/>
    <mergeCell ref="B252:B254"/>
    <mergeCell ref="C252:C254"/>
    <mergeCell ref="D252:D254"/>
    <mergeCell ref="E252:E254"/>
    <mergeCell ref="F252:F254"/>
    <mergeCell ref="G252:G254"/>
    <mergeCell ref="A255:A257"/>
    <mergeCell ref="B255:B257"/>
    <mergeCell ref="C255:C257"/>
    <mergeCell ref="D255:D257"/>
    <mergeCell ref="E255:E257"/>
    <mergeCell ref="F255:F257"/>
    <mergeCell ref="G255:G257"/>
    <mergeCell ref="A246:A248"/>
    <mergeCell ref="B246:B248"/>
    <mergeCell ref="C246:C248"/>
    <mergeCell ref="D246:D248"/>
    <mergeCell ref="E246:E248"/>
    <mergeCell ref="F246:F248"/>
    <mergeCell ref="G246:G248"/>
    <mergeCell ref="A249:A251"/>
    <mergeCell ref="B249:B251"/>
    <mergeCell ref="C249:C251"/>
    <mergeCell ref="D249:D251"/>
    <mergeCell ref="E249:E251"/>
    <mergeCell ref="F249:F251"/>
    <mergeCell ref="G249:G251"/>
    <mergeCell ref="A239:A241"/>
    <mergeCell ref="B239:B241"/>
    <mergeCell ref="C239:C241"/>
    <mergeCell ref="D239:D241"/>
    <mergeCell ref="E239:E241"/>
    <mergeCell ref="F239:F241"/>
    <mergeCell ref="G239:G241"/>
    <mergeCell ref="A242:A245"/>
    <mergeCell ref="B242:B245"/>
    <mergeCell ref="C242:C245"/>
    <mergeCell ref="D242:D245"/>
    <mergeCell ref="E242:E245"/>
    <mergeCell ref="F242:F245"/>
    <mergeCell ref="A218:A236"/>
    <mergeCell ref="B218:B236"/>
    <mergeCell ref="C218:C236"/>
    <mergeCell ref="D218:D236"/>
    <mergeCell ref="E218:E236"/>
    <mergeCell ref="F218:F236"/>
    <mergeCell ref="G219:G221"/>
    <mergeCell ref="G222:G224"/>
    <mergeCell ref="G225:G227"/>
    <mergeCell ref="G228:G230"/>
    <mergeCell ref="G231:G233"/>
    <mergeCell ref="G234:G236"/>
    <mergeCell ref="A237:A238"/>
    <mergeCell ref="B237:B238"/>
    <mergeCell ref="C237:C238"/>
    <mergeCell ref="D237:D238"/>
    <mergeCell ref="E237:E238"/>
    <mergeCell ref="F237:F238"/>
    <mergeCell ref="G237:G238"/>
    <mergeCell ref="A210:A213"/>
    <mergeCell ref="B210:B213"/>
    <mergeCell ref="C210:C213"/>
    <mergeCell ref="D210:D213"/>
    <mergeCell ref="E210:E213"/>
    <mergeCell ref="F210:F213"/>
    <mergeCell ref="G210:G213"/>
    <mergeCell ref="A214:A217"/>
    <mergeCell ref="B214:B217"/>
    <mergeCell ref="C214:C217"/>
    <mergeCell ref="D214:D217"/>
    <mergeCell ref="E214:E217"/>
    <mergeCell ref="F214:F217"/>
    <mergeCell ref="G214:G217"/>
    <mergeCell ref="A179:A181"/>
    <mergeCell ref="B179:B181"/>
    <mergeCell ref="C179:C181"/>
    <mergeCell ref="D179:D181"/>
    <mergeCell ref="E179:E181"/>
    <mergeCell ref="F179:F181"/>
    <mergeCell ref="G179:G181"/>
    <mergeCell ref="A182:A209"/>
    <mergeCell ref="B182:B209"/>
    <mergeCell ref="C182:C209"/>
    <mergeCell ref="D182:D209"/>
    <mergeCell ref="E182:E209"/>
    <mergeCell ref="F182:F209"/>
    <mergeCell ref="G183:G185"/>
    <mergeCell ref="G186:G188"/>
    <mergeCell ref="G189:G191"/>
    <mergeCell ref="G192:G194"/>
    <mergeCell ref="G195:G197"/>
    <mergeCell ref="G198:G200"/>
    <mergeCell ref="G201:G203"/>
    <mergeCell ref="G204:G206"/>
    <mergeCell ref="G207:G209"/>
    <mergeCell ref="A168:A171"/>
    <mergeCell ref="B168:B171"/>
    <mergeCell ref="C168:C171"/>
    <mergeCell ref="D168:D171"/>
    <mergeCell ref="E168:E171"/>
    <mergeCell ref="F168:F171"/>
    <mergeCell ref="A172:A178"/>
    <mergeCell ref="B172:B178"/>
    <mergeCell ref="C172:C178"/>
    <mergeCell ref="D172:D178"/>
    <mergeCell ref="E172:E178"/>
    <mergeCell ref="F172:F178"/>
    <mergeCell ref="G173:G174"/>
    <mergeCell ref="G175:G176"/>
    <mergeCell ref="G177:G178"/>
    <mergeCell ref="A162:A163"/>
    <mergeCell ref="B162:B163"/>
    <mergeCell ref="C162:C163"/>
    <mergeCell ref="D162:D163"/>
    <mergeCell ref="E162:E163"/>
    <mergeCell ref="F162:F163"/>
    <mergeCell ref="G162:G163"/>
    <mergeCell ref="A164:A167"/>
    <mergeCell ref="B164:B167"/>
    <mergeCell ref="C164:C167"/>
    <mergeCell ref="D164:D167"/>
    <mergeCell ref="E164:E167"/>
    <mergeCell ref="F164:F167"/>
    <mergeCell ref="A155:A157"/>
    <mergeCell ref="B155:B157"/>
    <mergeCell ref="C155:C157"/>
    <mergeCell ref="D155:D157"/>
    <mergeCell ref="E155:E157"/>
    <mergeCell ref="F155:F157"/>
    <mergeCell ref="G155:G157"/>
    <mergeCell ref="A158:A161"/>
    <mergeCell ref="B158:B161"/>
    <mergeCell ref="C158:C161"/>
    <mergeCell ref="D158:D161"/>
    <mergeCell ref="E158:E161"/>
    <mergeCell ref="F158:F161"/>
    <mergeCell ref="G158:G161"/>
    <mergeCell ref="A150:A151"/>
    <mergeCell ref="B150:B151"/>
    <mergeCell ref="C150:C151"/>
    <mergeCell ref="D150:D151"/>
    <mergeCell ref="E150:E151"/>
    <mergeCell ref="F150:F151"/>
    <mergeCell ref="G150:G151"/>
    <mergeCell ref="A152:A154"/>
    <mergeCell ref="B152:B154"/>
    <mergeCell ref="C152:C154"/>
    <mergeCell ref="D152:D154"/>
    <mergeCell ref="E152:E154"/>
    <mergeCell ref="F152:F154"/>
    <mergeCell ref="G152:G154"/>
    <mergeCell ref="A144:A146"/>
    <mergeCell ref="B144:B146"/>
    <mergeCell ref="C144:C146"/>
    <mergeCell ref="D144:D146"/>
    <mergeCell ref="E144:E146"/>
    <mergeCell ref="F144:F146"/>
    <mergeCell ref="G144:G146"/>
    <mergeCell ref="A147:A149"/>
    <mergeCell ref="B147:B149"/>
    <mergeCell ref="C147:C149"/>
    <mergeCell ref="D147:D149"/>
    <mergeCell ref="E147:E149"/>
    <mergeCell ref="F147:F149"/>
    <mergeCell ref="G147:G149"/>
    <mergeCell ref="A137:A140"/>
    <mergeCell ref="B137:B140"/>
    <mergeCell ref="C137:C140"/>
    <mergeCell ref="D137:D140"/>
    <mergeCell ref="E137:E140"/>
    <mergeCell ref="F137:F140"/>
    <mergeCell ref="A141:A143"/>
    <mergeCell ref="B141:B143"/>
    <mergeCell ref="C141:C143"/>
    <mergeCell ref="D141:D143"/>
    <mergeCell ref="E141:E143"/>
    <mergeCell ref="F141:F143"/>
    <mergeCell ref="G141:G143"/>
    <mergeCell ref="A131:A133"/>
    <mergeCell ref="B131:B133"/>
    <mergeCell ref="C131:C133"/>
    <mergeCell ref="D131:D133"/>
    <mergeCell ref="E131:E133"/>
    <mergeCell ref="F131:F133"/>
    <mergeCell ref="G131:G133"/>
    <mergeCell ref="A134:A136"/>
    <mergeCell ref="B134:B136"/>
    <mergeCell ref="C134:C136"/>
    <mergeCell ref="D134:D136"/>
    <mergeCell ref="E134:E136"/>
    <mergeCell ref="F134:F136"/>
    <mergeCell ref="G134:G136"/>
    <mergeCell ref="A123:A127"/>
    <mergeCell ref="B123:B127"/>
    <mergeCell ref="C123:C127"/>
    <mergeCell ref="D123:D127"/>
    <mergeCell ref="E123:E127"/>
    <mergeCell ref="F123:F127"/>
    <mergeCell ref="G124:G125"/>
    <mergeCell ref="G126:G127"/>
    <mergeCell ref="A128:A130"/>
    <mergeCell ref="B128:B130"/>
    <mergeCell ref="C128:C130"/>
    <mergeCell ref="D128:D130"/>
    <mergeCell ref="E128:E130"/>
    <mergeCell ref="F128:F130"/>
    <mergeCell ref="G128:G130"/>
    <mergeCell ref="A118:A119"/>
    <mergeCell ref="B118:B119"/>
    <mergeCell ref="C118:C119"/>
    <mergeCell ref="D118:D119"/>
    <mergeCell ref="E118:E119"/>
    <mergeCell ref="F118:F119"/>
    <mergeCell ref="G118:G119"/>
    <mergeCell ref="A120:A122"/>
    <mergeCell ref="B120:B122"/>
    <mergeCell ref="C120:C122"/>
    <mergeCell ref="D120:D122"/>
    <mergeCell ref="E120:E122"/>
    <mergeCell ref="F120:F122"/>
    <mergeCell ref="G120:G122"/>
    <mergeCell ref="A108:A114"/>
    <mergeCell ref="B108:B114"/>
    <mergeCell ref="C108:C114"/>
    <mergeCell ref="D108:D114"/>
    <mergeCell ref="E108:E114"/>
    <mergeCell ref="F108:F114"/>
    <mergeCell ref="G109:G110"/>
    <mergeCell ref="G111:G112"/>
    <mergeCell ref="G113:G114"/>
    <mergeCell ref="A115:A117"/>
    <mergeCell ref="B115:B117"/>
    <mergeCell ref="C115:C117"/>
    <mergeCell ref="D115:D117"/>
    <mergeCell ref="E115:E117"/>
    <mergeCell ref="F115:F117"/>
    <mergeCell ref="G115:G117"/>
    <mergeCell ref="A102:A104"/>
    <mergeCell ref="B102:B104"/>
    <mergeCell ref="C102:C104"/>
    <mergeCell ref="D102:D104"/>
    <mergeCell ref="E102:E104"/>
    <mergeCell ref="F102:F104"/>
    <mergeCell ref="G102:G104"/>
    <mergeCell ref="A105:A107"/>
    <mergeCell ref="B105:B107"/>
    <mergeCell ref="C105:C107"/>
    <mergeCell ref="D105:D107"/>
    <mergeCell ref="E105:E107"/>
    <mergeCell ref="F105:F107"/>
    <mergeCell ref="A94:A99"/>
    <mergeCell ref="B94:B99"/>
    <mergeCell ref="C94:C99"/>
    <mergeCell ref="D94:D99"/>
    <mergeCell ref="E94:E99"/>
    <mergeCell ref="F94:F99"/>
    <mergeCell ref="A100:A101"/>
    <mergeCell ref="B100:B101"/>
    <mergeCell ref="C100:C101"/>
    <mergeCell ref="D100:D101"/>
    <mergeCell ref="E100:E101"/>
    <mergeCell ref="F100:F101"/>
    <mergeCell ref="G100:G101"/>
    <mergeCell ref="A88:A90"/>
    <mergeCell ref="B88:B90"/>
    <mergeCell ref="C88:C90"/>
    <mergeCell ref="D88:D90"/>
    <mergeCell ref="E88:E90"/>
    <mergeCell ref="F88:F90"/>
    <mergeCell ref="G88:G90"/>
    <mergeCell ref="A91:A93"/>
    <mergeCell ref="B91:B93"/>
    <mergeCell ref="C91:C93"/>
    <mergeCell ref="D91:D93"/>
    <mergeCell ref="E91:E93"/>
    <mergeCell ref="F91:F93"/>
    <mergeCell ref="G91:G93"/>
    <mergeCell ref="A84:A87"/>
    <mergeCell ref="B84:B87"/>
    <mergeCell ref="A67:A73"/>
    <mergeCell ref="B67:B73"/>
    <mergeCell ref="C67:C73"/>
    <mergeCell ref="D67:D73"/>
    <mergeCell ref="E67:E73"/>
    <mergeCell ref="F67:F73"/>
    <mergeCell ref="G68:G69"/>
    <mergeCell ref="G70:G71"/>
    <mergeCell ref="G72:G73"/>
    <mergeCell ref="A77:A83"/>
    <mergeCell ref="B77:B83"/>
    <mergeCell ref="C77:C83"/>
    <mergeCell ref="D77:D83"/>
    <mergeCell ref="E77:E83"/>
    <mergeCell ref="F77:F83"/>
    <mergeCell ref="G78:G79"/>
    <mergeCell ref="G80:G81"/>
    <mergeCell ref="G82:G83"/>
    <mergeCell ref="C84:C87"/>
    <mergeCell ref="D84:D87"/>
    <mergeCell ref="E84:E87"/>
    <mergeCell ref="F84:F87"/>
    <mergeCell ref="G84:G87"/>
    <mergeCell ref="A64:A66"/>
    <mergeCell ref="B64:B66"/>
    <mergeCell ref="C64:C66"/>
    <mergeCell ref="D64:D66"/>
    <mergeCell ref="E64:E66"/>
    <mergeCell ref="F64:F66"/>
    <mergeCell ref="G64:G66"/>
    <mergeCell ref="A74:A76"/>
    <mergeCell ref="B74:B76"/>
    <mergeCell ref="C74:C76"/>
    <mergeCell ref="D74:D76"/>
    <mergeCell ref="E74:E76"/>
    <mergeCell ref="F74:F76"/>
    <mergeCell ref="G74:G76"/>
    <mergeCell ref="A2495:A2496"/>
    <mergeCell ref="B2495:B2496"/>
    <mergeCell ref="C2495:C2496"/>
    <mergeCell ref="D2495:D2496"/>
    <mergeCell ref="E2495:E2496"/>
    <mergeCell ref="F2495:F2496"/>
    <mergeCell ref="G2495:G2496"/>
    <mergeCell ref="A2485:A2486"/>
    <mergeCell ref="B2485:B2486"/>
    <mergeCell ref="C2485:C2486"/>
    <mergeCell ref="D2485:D2486"/>
    <mergeCell ref="E2485:E2486"/>
    <mergeCell ref="F2485:F2486"/>
    <mergeCell ref="G2485:G2486"/>
    <mergeCell ref="A2487:A2489"/>
    <mergeCell ref="B2487:B2489"/>
    <mergeCell ref="C2487:C2489"/>
    <mergeCell ref="D2487:D2489"/>
    <mergeCell ref="F2497:F2498"/>
    <mergeCell ref="G2497:G2498"/>
    <mergeCell ref="A2499:A2501"/>
    <mergeCell ref="B2499:B2501"/>
    <mergeCell ref="C2499:C2501"/>
    <mergeCell ref="D2499:D2501"/>
    <mergeCell ref="E2499:E2501"/>
    <mergeCell ref="F2499:F2501"/>
    <mergeCell ref="G2499:G2501"/>
    <mergeCell ref="A2490:A2492"/>
    <mergeCell ref="B2490:B2492"/>
    <mergeCell ref="C2490:C2492"/>
    <mergeCell ref="D2490:D2492"/>
    <mergeCell ref="E2490:E2492"/>
    <mergeCell ref="F2490:F2492"/>
    <mergeCell ref="G2490:G2492"/>
    <mergeCell ref="A2493:A2494"/>
    <mergeCell ref="B2493:B2494"/>
    <mergeCell ref="C2493:C2494"/>
    <mergeCell ref="D2493:D2494"/>
    <mergeCell ref="E2493:E2494"/>
    <mergeCell ref="F2493:F2494"/>
    <mergeCell ref="G2493:G2494"/>
    <mergeCell ref="E2487:E2489"/>
    <mergeCell ref="F2487:F2489"/>
    <mergeCell ref="G2487:G2489"/>
    <mergeCell ref="A2479:A2481"/>
    <mergeCell ref="B2479:B2481"/>
    <mergeCell ref="C2479:C2481"/>
    <mergeCell ref="D2479:D2481"/>
    <mergeCell ref="E2479:E2481"/>
    <mergeCell ref="F2479:F2481"/>
    <mergeCell ref="G2479:G2480"/>
    <mergeCell ref="A2482:A2484"/>
    <mergeCell ref="B2482:B2484"/>
    <mergeCell ref="C2482:C2484"/>
    <mergeCell ref="D2482:D2484"/>
    <mergeCell ref="E2482:E2484"/>
    <mergeCell ref="F2482:F2484"/>
    <mergeCell ref="G2482:G2484"/>
    <mergeCell ref="A2469:A2473"/>
    <mergeCell ref="B2469:B2473"/>
    <mergeCell ref="C2469:C2473"/>
    <mergeCell ref="D2469:D2473"/>
    <mergeCell ref="E2469:E2473"/>
    <mergeCell ref="F2469:F2473"/>
    <mergeCell ref="G2469:G2473"/>
    <mergeCell ref="A2474:A2478"/>
    <mergeCell ref="B2474:B2478"/>
    <mergeCell ref="C2474:C2478"/>
    <mergeCell ref="D2474:D2478"/>
    <mergeCell ref="E2474:E2478"/>
    <mergeCell ref="F2474:F2478"/>
    <mergeCell ref="G2474:G2478"/>
    <mergeCell ref="A2463:A2465"/>
    <mergeCell ref="B2463:B2465"/>
    <mergeCell ref="C2463:C2465"/>
    <mergeCell ref="D2463:D2465"/>
    <mergeCell ref="E2463:E2465"/>
    <mergeCell ref="F2463:F2465"/>
    <mergeCell ref="G2463:G2465"/>
    <mergeCell ref="A2466:A2468"/>
    <mergeCell ref="B2466:B2468"/>
    <mergeCell ref="C2466:C2468"/>
    <mergeCell ref="D2466:D2468"/>
    <mergeCell ref="E2466:E2468"/>
    <mergeCell ref="F2466:F2468"/>
    <mergeCell ref="G2466:G2468"/>
    <mergeCell ref="A2458:A2459"/>
    <mergeCell ref="B2458:B2459"/>
    <mergeCell ref="C2458:C2459"/>
    <mergeCell ref="D2458:D2459"/>
    <mergeCell ref="E2458:E2459"/>
    <mergeCell ref="F2458:F2459"/>
    <mergeCell ref="G2458:G2459"/>
    <mergeCell ref="A2460:A2462"/>
    <mergeCell ref="B2460:B2462"/>
    <mergeCell ref="C2460:C2462"/>
    <mergeCell ref="D2460:D2462"/>
    <mergeCell ref="E2460:E2462"/>
    <mergeCell ref="F2460:F2462"/>
    <mergeCell ref="G2460:G2462"/>
    <mergeCell ref="A2450:A2454"/>
    <mergeCell ref="B2450:B2454"/>
    <mergeCell ref="C2450:C2454"/>
    <mergeCell ref="D2450:D2454"/>
    <mergeCell ref="E2450:E2454"/>
    <mergeCell ref="F2450:F2454"/>
    <mergeCell ref="G2450:G2454"/>
    <mergeCell ref="A2455:A2457"/>
    <mergeCell ref="B2455:B2457"/>
    <mergeCell ref="C2455:C2457"/>
    <mergeCell ref="D2455:D2457"/>
    <mergeCell ref="E2455:E2457"/>
    <mergeCell ref="F2455:F2457"/>
    <mergeCell ref="G2455:G2457"/>
    <mergeCell ref="A2445:A2447"/>
    <mergeCell ref="B2445:B2447"/>
    <mergeCell ref="C2445:C2447"/>
    <mergeCell ref="D2445:D2447"/>
    <mergeCell ref="E2445:E2447"/>
    <mergeCell ref="F2445:F2447"/>
    <mergeCell ref="G2445:G2447"/>
    <mergeCell ref="A2448:A2449"/>
    <mergeCell ref="B2448:B2449"/>
    <mergeCell ref="C2448:C2449"/>
    <mergeCell ref="D2448:D2449"/>
    <mergeCell ref="E2448:E2449"/>
    <mergeCell ref="F2448:F2449"/>
    <mergeCell ref="G2448:G2449"/>
    <mergeCell ref="B2440:B2441"/>
    <mergeCell ref="C2440:C2441"/>
    <mergeCell ref="D2440:D2441"/>
    <mergeCell ref="E2440:E2441"/>
    <mergeCell ref="F2440:F2441"/>
    <mergeCell ref="G2440:G2441"/>
    <mergeCell ref="A2442:A2444"/>
    <mergeCell ref="B2442:B2444"/>
    <mergeCell ref="C2442:C2444"/>
    <mergeCell ref="D2442:D2444"/>
    <mergeCell ref="E2442:E2444"/>
    <mergeCell ref="F2442:F2444"/>
    <mergeCell ref="G2442:G2444"/>
    <mergeCell ref="A2440:A2441"/>
    <mergeCell ref="C1119:C1121"/>
    <mergeCell ref="D1119:D1121"/>
    <mergeCell ref="E1119:E1121"/>
    <mergeCell ref="F1119:F1121"/>
    <mergeCell ref="G1119:G1121"/>
    <mergeCell ref="A1122:A1124"/>
    <mergeCell ref="B1122:B1124"/>
    <mergeCell ref="C1122:C1124"/>
    <mergeCell ref="D1122:D1124"/>
    <mergeCell ref="E1122:E1124"/>
    <mergeCell ref="F1122:F1124"/>
    <mergeCell ref="G1122:G1124"/>
    <mergeCell ref="D1128:D1130"/>
    <mergeCell ref="A1113:A1115"/>
    <mergeCell ref="B1113:B1115"/>
    <mergeCell ref="C1113:C1115"/>
    <mergeCell ref="D1113:D1115"/>
    <mergeCell ref="E1113:E1115"/>
    <mergeCell ref="F1113:F1115"/>
    <mergeCell ref="G1113:G1115"/>
    <mergeCell ref="A1116:A1118"/>
    <mergeCell ref="B1116:B1118"/>
    <mergeCell ref="C1116:C1118"/>
    <mergeCell ref="D1116:D1118"/>
    <mergeCell ref="E1116:E1118"/>
    <mergeCell ref="F1116:F1118"/>
    <mergeCell ref="G1116:G1118"/>
    <mergeCell ref="A1107:A1109"/>
    <mergeCell ref="B1107:B1109"/>
    <mergeCell ref="C1107:C1109"/>
    <mergeCell ref="D1107:D1109"/>
    <mergeCell ref="E1107:E1109"/>
    <mergeCell ref="F1107:F1109"/>
    <mergeCell ref="G1107:G1109"/>
    <mergeCell ref="A1110:A1112"/>
    <mergeCell ref="B1110:B1112"/>
    <mergeCell ref="C1110:C1112"/>
    <mergeCell ref="D1110:D1112"/>
    <mergeCell ref="E1110:E1112"/>
    <mergeCell ref="F1110:F1112"/>
    <mergeCell ref="G1110:G1112"/>
    <mergeCell ref="A1099:A1103"/>
    <mergeCell ref="B1099:B1103"/>
    <mergeCell ref="C1099:C1103"/>
    <mergeCell ref="D1099:D1103"/>
    <mergeCell ref="E1099:E1103"/>
    <mergeCell ref="F1099:F1103"/>
    <mergeCell ref="G1099:G1103"/>
    <mergeCell ref="A1104:A1106"/>
    <mergeCell ref="B1104:B1106"/>
    <mergeCell ref="C1104:C1106"/>
    <mergeCell ref="D1104:D1106"/>
    <mergeCell ref="E1104:E1106"/>
    <mergeCell ref="F1104:F1106"/>
    <mergeCell ref="G1104:G1106"/>
    <mergeCell ref="A1091:A1093"/>
    <mergeCell ref="B1091:B1093"/>
    <mergeCell ref="C1091:C1093"/>
    <mergeCell ref="D1091:D1093"/>
    <mergeCell ref="E1091:E1093"/>
    <mergeCell ref="F1091:F1093"/>
    <mergeCell ref="G1091:G1093"/>
    <mergeCell ref="A1094:A1098"/>
    <mergeCell ref="B1094:B1098"/>
    <mergeCell ref="C1094:C1098"/>
    <mergeCell ref="D1094:D1098"/>
    <mergeCell ref="E1094:E1098"/>
    <mergeCell ref="F1094:F1098"/>
    <mergeCell ref="G1094:G1098"/>
    <mergeCell ref="F1082:F1084"/>
    <mergeCell ref="G1082:G1084"/>
    <mergeCell ref="A1085:A1087"/>
    <mergeCell ref="B1085:B1087"/>
    <mergeCell ref="C1085:C1087"/>
    <mergeCell ref="D1085:D1087"/>
    <mergeCell ref="E1085:E1087"/>
    <mergeCell ref="F1085:F1087"/>
    <mergeCell ref="G1085:G1087"/>
    <mergeCell ref="A1088:A1090"/>
    <mergeCell ref="B1088:B1090"/>
    <mergeCell ref="C1088:C1090"/>
    <mergeCell ref="D1088:D1090"/>
    <mergeCell ref="E1088:E1090"/>
    <mergeCell ref="F1088:F1090"/>
    <mergeCell ref="G1088:G1090"/>
    <mergeCell ref="B1082:B1084"/>
    <mergeCell ref="C1082:C1084"/>
    <mergeCell ref="A3068:A3070"/>
    <mergeCell ref="B3068:B3070"/>
    <mergeCell ref="C3068:C3070"/>
    <mergeCell ref="D3068:D3070"/>
    <mergeCell ref="E3068:E3070"/>
    <mergeCell ref="F3068:F3070"/>
    <mergeCell ref="G3068:G3070"/>
    <mergeCell ref="A1073:A1075"/>
    <mergeCell ref="B1073:B1075"/>
    <mergeCell ref="C1073:C1075"/>
    <mergeCell ref="D1073:D1075"/>
    <mergeCell ref="E1073:E1075"/>
    <mergeCell ref="F1073:F1075"/>
    <mergeCell ref="G1073:G1075"/>
    <mergeCell ref="A1076:A1078"/>
    <mergeCell ref="B1076:B1078"/>
    <mergeCell ref="C1076:C1078"/>
    <mergeCell ref="D1076:D1078"/>
    <mergeCell ref="E1076:E1078"/>
    <mergeCell ref="F1076:F1078"/>
    <mergeCell ref="G1077:G1078"/>
    <mergeCell ref="A1079:A1081"/>
    <mergeCell ref="B1079:B1081"/>
    <mergeCell ref="C1079:C1081"/>
    <mergeCell ref="D1079:D1081"/>
    <mergeCell ref="E1079:E1081"/>
    <mergeCell ref="A3057:A3061"/>
    <mergeCell ref="B3057:B3061"/>
    <mergeCell ref="C3057:C3061"/>
    <mergeCell ref="D3057:D3061"/>
    <mergeCell ref="E3057:E3061"/>
    <mergeCell ref="F3057:F3061"/>
    <mergeCell ref="G3057:G3061"/>
    <mergeCell ref="A3065:A3067"/>
    <mergeCell ref="B3065:B3067"/>
    <mergeCell ref="C3065:C3067"/>
    <mergeCell ref="D3065:D3067"/>
    <mergeCell ref="E3065:E3067"/>
    <mergeCell ref="F3065:F3067"/>
    <mergeCell ref="G3065:G3067"/>
    <mergeCell ref="B2699:B2703"/>
    <mergeCell ref="C2699:C2703"/>
    <mergeCell ref="D2699:D2703"/>
    <mergeCell ref="E2699:E2703"/>
    <mergeCell ref="F2699:F2703"/>
    <mergeCell ref="A2704:A2714"/>
    <mergeCell ref="B2704:B2714"/>
    <mergeCell ref="C2704:C2714"/>
    <mergeCell ref="D2704:D2714"/>
    <mergeCell ref="A2699:A2703"/>
    <mergeCell ref="A3062:A3064"/>
    <mergeCell ref="B3062:B3064"/>
    <mergeCell ref="C3062:C3064"/>
    <mergeCell ref="D3062:D3064"/>
    <mergeCell ref="E3062:E3064"/>
    <mergeCell ref="F3062:F3064"/>
    <mergeCell ref="G3062:G3064"/>
    <mergeCell ref="A3054:A3056"/>
    <mergeCell ref="B3054:B3056"/>
    <mergeCell ref="C3054:C3056"/>
    <mergeCell ref="D3054:D3056"/>
    <mergeCell ref="E3054:E3056"/>
    <mergeCell ref="F3054:F3056"/>
    <mergeCell ref="G3054:G3056"/>
    <mergeCell ref="D2666:D2668"/>
    <mergeCell ref="E2666:E2668"/>
    <mergeCell ref="C2663:C2665"/>
    <mergeCell ref="E2657:E2659"/>
    <mergeCell ref="F2657:F2659"/>
    <mergeCell ref="G2657:G2659"/>
    <mergeCell ref="A2660:A2662"/>
    <mergeCell ref="B2660:B2662"/>
    <mergeCell ref="C2660:C2662"/>
    <mergeCell ref="D2660:D2662"/>
    <mergeCell ref="B2663:B2665"/>
    <mergeCell ref="D2663:D2665"/>
    <mergeCell ref="E2663:E2665"/>
    <mergeCell ref="F2663:F2665"/>
    <mergeCell ref="G2666:G2668"/>
    <mergeCell ref="G2663:G2665"/>
    <mergeCell ref="F2671:F2672"/>
    <mergeCell ref="G2671:G2672"/>
    <mergeCell ref="A2624:A2633"/>
    <mergeCell ref="B2624:B2633"/>
    <mergeCell ref="C2624:C2633"/>
    <mergeCell ref="D2624:D2633"/>
    <mergeCell ref="E2624:E2633"/>
    <mergeCell ref="F2624:F2633"/>
    <mergeCell ref="F2615:F2617"/>
    <mergeCell ref="G2615:G2617"/>
    <mergeCell ref="E2573:E2575"/>
    <mergeCell ref="E2597:E2599"/>
    <mergeCell ref="F2597:F2599"/>
    <mergeCell ref="G2679:G2681"/>
    <mergeCell ref="F2666:F2668"/>
    <mergeCell ref="B2673:B2675"/>
    <mergeCell ref="C2673:C2675"/>
    <mergeCell ref="D2673:D2675"/>
    <mergeCell ref="E2673:E2675"/>
    <mergeCell ref="F2673:F2675"/>
    <mergeCell ref="G2673:G2675"/>
    <mergeCell ref="A2634:A2636"/>
    <mergeCell ref="B2634:B2636"/>
    <mergeCell ref="C2634:C2636"/>
    <mergeCell ref="D2634:D2636"/>
    <mergeCell ref="E2634:E2636"/>
    <mergeCell ref="F2634:F2636"/>
    <mergeCell ref="G2634:G2636"/>
    <mergeCell ref="A2663:A2665"/>
    <mergeCell ref="A2649:A2650"/>
    <mergeCell ref="B2649:B2650"/>
    <mergeCell ref="B2657:B2659"/>
    <mergeCell ref="A2651:A2653"/>
    <mergeCell ref="B2651:B2653"/>
    <mergeCell ref="C2651:C2653"/>
    <mergeCell ref="D2651:D2653"/>
    <mergeCell ref="E2651:E2653"/>
    <mergeCell ref="F2651:F2653"/>
    <mergeCell ref="G2651:G2653"/>
    <mergeCell ref="A2654:A2656"/>
    <mergeCell ref="B2654:B2656"/>
    <mergeCell ref="C2654:C2656"/>
    <mergeCell ref="D2654:D2656"/>
    <mergeCell ref="E2654:E2656"/>
    <mergeCell ref="F2654:F2656"/>
    <mergeCell ref="G2654:G2656"/>
    <mergeCell ref="C2649:C2650"/>
    <mergeCell ref="D2649:D2650"/>
    <mergeCell ref="E2649:E2650"/>
    <mergeCell ref="F2649:F2650"/>
    <mergeCell ref="G2649:G2650"/>
    <mergeCell ref="A2558:A2566"/>
    <mergeCell ref="B2558:B2566"/>
    <mergeCell ref="C2558:C2566"/>
    <mergeCell ref="D2558:D2566"/>
    <mergeCell ref="E2558:E2566"/>
    <mergeCell ref="F2558:F2566"/>
    <mergeCell ref="G2559:G2560"/>
    <mergeCell ref="G2561:G2562"/>
    <mergeCell ref="G2563:G2564"/>
    <mergeCell ref="E2660:E2662"/>
    <mergeCell ref="F2660:F2662"/>
    <mergeCell ref="G2660:G2662"/>
    <mergeCell ref="G2565:G2566"/>
    <mergeCell ref="A2567:A2568"/>
    <mergeCell ref="B2567:B2568"/>
    <mergeCell ref="C2567:C2568"/>
    <mergeCell ref="D2567:D2568"/>
    <mergeCell ref="E2567:E2568"/>
    <mergeCell ref="F2567:F2568"/>
    <mergeCell ref="G2567:G2568"/>
    <mergeCell ref="A2640:A2642"/>
    <mergeCell ref="B2640:B2642"/>
    <mergeCell ref="C2640:C2642"/>
    <mergeCell ref="D2640:D2642"/>
    <mergeCell ref="E2640:E2642"/>
    <mergeCell ref="F2640:F2642"/>
    <mergeCell ref="A2646:A2648"/>
    <mergeCell ref="B2646:B2648"/>
    <mergeCell ref="C2646:C2648"/>
    <mergeCell ref="D2646:D2648"/>
    <mergeCell ref="E2646:E2648"/>
    <mergeCell ref="F2646:F2648"/>
    <mergeCell ref="F2538:F2540"/>
    <mergeCell ref="G2538:G2540"/>
    <mergeCell ref="A2552:A2554"/>
    <mergeCell ref="B2552:B2554"/>
    <mergeCell ref="C2552:C2554"/>
    <mergeCell ref="D2552:D2554"/>
    <mergeCell ref="E2552:E2554"/>
    <mergeCell ref="F2552:F2554"/>
    <mergeCell ref="G2552:G2554"/>
    <mergeCell ref="A2555:A2557"/>
    <mergeCell ref="B2555:B2557"/>
    <mergeCell ref="C2555:C2557"/>
    <mergeCell ref="D2555:D2557"/>
    <mergeCell ref="E2555:E2557"/>
    <mergeCell ref="F2555:F2557"/>
    <mergeCell ref="G2555:G2557"/>
    <mergeCell ref="A2548:A2549"/>
    <mergeCell ref="B2548:B2549"/>
    <mergeCell ref="C2548:C2549"/>
    <mergeCell ref="D2548:D2549"/>
    <mergeCell ref="E2548:E2549"/>
    <mergeCell ref="F2548:F2549"/>
    <mergeCell ref="G2548:G2549"/>
    <mergeCell ref="A2550:A2551"/>
    <mergeCell ref="B2550:B2551"/>
    <mergeCell ref="C2550:C2551"/>
    <mergeCell ref="D2550:D2551"/>
    <mergeCell ref="E2550:E2551"/>
    <mergeCell ref="F2550:F2551"/>
    <mergeCell ref="G2550:G2551"/>
    <mergeCell ref="C1214:C1215"/>
    <mergeCell ref="A1200:A1201"/>
    <mergeCell ref="A1193:A1195"/>
    <mergeCell ref="B1193:B1195"/>
    <mergeCell ref="C1193:C1195"/>
    <mergeCell ref="D1193:D1195"/>
    <mergeCell ref="B1198:B1199"/>
    <mergeCell ref="A1211:A1213"/>
    <mergeCell ref="B1211:B1213"/>
    <mergeCell ref="A2543:A2544"/>
    <mergeCell ref="B2543:B2544"/>
    <mergeCell ref="C2543:C2544"/>
    <mergeCell ref="D2543:D2544"/>
    <mergeCell ref="E2543:E2544"/>
    <mergeCell ref="F2543:F2544"/>
    <mergeCell ref="G2543:G2544"/>
    <mergeCell ref="A2545:A2547"/>
    <mergeCell ref="B2545:B2547"/>
    <mergeCell ref="C2545:C2547"/>
    <mergeCell ref="D2545:D2547"/>
    <mergeCell ref="E2545:E2547"/>
    <mergeCell ref="F2545:F2547"/>
    <mergeCell ref="G2545:G2547"/>
    <mergeCell ref="B2533:B2535"/>
    <mergeCell ref="C2533:C2535"/>
    <mergeCell ref="D2533:D2535"/>
    <mergeCell ref="E2533:E2535"/>
    <mergeCell ref="A2538:A2540"/>
    <mergeCell ref="B2538:B2540"/>
    <mergeCell ref="C2538:C2540"/>
    <mergeCell ref="D2538:D2540"/>
    <mergeCell ref="E2538:E2540"/>
    <mergeCell ref="B1209:B1210"/>
    <mergeCell ref="C1209:C1210"/>
    <mergeCell ref="D1209:D1210"/>
    <mergeCell ref="A1177:A1179"/>
    <mergeCell ref="B1177:B1179"/>
    <mergeCell ref="C1177:C1179"/>
    <mergeCell ref="D1177:D1179"/>
    <mergeCell ref="E1177:E1179"/>
    <mergeCell ref="F1177:F1179"/>
    <mergeCell ref="G1177:G1178"/>
    <mergeCell ref="A1180:A1184"/>
    <mergeCell ref="B1180:B1184"/>
    <mergeCell ref="C1180:C1184"/>
    <mergeCell ref="D1180:D1184"/>
    <mergeCell ref="E1180:E1184"/>
    <mergeCell ref="F1180:F1184"/>
    <mergeCell ref="A1207:A1208"/>
    <mergeCell ref="B1200:B1201"/>
    <mergeCell ref="A1185:A1187"/>
    <mergeCell ref="B1185:B1187"/>
    <mergeCell ref="C1185:C1187"/>
    <mergeCell ref="D1185:D1187"/>
    <mergeCell ref="E1185:E1187"/>
    <mergeCell ref="F1185:F1187"/>
    <mergeCell ref="G1185:G1187"/>
    <mergeCell ref="E2576:E2579"/>
    <mergeCell ref="B2587:B2589"/>
    <mergeCell ref="C2587:C2589"/>
    <mergeCell ref="C1250:C1251"/>
    <mergeCell ref="D1250:D1251"/>
    <mergeCell ref="A1378:A1380"/>
    <mergeCell ref="C1443:C1444"/>
    <mergeCell ref="D1443:D1444"/>
    <mergeCell ref="E1443:E1444"/>
    <mergeCell ref="F1443:F1444"/>
    <mergeCell ref="G1443:G1444"/>
    <mergeCell ref="A1445:A1447"/>
    <mergeCell ref="B1445:B1447"/>
    <mergeCell ref="G1171:G1173"/>
    <mergeCell ref="A1174:A1176"/>
    <mergeCell ref="B1174:B1176"/>
    <mergeCell ref="C1174:C1176"/>
    <mergeCell ref="D1174:D1176"/>
    <mergeCell ref="E1174:E1176"/>
    <mergeCell ref="F1174:F1176"/>
    <mergeCell ref="G1174:G1176"/>
    <mergeCell ref="G1243:G1245"/>
    <mergeCell ref="G1236:G1238"/>
    <mergeCell ref="A1226:A1227"/>
    <mergeCell ref="B1226:B1227"/>
    <mergeCell ref="A1214:A1215"/>
    <mergeCell ref="A1216:A1218"/>
    <mergeCell ref="D1211:D1213"/>
    <mergeCell ref="B1207:B1208"/>
    <mergeCell ref="C1207:C1208"/>
    <mergeCell ref="D1216:D1218"/>
    <mergeCell ref="D1207:D1208"/>
    <mergeCell ref="C2621:C2623"/>
    <mergeCell ref="D2621:D2623"/>
    <mergeCell ref="E2621:E2623"/>
    <mergeCell ref="F2621:F2623"/>
    <mergeCell ref="G2621:G2623"/>
    <mergeCell ref="A2536:A2537"/>
    <mergeCell ref="A2643:A2645"/>
    <mergeCell ref="B2643:B2645"/>
    <mergeCell ref="C2643:C2645"/>
    <mergeCell ref="D2643:D2645"/>
    <mergeCell ref="E2643:E2645"/>
    <mergeCell ref="F2643:F2645"/>
    <mergeCell ref="G2643:G2645"/>
    <mergeCell ref="F2573:F2575"/>
    <mergeCell ref="D2587:D2589"/>
    <mergeCell ref="A2528:A2529"/>
    <mergeCell ref="B2528:B2529"/>
    <mergeCell ref="C2528:C2529"/>
    <mergeCell ref="D2528:D2529"/>
    <mergeCell ref="G2528:G2529"/>
    <mergeCell ref="A2530:A2532"/>
    <mergeCell ref="B2530:B2532"/>
    <mergeCell ref="C2530:C2532"/>
    <mergeCell ref="D2530:D2532"/>
    <mergeCell ref="B2536:B2537"/>
    <mergeCell ref="D2541:D2542"/>
    <mergeCell ref="E2541:E2542"/>
    <mergeCell ref="F2541:F2542"/>
    <mergeCell ref="G2541:G2542"/>
    <mergeCell ref="A2541:A2542"/>
    <mergeCell ref="B2541:B2542"/>
    <mergeCell ref="C2541:C2542"/>
    <mergeCell ref="D2608:D2610"/>
    <mergeCell ref="F2608:F2610"/>
    <mergeCell ref="B2604:B2606"/>
    <mergeCell ref="C2604:C2606"/>
    <mergeCell ref="D2604:D2606"/>
    <mergeCell ref="G2604:G2606"/>
    <mergeCell ref="A2437:A2439"/>
    <mergeCell ref="B2437:B2439"/>
    <mergeCell ref="C2437:C2439"/>
    <mergeCell ref="D2437:D2439"/>
    <mergeCell ref="E2437:E2439"/>
    <mergeCell ref="F2437:F2439"/>
    <mergeCell ref="G2646:G2648"/>
    <mergeCell ref="G2640:G2642"/>
    <mergeCell ref="G2628:G2630"/>
    <mergeCell ref="G2631:G2633"/>
    <mergeCell ref="A2637:A2639"/>
    <mergeCell ref="B2637:B2639"/>
    <mergeCell ref="C2637:C2639"/>
    <mergeCell ref="D2637:D2639"/>
    <mergeCell ref="E2637:E2639"/>
    <mergeCell ref="F2637:F2639"/>
    <mergeCell ref="G2637:G2638"/>
    <mergeCell ref="A2618:A2620"/>
    <mergeCell ref="B2618:B2620"/>
    <mergeCell ref="C2618:C2620"/>
    <mergeCell ref="D2618:D2620"/>
    <mergeCell ref="E2618:E2620"/>
    <mergeCell ref="F2618:F2620"/>
    <mergeCell ref="G2618:G2620"/>
    <mergeCell ref="A2621:A2623"/>
    <mergeCell ref="B2621:B2623"/>
    <mergeCell ref="C2612:C2614"/>
    <mergeCell ref="D2600:D2602"/>
    <mergeCell ref="E2600:E2602"/>
    <mergeCell ref="E2604:E2606"/>
    <mergeCell ref="E2530:E2532"/>
    <mergeCell ref="F2530:F2532"/>
    <mergeCell ref="G2530:G2532"/>
    <mergeCell ref="G1070:G1071"/>
    <mergeCell ref="A1132:A1133"/>
    <mergeCell ref="E1159:E1161"/>
    <mergeCell ref="G1132:G1133"/>
    <mergeCell ref="A1146:A1148"/>
    <mergeCell ref="D2612:D2614"/>
    <mergeCell ref="E2612:E2614"/>
    <mergeCell ref="F2612:F2614"/>
    <mergeCell ref="G2612:G2614"/>
    <mergeCell ref="G2526:G2527"/>
    <mergeCell ref="C2536:C2537"/>
    <mergeCell ref="D2536:D2537"/>
    <mergeCell ref="E2536:E2537"/>
    <mergeCell ref="F2536:F2537"/>
    <mergeCell ref="F1165:F1167"/>
    <mergeCell ref="G1165:G1167"/>
    <mergeCell ref="F1159:F1161"/>
    <mergeCell ref="G1159:G1161"/>
    <mergeCell ref="A1168:A1170"/>
    <mergeCell ref="B1168:B1170"/>
    <mergeCell ref="C1168:C1170"/>
    <mergeCell ref="G2536:G2537"/>
    <mergeCell ref="A1171:A1173"/>
    <mergeCell ref="B1171:B1173"/>
    <mergeCell ref="C1171:C1173"/>
    <mergeCell ref="A1156:A1158"/>
    <mergeCell ref="B1156:B1158"/>
    <mergeCell ref="C1156:C1158"/>
    <mergeCell ref="D1156:D1158"/>
    <mergeCell ref="E1156:E1158"/>
    <mergeCell ref="F1156:F1158"/>
    <mergeCell ref="G1156:G1158"/>
    <mergeCell ref="A1159:A1161"/>
    <mergeCell ref="B1159:B1161"/>
    <mergeCell ref="C1159:C1161"/>
    <mergeCell ref="D1159:D1161"/>
    <mergeCell ref="A1205:A1206"/>
    <mergeCell ref="A1162:A1164"/>
    <mergeCell ref="B1162:B1164"/>
    <mergeCell ref="C1162:C1164"/>
    <mergeCell ref="D1162:D1164"/>
    <mergeCell ref="E1162:E1164"/>
    <mergeCell ref="F1162:F1164"/>
    <mergeCell ref="G1162:G1164"/>
    <mergeCell ref="A1165:A1167"/>
    <mergeCell ref="B1165:B1167"/>
    <mergeCell ref="C1165:C1167"/>
    <mergeCell ref="D1165:D1167"/>
    <mergeCell ref="E1165:E1167"/>
    <mergeCell ref="D1171:D1173"/>
    <mergeCell ref="F2726:F2728"/>
    <mergeCell ref="G2726:G2728"/>
    <mergeCell ref="F2594:F2596"/>
    <mergeCell ref="G2594:G2596"/>
    <mergeCell ref="E2615:E2617"/>
    <mergeCell ref="G2625:G2627"/>
    <mergeCell ref="G2418:G2420"/>
    <mergeCell ref="A2766:A2768"/>
    <mergeCell ref="B2766:B2768"/>
    <mergeCell ref="C2766:C2768"/>
    <mergeCell ref="D2766:D2768"/>
    <mergeCell ref="E2766:E2768"/>
    <mergeCell ref="G2724:G2725"/>
    <mergeCell ref="A2726:A2728"/>
    <mergeCell ref="A2744:A2745"/>
    <mergeCell ref="B2744:B2745"/>
    <mergeCell ref="C2744:C2745"/>
    <mergeCell ref="D2744:D2745"/>
    <mergeCell ref="E2744:E2745"/>
    <mergeCell ref="F2744:F2745"/>
    <mergeCell ref="G2730:G2731"/>
    <mergeCell ref="C2726:C2728"/>
    <mergeCell ref="D2726:D2728"/>
    <mergeCell ref="D2741:D2743"/>
    <mergeCell ref="E2741:E2743"/>
    <mergeCell ref="E2752:E2753"/>
    <mergeCell ref="F2752:F2753"/>
    <mergeCell ref="A2612:A2614"/>
    <mergeCell ref="G2608:G2610"/>
    <mergeCell ref="A2573:A2575"/>
    <mergeCell ref="G2766:G2768"/>
    <mergeCell ref="F2741:F2743"/>
    <mergeCell ref="F1067:F1068"/>
    <mergeCell ref="G1067:G1068"/>
    <mergeCell ref="F1226:F1227"/>
    <mergeCell ref="G1226:G1227"/>
    <mergeCell ref="F1203:F1204"/>
    <mergeCell ref="E1061:E1065"/>
    <mergeCell ref="F1061:F1065"/>
    <mergeCell ref="G1061:G1065"/>
    <mergeCell ref="E1214:E1215"/>
    <mergeCell ref="F1214:F1215"/>
    <mergeCell ref="G1168:G1170"/>
    <mergeCell ref="F1079:F1081"/>
    <mergeCell ref="G1079:G1081"/>
    <mergeCell ref="E1230:E1232"/>
    <mergeCell ref="F1230:F1232"/>
    <mergeCell ref="E2418:E2420"/>
    <mergeCell ref="F2418:F2420"/>
    <mergeCell ref="F1216:F1218"/>
    <mergeCell ref="G1216:G1218"/>
    <mergeCell ref="F1140:F1142"/>
    <mergeCell ref="F1146:F1148"/>
    <mergeCell ref="E1209:E1210"/>
    <mergeCell ref="F1209:F1210"/>
    <mergeCell ref="G1150:G1152"/>
    <mergeCell ref="F1528:F1533"/>
    <mergeCell ref="G1627:G1629"/>
    <mergeCell ref="E1646:E1647"/>
    <mergeCell ref="F1646:F1647"/>
    <mergeCell ref="G1646:G1647"/>
    <mergeCell ref="E1798:E1800"/>
    <mergeCell ref="F1798:F1800"/>
    <mergeCell ref="G1885:G1886"/>
    <mergeCell ref="E1058:E1060"/>
    <mergeCell ref="F1058:F1060"/>
    <mergeCell ref="G1058:G1060"/>
    <mergeCell ref="F1055:F1057"/>
    <mergeCell ref="G1193:G1195"/>
    <mergeCell ref="G1200:G1201"/>
    <mergeCell ref="G1207:G1208"/>
    <mergeCell ref="G1138:G1139"/>
    <mergeCell ref="G1140:G1142"/>
    <mergeCell ref="G1146:G1148"/>
    <mergeCell ref="E1168:E1170"/>
    <mergeCell ref="E2415:E2417"/>
    <mergeCell ref="F2415:F2417"/>
    <mergeCell ref="G2415:G2417"/>
    <mergeCell ref="G1233:G1235"/>
    <mergeCell ref="E1224:E1225"/>
    <mergeCell ref="F1224:F1225"/>
    <mergeCell ref="G1224:G1225"/>
    <mergeCell ref="G1230:G1232"/>
    <mergeCell ref="E1132:E1133"/>
    <mergeCell ref="F1132:F1133"/>
    <mergeCell ref="E1069:E1071"/>
    <mergeCell ref="F1069:F1071"/>
    <mergeCell ref="E1211:E1213"/>
    <mergeCell ref="F1211:F1213"/>
    <mergeCell ref="E1216:E1218"/>
    <mergeCell ref="E1207:E1208"/>
    <mergeCell ref="F1207:F1208"/>
    <mergeCell ref="E1171:E1173"/>
    <mergeCell ref="F1171:F1173"/>
    <mergeCell ref="E1146:E1148"/>
    <mergeCell ref="E1140:E1142"/>
    <mergeCell ref="G45:G47"/>
    <mergeCell ref="F1546:F1547"/>
    <mergeCell ref="G1546:G1547"/>
    <mergeCell ref="G1574:G1576"/>
    <mergeCell ref="G1534:G1536"/>
    <mergeCell ref="G1440:G1442"/>
    <mergeCell ref="F1456:F1457"/>
    <mergeCell ref="G1456:G1457"/>
    <mergeCell ref="G1487:G1488"/>
    <mergeCell ref="G1396:G1397"/>
    <mergeCell ref="G1398:G1399"/>
    <mergeCell ref="G1400:G1401"/>
    <mergeCell ref="F1458:F1460"/>
    <mergeCell ref="G1458:G1460"/>
    <mergeCell ref="C2412:C2413"/>
    <mergeCell ref="E57:E59"/>
    <mergeCell ref="F57:F59"/>
    <mergeCell ref="E60:E62"/>
    <mergeCell ref="F60:F62"/>
    <mergeCell ref="D1226:D1227"/>
    <mergeCell ref="G2412:G2413"/>
    <mergeCell ref="C1243:C1245"/>
    <mergeCell ref="G1203:G1204"/>
    <mergeCell ref="D1198:D1199"/>
    <mergeCell ref="C1198:C1199"/>
    <mergeCell ref="D1200:D1201"/>
    <mergeCell ref="E2412:E2413"/>
    <mergeCell ref="F2412:F2413"/>
    <mergeCell ref="E1221:E1223"/>
    <mergeCell ref="C1226:C1227"/>
    <mergeCell ref="C1211:C1213"/>
    <mergeCell ref="G278:G280"/>
    <mergeCell ref="A1058:A1060"/>
    <mergeCell ref="B1058:B1060"/>
    <mergeCell ref="C1058:C1060"/>
    <mergeCell ref="D1058:D1060"/>
    <mergeCell ref="E51:E52"/>
    <mergeCell ref="F51:F52"/>
    <mergeCell ref="C57:C59"/>
    <mergeCell ref="A57:A59"/>
    <mergeCell ref="B51:B52"/>
    <mergeCell ref="C51:C52"/>
    <mergeCell ref="B57:B59"/>
    <mergeCell ref="F53:F55"/>
    <mergeCell ref="C45:C47"/>
    <mergeCell ref="F45:F47"/>
    <mergeCell ref="D53:D55"/>
    <mergeCell ref="G53:G55"/>
    <mergeCell ref="E53:E55"/>
    <mergeCell ref="A287:A288"/>
    <mergeCell ref="B287:B288"/>
    <mergeCell ref="C287:C288"/>
    <mergeCell ref="D287:D288"/>
    <mergeCell ref="A291:A292"/>
    <mergeCell ref="B291:B292"/>
    <mergeCell ref="C291:C292"/>
    <mergeCell ref="D291:D292"/>
    <mergeCell ref="E291:E292"/>
    <mergeCell ref="F291:F292"/>
    <mergeCell ref="G291:G292"/>
    <mergeCell ref="A293:A295"/>
    <mergeCell ref="B293:B295"/>
    <mergeCell ref="C293:C295"/>
    <mergeCell ref="G51:G52"/>
    <mergeCell ref="B42:B44"/>
    <mergeCell ref="C42:C44"/>
    <mergeCell ref="D42:D44"/>
    <mergeCell ref="A1051:A1053"/>
    <mergeCell ref="E1051:E1053"/>
    <mergeCell ref="F1051:F1053"/>
    <mergeCell ref="D51:D52"/>
    <mergeCell ref="A45:A47"/>
    <mergeCell ref="F278:F280"/>
    <mergeCell ref="G1051:G1053"/>
    <mergeCell ref="G1144:G1145"/>
    <mergeCell ref="A18:A20"/>
    <mergeCell ref="B18:B20"/>
    <mergeCell ref="C18:C20"/>
    <mergeCell ref="D18:D20"/>
    <mergeCell ref="E18:E20"/>
    <mergeCell ref="F18:F20"/>
    <mergeCell ref="G18:G20"/>
    <mergeCell ref="G34:G36"/>
    <mergeCell ref="D34:D36"/>
    <mergeCell ref="E37:E38"/>
    <mergeCell ref="F37:F38"/>
    <mergeCell ref="G37:G38"/>
    <mergeCell ref="D1132:D1133"/>
    <mergeCell ref="F1138:F1139"/>
    <mergeCell ref="A1140:A1142"/>
    <mergeCell ref="B1140:B1142"/>
    <mergeCell ref="C1140:C1142"/>
    <mergeCell ref="D1140:D1142"/>
    <mergeCell ref="C1069:C1071"/>
    <mergeCell ref="D1069:D1071"/>
    <mergeCell ref="A1082:A1084"/>
    <mergeCell ref="A13:A14"/>
    <mergeCell ref="A1203:A1204"/>
    <mergeCell ref="B1203:B1204"/>
    <mergeCell ref="C1203:C1204"/>
    <mergeCell ref="D1203:D1204"/>
    <mergeCell ref="E1203:E1204"/>
    <mergeCell ref="A24:A25"/>
    <mergeCell ref="B24:B25"/>
    <mergeCell ref="C24:C25"/>
    <mergeCell ref="D24:D25"/>
    <mergeCell ref="E24:E25"/>
    <mergeCell ref="F24:F25"/>
    <mergeCell ref="G24:G25"/>
    <mergeCell ref="G21:G23"/>
    <mergeCell ref="D28:D30"/>
    <mergeCell ref="E28:E30"/>
    <mergeCell ref="F28:F30"/>
    <mergeCell ref="G28:G30"/>
    <mergeCell ref="A31:A33"/>
    <mergeCell ref="B31:B33"/>
    <mergeCell ref="C31:C33"/>
    <mergeCell ref="D31:D33"/>
    <mergeCell ref="E31:E33"/>
    <mergeCell ref="F31:F33"/>
    <mergeCell ref="G32:G33"/>
    <mergeCell ref="A39:A41"/>
    <mergeCell ref="B39:B41"/>
    <mergeCell ref="C39:C41"/>
    <mergeCell ref="D39:D41"/>
    <mergeCell ref="E39:E41"/>
    <mergeCell ref="F39:F41"/>
    <mergeCell ref="G39:G41"/>
    <mergeCell ref="D1168:D1170"/>
    <mergeCell ref="F1168:F1170"/>
    <mergeCell ref="D1144:D1145"/>
    <mergeCell ref="E1144:E1145"/>
    <mergeCell ref="F1144:F1145"/>
    <mergeCell ref="A278:A280"/>
    <mergeCell ref="B278:B280"/>
    <mergeCell ref="C278:C280"/>
    <mergeCell ref="D278:D280"/>
    <mergeCell ref="E278:E280"/>
    <mergeCell ref="A1061:A1065"/>
    <mergeCell ref="B1061:B1065"/>
    <mergeCell ref="C1061:C1065"/>
    <mergeCell ref="D1061:D1065"/>
    <mergeCell ref="C1055:C1057"/>
    <mergeCell ref="D1055:D1057"/>
    <mergeCell ref="E1055:E1057"/>
    <mergeCell ref="A1055:A1057"/>
    <mergeCell ref="B1055:B1057"/>
    <mergeCell ref="A1144:A1145"/>
    <mergeCell ref="B1144:B1145"/>
    <mergeCell ref="C1144:C1145"/>
    <mergeCell ref="B1051:B1053"/>
    <mergeCell ref="C1051:C1053"/>
    <mergeCell ref="D1051:D1053"/>
    <mergeCell ref="A1150:A1152"/>
    <mergeCell ref="B1150:B1152"/>
    <mergeCell ref="C1150:C1152"/>
    <mergeCell ref="D1150:D1152"/>
    <mergeCell ref="E1150:E1152"/>
    <mergeCell ref="F1150:F1152"/>
    <mergeCell ref="A1153:A1154"/>
    <mergeCell ref="F9:F11"/>
    <mergeCell ref="A21:A23"/>
    <mergeCell ref="D1082:D1084"/>
    <mergeCell ref="E1082:E1084"/>
    <mergeCell ref="A49:A50"/>
    <mergeCell ref="B49:B50"/>
    <mergeCell ref="A60:A62"/>
    <mergeCell ref="A15:A17"/>
    <mergeCell ref="B15:B17"/>
    <mergeCell ref="C15:C17"/>
    <mergeCell ref="D15:D17"/>
    <mergeCell ref="E15:E17"/>
    <mergeCell ref="F15:F17"/>
    <mergeCell ref="G15:G17"/>
    <mergeCell ref="A51:A52"/>
    <mergeCell ref="C34:C36"/>
    <mergeCell ref="G26:G27"/>
    <mergeCell ref="A37:A38"/>
    <mergeCell ref="B37:B38"/>
    <mergeCell ref="C37:C38"/>
    <mergeCell ref="D37:D38"/>
    <mergeCell ref="C49:C50"/>
    <mergeCell ref="D49:D50"/>
    <mergeCell ref="G49:G50"/>
    <mergeCell ref="A28:A30"/>
    <mergeCell ref="B28:B30"/>
    <mergeCell ref="C28:C30"/>
    <mergeCell ref="E42:E44"/>
    <mergeCell ref="F42:F44"/>
    <mergeCell ref="G42:G44"/>
    <mergeCell ref="A42:A44"/>
    <mergeCell ref="A34:A36"/>
    <mergeCell ref="D60:D62"/>
    <mergeCell ref="G60:G62"/>
    <mergeCell ref="B60:B62"/>
    <mergeCell ref="G57:G59"/>
    <mergeCell ref="B34:B36"/>
    <mergeCell ref="F49:F50"/>
    <mergeCell ref="E49:E50"/>
    <mergeCell ref="C21:C23"/>
    <mergeCell ref="D21:D23"/>
    <mergeCell ref="E21:E23"/>
    <mergeCell ref="B45:B47"/>
    <mergeCell ref="D45:D47"/>
    <mergeCell ref="E45:E47"/>
    <mergeCell ref="E34:E36"/>
    <mergeCell ref="F34:F36"/>
    <mergeCell ref="A1:K1"/>
    <mergeCell ref="A9:A11"/>
    <mergeCell ref="C7:C8"/>
    <mergeCell ref="C9:C11"/>
    <mergeCell ref="D7:D8"/>
    <mergeCell ref="D9:D11"/>
    <mergeCell ref="A7:A8"/>
    <mergeCell ref="B7:B8"/>
    <mergeCell ref="B9:B11"/>
    <mergeCell ref="F7:F8"/>
    <mergeCell ref="E7:E8"/>
    <mergeCell ref="E9:E11"/>
    <mergeCell ref="G7:G8"/>
    <mergeCell ref="G9:G11"/>
    <mergeCell ref="E26:E27"/>
    <mergeCell ref="F26:F27"/>
    <mergeCell ref="F21:F23"/>
    <mergeCell ref="G1055:G1057"/>
    <mergeCell ref="F1200:F1201"/>
    <mergeCell ref="E1205:E1206"/>
    <mergeCell ref="A1067:A1068"/>
    <mergeCell ref="B1067:B1068"/>
    <mergeCell ref="C1067:C1068"/>
    <mergeCell ref="D1067:D1068"/>
    <mergeCell ref="E1067:E1068"/>
    <mergeCell ref="A1069:A1071"/>
    <mergeCell ref="B1132:B1133"/>
    <mergeCell ref="B13:B14"/>
    <mergeCell ref="C13:C14"/>
    <mergeCell ref="D13:D14"/>
    <mergeCell ref="E13:E14"/>
    <mergeCell ref="F13:F14"/>
    <mergeCell ref="G13:G14"/>
    <mergeCell ref="A26:A27"/>
    <mergeCell ref="B26:B27"/>
    <mergeCell ref="C26:C27"/>
    <mergeCell ref="D26:D27"/>
    <mergeCell ref="B21:B23"/>
    <mergeCell ref="A53:A55"/>
    <mergeCell ref="B53:B55"/>
    <mergeCell ref="C53:C55"/>
    <mergeCell ref="D57:D59"/>
    <mergeCell ref="C60:C62"/>
    <mergeCell ref="E1200:E1201"/>
    <mergeCell ref="C1200:C1201"/>
    <mergeCell ref="B1205:B1206"/>
    <mergeCell ref="C1205:C1206"/>
    <mergeCell ref="D1205:D1206"/>
    <mergeCell ref="C1132:C1133"/>
    <mergeCell ref="C3078:K3078"/>
    <mergeCell ref="C3079:K3079"/>
    <mergeCell ref="E2421:E2425"/>
    <mergeCell ref="F2421:F2425"/>
    <mergeCell ref="G2421:G2425"/>
    <mergeCell ref="E2608:E2610"/>
    <mergeCell ref="A2608:A2610"/>
    <mergeCell ref="B2608:B2610"/>
    <mergeCell ref="C2608:C2610"/>
    <mergeCell ref="F2604:F2606"/>
    <mergeCell ref="F2600:F2602"/>
    <mergeCell ref="G2600:G2602"/>
    <mergeCell ref="A2600:A2602"/>
    <mergeCell ref="B2600:B2602"/>
    <mergeCell ref="C2600:C2602"/>
    <mergeCell ref="E2694:E2698"/>
    <mergeCell ref="F2694:F2698"/>
    <mergeCell ref="G3018:G3020"/>
    <mergeCell ref="A3021:A3023"/>
    <mergeCell ref="D2421:D2425"/>
    <mergeCell ref="E2587:E2589"/>
    <mergeCell ref="E3004:E3006"/>
    <mergeCell ref="C3076:K3076"/>
    <mergeCell ref="G2749:G2751"/>
    <mergeCell ref="F2704:F2714"/>
    <mergeCell ref="C2594:C2596"/>
    <mergeCell ref="D2594:D2596"/>
    <mergeCell ref="A2584:A2586"/>
    <mergeCell ref="B2584:B2586"/>
    <mergeCell ref="C2584:C2586"/>
    <mergeCell ref="D2584:D2586"/>
    <mergeCell ref="G2584:G2586"/>
    <mergeCell ref="E1228:E1229"/>
    <mergeCell ref="F1228:F1229"/>
    <mergeCell ref="G1228:G1229"/>
    <mergeCell ref="G2744:G2745"/>
    <mergeCell ref="A2746:A2748"/>
    <mergeCell ref="B2746:B2748"/>
    <mergeCell ref="C2746:C2748"/>
    <mergeCell ref="D2746:D2748"/>
    <mergeCell ref="E2746:E2748"/>
    <mergeCell ref="B2738:B2740"/>
    <mergeCell ref="C2738:C2740"/>
    <mergeCell ref="D2738:D2740"/>
    <mergeCell ref="E2738:E2740"/>
    <mergeCell ref="G1214:G1215"/>
    <mergeCell ref="G1239:G1241"/>
    <mergeCell ref="B1214:B1215"/>
    <mergeCell ref="G2738:G2740"/>
    <mergeCell ref="D2418:D2420"/>
    <mergeCell ref="D2412:D2413"/>
    <mergeCell ref="E2584:E2586"/>
    <mergeCell ref="F2584:F2586"/>
    <mergeCell ref="B2573:B2575"/>
    <mergeCell ref="C2573:C2575"/>
    <mergeCell ref="E1243:E1245"/>
    <mergeCell ref="F1243:F1245"/>
    <mergeCell ref="D2573:D2575"/>
    <mergeCell ref="G1222:G1223"/>
    <mergeCell ref="D1221:D1223"/>
    <mergeCell ref="D1528:D1533"/>
    <mergeCell ref="E1528:E1533"/>
    <mergeCell ref="D2715:D2725"/>
    <mergeCell ref="E2726:E2728"/>
    <mergeCell ref="G1247:G1249"/>
    <mergeCell ref="B1146:B1148"/>
    <mergeCell ref="C1146:C1148"/>
    <mergeCell ref="D1146:D1148"/>
    <mergeCell ref="B1216:B1218"/>
    <mergeCell ref="D1153:D1154"/>
    <mergeCell ref="E1153:E1154"/>
    <mergeCell ref="F1153:F1154"/>
    <mergeCell ref="E1193:E1195"/>
    <mergeCell ref="F1193:F1195"/>
    <mergeCell ref="A1247:A1249"/>
    <mergeCell ref="F1189:F1191"/>
    <mergeCell ref="D1243:D1245"/>
    <mergeCell ref="A1228:A1229"/>
    <mergeCell ref="B1228:B1229"/>
    <mergeCell ref="C1228:C1229"/>
    <mergeCell ref="E1247:E1249"/>
    <mergeCell ref="F1247:F1249"/>
    <mergeCell ref="G1153:G1154"/>
    <mergeCell ref="B1243:B1245"/>
    <mergeCell ref="F1221:F1223"/>
    <mergeCell ref="E1233:E1241"/>
    <mergeCell ref="F1233:F1241"/>
    <mergeCell ref="A1209:A1210"/>
    <mergeCell ref="G1189:G1191"/>
    <mergeCell ref="D1228:D1229"/>
    <mergeCell ref="A1233:A1241"/>
    <mergeCell ref="B1233:B1241"/>
    <mergeCell ref="C1233:C1241"/>
    <mergeCell ref="A1198:A1199"/>
    <mergeCell ref="D1214:D1215"/>
    <mergeCell ref="A1224:A1225"/>
    <mergeCell ref="G3030:G3032"/>
    <mergeCell ref="F3033:F3035"/>
    <mergeCell ref="G3033:G3035"/>
    <mergeCell ref="A2597:A2599"/>
    <mergeCell ref="E1198:E1199"/>
    <mergeCell ref="F1198:F1199"/>
    <mergeCell ref="G1198:G1199"/>
    <mergeCell ref="C1216:C1218"/>
    <mergeCell ref="A1230:A1232"/>
    <mergeCell ref="C3021:C3023"/>
    <mergeCell ref="D3021:D3023"/>
    <mergeCell ref="E3021:E3023"/>
    <mergeCell ref="F3021:F3023"/>
    <mergeCell ref="G3021:G3023"/>
    <mergeCell ref="D2591:D2593"/>
    <mergeCell ref="E2591:E2593"/>
    <mergeCell ref="F2591:F2593"/>
    <mergeCell ref="G2591:G2593"/>
    <mergeCell ref="A3008:A3012"/>
    <mergeCell ref="A2749:A2751"/>
    <mergeCell ref="F2749:F2751"/>
    <mergeCell ref="A3004:A3006"/>
    <mergeCell ref="B3004:B3006"/>
    <mergeCell ref="C3004:C3006"/>
    <mergeCell ref="D3004:D3006"/>
    <mergeCell ref="A2576:A2579"/>
    <mergeCell ref="B3008:B3012"/>
    <mergeCell ref="C3008:C3012"/>
    <mergeCell ref="G2741:G2743"/>
    <mergeCell ref="A2715:A2725"/>
    <mergeCell ref="B2715:B2725"/>
    <mergeCell ref="C2715:C2725"/>
    <mergeCell ref="F2766:F2768"/>
    <mergeCell ref="D3008:D3012"/>
    <mergeCell ref="E3008:E3012"/>
    <mergeCell ref="F3008:F3012"/>
    <mergeCell ref="G3008:G3012"/>
    <mergeCell ref="C2694:C2698"/>
    <mergeCell ref="D2694:D2698"/>
    <mergeCell ref="B2612:B2614"/>
    <mergeCell ref="F3004:F3006"/>
    <mergeCell ref="G3004:G3006"/>
    <mergeCell ref="A2812:A2816"/>
    <mergeCell ref="A2694:A2698"/>
    <mergeCell ref="B2694:B2698"/>
    <mergeCell ref="A2838:A2840"/>
    <mergeCell ref="B2838:B2840"/>
    <mergeCell ref="C2838:C2840"/>
    <mergeCell ref="D2838:D2840"/>
    <mergeCell ref="B2967:B2969"/>
    <mergeCell ref="C2967:C2969"/>
    <mergeCell ref="D2967:D2969"/>
    <mergeCell ref="E2967:E2969"/>
    <mergeCell ref="A2738:A2740"/>
    <mergeCell ref="B2726:B2728"/>
    <mergeCell ref="E2704:E2714"/>
    <mergeCell ref="B2749:B2751"/>
    <mergeCell ref="C2749:C2751"/>
    <mergeCell ref="D2749:D2751"/>
    <mergeCell ref="E2749:E2751"/>
    <mergeCell ref="G2907:G2909"/>
    <mergeCell ref="D2904:D2906"/>
    <mergeCell ref="E2904:E2906"/>
    <mergeCell ref="F2904:F2906"/>
    <mergeCell ref="A3018:A3020"/>
    <mergeCell ref="B3018:B3020"/>
    <mergeCell ref="C3018:C3020"/>
    <mergeCell ref="D3018:D3020"/>
    <mergeCell ref="E3018:E3020"/>
    <mergeCell ref="F3018:F3020"/>
    <mergeCell ref="G2705:G2706"/>
    <mergeCell ref="G2707:G2708"/>
    <mergeCell ref="F2738:F2740"/>
    <mergeCell ref="E2715:E2725"/>
    <mergeCell ref="F2715:F2725"/>
    <mergeCell ref="G2720:G2721"/>
    <mergeCell ref="G2722:G2723"/>
    <mergeCell ref="G2736:G2737"/>
    <mergeCell ref="G2709:G2710"/>
    <mergeCell ref="G2838:G2840"/>
    <mergeCell ref="F2827:F2829"/>
    <mergeCell ref="G2836:G2837"/>
    <mergeCell ref="G2898:G2900"/>
    <mergeCell ref="E2877:E2879"/>
    <mergeCell ref="E2838:E2840"/>
    <mergeCell ref="A2729:A2737"/>
    <mergeCell ref="B2729:B2737"/>
    <mergeCell ref="C2729:C2737"/>
    <mergeCell ref="D2729:D2737"/>
    <mergeCell ref="E2729:E2737"/>
    <mergeCell ref="F2729:F2737"/>
    <mergeCell ref="G2732:G2733"/>
    <mergeCell ref="G2734:G2735"/>
    <mergeCell ref="F2746:F2748"/>
    <mergeCell ref="G2746:G2748"/>
    <mergeCell ref="C2741:C2743"/>
    <mergeCell ref="A3024:A3026"/>
    <mergeCell ref="B3024:B3026"/>
    <mergeCell ref="C3024:C3026"/>
    <mergeCell ref="D3024:D3026"/>
    <mergeCell ref="E3024:E3026"/>
    <mergeCell ref="F3024:F3026"/>
    <mergeCell ref="G3024:G3026"/>
    <mergeCell ref="G2716:G2717"/>
    <mergeCell ref="G2718:G2719"/>
    <mergeCell ref="A2752:A2753"/>
    <mergeCell ref="B2752:B2753"/>
    <mergeCell ref="B2521:B2523"/>
    <mergeCell ref="E3033:E3035"/>
    <mergeCell ref="A3030:A3032"/>
    <mergeCell ref="B3030:B3032"/>
    <mergeCell ref="C3030:C3032"/>
    <mergeCell ref="D3030:D3032"/>
    <mergeCell ref="C2752:C2753"/>
    <mergeCell ref="G2752:G2753"/>
    <mergeCell ref="A2580:A2581"/>
    <mergeCell ref="F2576:F2579"/>
    <mergeCell ref="G2576:G2579"/>
    <mergeCell ref="B3027:B3029"/>
    <mergeCell ref="C3027:C3029"/>
    <mergeCell ref="D3027:D3029"/>
    <mergeCell ref="E3027:E3029"/>
    <mergeCell ref="F3027:F3029"/>
    <mergeCell ref="G3027:G3029"/>
    <mergeCell ref="A2741:A2743"/>
    <mergeCell ref="B2741:B2743"/>
    <mergeCell ref="F2587:F2589"/>
    <mergeCell ref="G2587:G2589"/>
    <mergeCell ref="B2421:B2425"/>
    <mergeCell ref="A2777:A2781"/>
    <mergeCell ref="B2777:B2781"/>
    <mergeCell ref="C2525:C2527"/>
    <mergeCell ref="A2521:A2523"/>
    <mergeCell ref="C2521:C2523"/>
    <mergeCell ref="G2573:G2575"/>
    <mergeCell ref="E2521:E2523"/>
    <mergeCell ref="G2533:G2535"/>
    <mergeCell ref="F2515:F2516"/>
    <mergeCell ref="A2515:A2516"/>
    <mergeCell ref="B2515:B2516"/>
    <mergeCell ref="G2515:G2516"/>
    <mergeCell ref="D2521:D2523"/>
    <mergeCell ref="A2518:A2520"/>
    <mergeCell ref="B2518:B2520"/>
    <mergeCell ref="C2518:C2520"/>
    <mergeCell ref="D2518:D2520"/>
    <mergeCell ref="B2576:B2579"/>
    <mergeCell ref="C2576:C2579"/>
    <mergeCell ref="G2597:G2599"/>
    <mergeCell ref="E2594:E2596"/>
    <mergeCell ref="F2506:F2508"/>
    <mergeCell ref="G2506:G2508"/>
    <mergeCell ref="C2510:C2511"/>
    <mergeCell ref="A2604:A2606"/>
    <mergeCell ref="F2429:F2435"/>
    <mergeCell ref="B2597:B2599"/>
    <mergeCell ref="A2615:A2617"/>
    <mergeCell ref="B2615:B2617"/>
    <mergeCell ref="C2615:C2617"/>
    <mergeCell ref="D2615:D2617"/>
    <mergeCell ref="C3040:C3042"/>
    <mergeCell ref="D3040:D3042"/>
    <mergeCell ref="E3040:E3042"/>
    <mergeCell ref="F3040:F3042"/>
    <mergeCell ref="G3040:G3042"/>
    <mergeCell ref="D2576:D2579"/>
    <mergeCell ref="A2591:A2593"/>
    <mergeCell ref="B2580:B2581"/>
    <mergeCell ref="C2580:C2581"/>
    <mergeCell ref="D2580:D2581"/>
    <mergeCell ref="E2580:E2581"/>
    <mergeCell ref="F2580:F2581"/>
    <mergeCell ref="G2580:G2581"/>
    <mergeCell ref="C2597:C2599"/>
    <mergeCell ref="D2597:D2599"/>
    <mergeCell ref="B2591:B2593"/>
    <mergeCell ref="C2591:C2593"/>
    <mergeCell ref="B2594:B2596"/>
    <mergeCell ref="C3036:C3038"/>
    <mergeCell ref="D3036:D3038"/>
    <mergeCell ref="E3036:E3038"/>
    <mergeCell ref="F3036:F3038"/>
    <mergeCell ref="G3036:G3038"/>
    <mergeCell ref="B3021:B3023"/>
    <mergeCell ref="D2752:D2753"/>
    <mergeCell ref="B3036:B3038"/>
    <mergeCell ref="A3027:A3029"/>
    <mergeCell ref="A3033:A3035"/>
    <mergeCell ref="B3033:B3035"/>
    <mergeCell ref="C3033:C3035"/>
    <mergeCell ref="D3033:D3035"/>
    <mergeCell ref="A3040:A3042"/>
    <mergeCell ref="A2415:A2417"/>
    <mergeCell ref="B2415:B2417"/>
    <mergeCell ref="C2415:C2417"/>
    <mergeCell ref="D2415:D2417"/>
    <mergeCell ref="F2518:F2520"/>
    <mergeCell ref="G2518:G2520"/>
    <mergeCell ref="A1221:A1223"/>
    <mergeCell ref="B1221:B1223"/>
    <mergeCell ref="C1221:C1223"/>
    <mergeCell ref="F1250:F1251"/>
    <mergeCell ref="B1247:B1249"/>
    <mergeCell ref="C2421:C2425"/>
    <mergeCell ref="B2412:B2413"/>
    <mergeCell ref="A2506:A2508"/>
    <mergeCell ref="F1566:F1570"/>
    <mergeCell ref="B2506:B2508"/>
    <mergeCell ref="C2506:C2508"/>
    <mergeCell ref="D2506:D2508"/>
    <mergeCell ref="G1250:G1251"/>
    <mergeCell ref="E1577:E1579"/>
    <mergeCell ref="F1577:F1579"/>
    <mergeCell ref="G1577:G1579"/>
    <mergeCell ref="A1577:A1579"/>
    <mergeCell ref="B1250:B1251"/>
    <mergeCell ref="E1250:E1251"/>
    <mergeCell ref="E1226:E1227"/>
    <mergeCell ref="G2437:G2438"/>
    <mergeCell ref="A1566:A1570"/>
    <mergeCell ref="E1375:E1377"/>
    <mergeCell ref="F1375:F1377"/>
    <mergeCell ref="G1375:G1377"/>
    <mergeCell ref="A1456:A1457"/>
    <mergeCell ref="B3040:B3042"/>
    <mergeCell ref="A2594:A2596"/>
    <mergeCell ref="A2587:A2589"/>
    <mergeCell ref="A2570:A2571"/>
    <mergeCell ref="B2570:B2571"/>
    <mergeCell ref="C2570:C2571"/>
    <mergeCell ref="D2570:D2571"/>
    <mergeCell ref="E2570:E2571"/>
    <mergeCell ref="F2570:F2571"/>
    <mergeCell ref="G2570:G2571"/>
    <mergeCell ref="B1517:B1521"/>
    <mergeCell ref="C1517:C1521"/>
    <mergeCell ref="D1517:D1521"/>
    <mergeCell ref="E1517:E1521"/>
    <mergeCell ref="F1517:F1521"/>
    <mergeCell ref="E3030:E3032"/>
    <mergeCell ref="F3030:F3032"/>
    <mergeCell ref="C1548:C1552"/>
    <mergeCell ref="D1548:D1552"/>
    <mergeCell ref="E1548:E1552"/>
    <mergeCell ref="F1548:F1552"/>
    <mergeCell ref="E1566:E1570"/>
    <mergeCell ref="E2506:E2508"/>
    <mergeCell ref="A1517:A1521"/>
    <mergeCell ref="D1522:D1527"/>
    <mergeCell ref="E1522:E1527"/>
    <mergeCell ref="F1522:F1527"/>
    <mergeCell ref="A1548:A1552"/>
    <mergeCell ref="B1548:B1552"/>
    <mergeCell ref="A1574:A1576"/>
    <mergeCell ref="B1574:B1576"/>
    <mergeCell ref="D1577:D1579"/>
    <mergeCell ref="B1456:B1457"/>
    <mergeCell ref="C1456:C1457"/>
    <mergeCell ref="D1456:D1457"/>
    <mergeCell ref="E1456:E1457"/>
    <mergeCell ref="A1528:A1533"/>
    <mergeCell ref="B1528:B1533"/>
    <mergeCell ref="C1528:C1533"/>
    <mergeCell ref="G1211:G1213"/>
    <mergeCell ref="A1250:A1251"/>
    <mergeCell ref="A3036:A3038"/>
    <mergeCell ref="E2525:E2527"/>
    <mergeCell ref="F2525:F2527"/>
    <mergeCell ref="A2533:A2535"/>
    <mergeCell ref="A1522:A1527"/>
    <mergeCell ref="B1522:B1527"/>
    <mergeCell ref="C1522:C1527"/>
    <mergeCell ref="C1574:C1576"/>
    <mergeCell ref="D1574:D1576"/>
    <mergeCell ref="E1574:E1576"/>
    <mergeCell ref="F1574:F1576"/>
    <mergeCell ref="A1553:A1555"/>
    <mergeCell ref="B1553:B1555"/>
    <mergeCell ref="C1553:C1555"/>
    <mergeCell ref="D1553:D1555"/>
    <mergeCell ref="E1553:E1555"/>
    <mergeCell ref="F1553:F1555"/>
    <mergeCell ref="G1553:G1555"/>
    <mergeCell ref="F2521:F2523"/>
    <mergeCell ref="F2533:F2535"/>
    <mergeCell ref="C2515:C2516"/>
    <mergeCell ref="A2510:A2511"/>
    <mergeCell ref="B2510:B2511"/>
    <mergeCell ref="A3044:A3048"/>
    <mergeCell ref="B3044:B3048"/>
    <mergeCell ref="C3044:C3048"/>
    <mergeCell ref="D3044:D3048"/>
    <mergeCell ref="E3044:E3048"/>
    <mergeCell ref="F3044:F3048"/>
    <mergeCell ref="G3044:G3048"/>
    <mergeCell ref="A3050:A3052"/>
    <mergeCell ref="B3050:B3052"/>
    <mergeCell ref="C3050:C3052"/>
    <mergeCell ref="D3050:D3052"/>
    <mergeCell ref="E3050:E3052"/>
    <mergeCell ref="F3050:F3052"/>
    <mergeCell ref="G3050:G3052"/>
    <mergeCell ref="D2525:D2527"/>
    <mergeCell ref="A1583:A1584"/>
    <mergeCell ref="B1583:B1584"/>
    <mergeCell ref="C1583:C1584"/>
    <mergeCell ref="D1583:D1584"/>
    <mergeCell ref="E1583:E1584"/>
    <mergeCell ref="F1583:F1584"/>
    <mergeCell ref="G1583:G1584"/>
    <mergeCell ref="A3014:A3016"/>
    <mergeCell ref="B3014:B3016"/>
    <mergeCell ref="C3014:C3016"/>
    <mergeCell ref="D3014:D3016"/>
    <mergeCell ref="E3014:E3016"/>
    <mergeCell ref="F3014:F3016"/>
    <mergeCell ref="G3014:G3016"/>
    <mergeCell ref="A2427:A2428"/>
    <mergeCell ref="B2427:B2428"/>
    <mergeCell ref="C2427:C2428"/>
    <mergeCell ref="A1571:A1573"/>
    <mergeCell ref="A3072:A3074"/>
    <mergeCell ref="B3072:B3074"/>
    <mergeCell ref="G3072:G3074"/>
    <mergeCell ref="C3072:C3074"/>
    <mergeCell ref="D3072:D3074"/>
    <mergeCell ref="E3072:E3074"/>
    <mergeCell ref="F3072:F3074"/>
    <mergeCell ref="F2838:F2840"/>
    <mergeCell ref="A281:A283"/>
    <mergeCell ref="B281:B283"/>
    <mergeCell ref="C281:C283"/>
    <mergeCell ref="D281:D283"/>
    <mergeCell ref="E281:E283"/>
    <mergeCell ref="F281:F283"/>
    <mergeCell ref="G281:G283"/>
    <mergeCell ref="E287:E288"/>
    <mergeCell ref="F287:F288"/>
    <mergeCell ref="G287:G288"/>
    <mergeCell ref="A289:A290"/>
    <mergeCell ref="B289:B290"/>
    <mergeCell ref="C289:C290"/>
    <mergeCell ref="D289:D290"/>
    <mergeCell ref="E289:E290"/>
    <mergeCell ref="F289:F290"/>
    <mergeCell ref="G289:G290"/>
    <mergeCell ref="A284:A286"/>
    <mergeCell ref="B284:B286"/>
    <mergeCell ref="C284:C286"/>
    <mergeCell ref="D284:D286"/>
    <mergeCell ref="E284:E286"/>
    <mergeCell ref="F284:F286"/>
    <mergeCell ref="G284:G286"/>
    <mergeCell ref="D293:D295"/>
    <mergeCell ref="E293:E295"/>
    <mergeCell ref="F293:F295"/>
    <mergeCell ref="G293:G295"/>
    <mergeCell ref="A316:A328"/>
    <mergeCell ref="B316:B328"/>
    <mergeCell ref="C316:C328"/>
    <mergeCell ref="D316:D328"/>
    <mergeCell ref="E316:E328"/>
    <mergeCell ref="F316:F328"/>
    <mergeCell ref="G317:G319"/>
    <mergeCell ref="G320:G322"/>
    <mergeCell ref="G323:G325"/>
    <mergeCell ref="G326:G328"/>
    <mergeCell ref="A296:A308"/>
    <mergeCell ref="B296:B308"/>
    <mergeCell ref="C296:C308"/>
    <mergeCell ref="D296:D308"/>
    <mergeCell ref="E296:E308"/>
    <mergeCell ref="F296:F308"/>
    <mergeCell ref="G297:G299"/>
    <mergeCell ref="G300:G302"/>
    <mergeCell ref="G303:G305"/>
    <mergeCell ref="G306:G308"/>
    <mergeCell ref="A329:A344"/>
    <mergeCell ref="B329:B344"/>
    <mergeCell ref="C329:C344"/>
    <mergeCell ref="D329:D344"/>
    <mergeCell ref="E329:E344"/>
    <mergeCell ref="F329:F344"/>
    <mergeCell ref="B309:B315"/>
    <mergeCell ref="C309:C315"/>
    <mergeCell ref="D309:D315"/>
    <mergeCell ref="E309:E315"/>
    <mergeCell ref="F309:F315"/>
    <mergeCell ref="G310:G312"/>
    <mergeCell ref="G313:G315"/>
    <mergeCell ref="A309:A315"/>
    <mergeCell ref="G330:G332"/>
    <mergeCell ref="G333:G335"/>
    <mergeCell ref="G336:G338"/>
    <mergeCell ref="G339:G341"/>
    <mergeCell ref="G342:G344"/>
    <mergeCell ref="A361:A367"/>
    <mergeCell ref="F345:F360"/>
    <mergeCell ref="G346:G348"/>
    <mergeCell ref="G349:G351"/>
    <mergeCell ref="G352:G354"/>
    <mergeCell ref="G355:G357"/>
    <mergeCell ref="G358:G360"/>
    <mergeCell ref="A345:A360"/>
    <mergeCell ref="B345:B360"/>
    <mergeCell ref="C345:C360"/>
    <mergeCell ref="D345:D360"/>
    <mergeCell ref="E345:E360"/>
    <mergeCell ref="B361:B367"/>
    <mergeCell ref="C361:C367"/>
    <mergeCell ref="D361:D367"/>
    <mergeCell ref="E361:E367"/>
    <mergeCell ref="F361:F367"/>
    <mergeCell ref="G362:G363"/>
    <mergeCell ref="G364:G365"/>
    <mergeCell ref="B374:B376"/>
    <mergeCell ref="C374:C376"/>
    <mergeCell ref="D374:D376"/>
    <mergeCell ref="E374:E376"/>
    <mergeCell ref="F374:F376"/>
    <mergeCell ref="G374:G376"/>
    <mergeCell ref="A368:A370"/>
    <mergeCell ref="B368:B370"/>
    <mergeCell ref="C368:C370"/>
    <mergeCell ref="D368:D370"/>
    <mergeCell ref="E368:E370"/>
    <mergeCell ref="F368:F370"/>
    <mergeCell ref="G368:G370"/>
    <mergeCell ref="C1230:C1232"/>
    <mergeCell ref="G1134:G1136"/>
    <mergeCell ref="A1138:A1139"/>
    <mergeCell ref="B1138:B1139"/>
    <mergeCell ref="C1138:C1139"/>
    <mergeCell ref="D1138:D1139"/>
    <mergeCell ref="E1138:E1139"/>
    <mergeCell ref="A1219:A1220"/>
    <mergeCell ref="B1219:B1220"/>
    <mergeCell ref="C1219:C1220"/>
    <mergeCell ref="D1219:D1220"/>
    <mergeCell ref="E1219:E1220"/>
    <mergeCell ref="F1219:F1220"/>
    <mergeCell ref="G1219:G1220"/>
    <mergeCell ref="A378:A380"/>
    <mergeCell ref="B378:B380"/>
    <mergeCell ref="C378:C380"/>
    <mergeCell ref="D378:D380"/>
    <mergeCell ref="B1153:B1154"/>
    <mergeCell ref="C1153:C1154"/>
    <mergeCell ref="G1205:G1206"/>
    <mergeCell ref="B1069:B1071"/>
    <mergeCell ref="F1134:F1136"/>
    <mergeCell ref="A1134:A1136"/>
    <mergeCell ref="B1134:B1136"/>
    <mergeCell ref="C1134:C1136"/>
    <mergeCell ref="D1134:D1136"/>
    <mergeCell ref="E1134:E1136"/>
    <mergeCell ref="C1534:C1536"/>
    <mergeCell ref="D1534:D1536"/>
    <mergeCell ref="E1534:E1536"/>
    <mergeCell ref="F1534:F1536"/>
    <mergeCell ref="G366:G367"/>
    <mergeCell ref="A1189:A1191"/>
    <mergeCell ref="B1189:B1191"/>
    <mergeCell ref="F1205:F1206"/>
    <mergeCell ref="B1224:B1225"/>
    <mergeCell ref="C1224:C1225"/>
    <mergeCell ref="D1224:D1225"/>
    <mergeCell ref="D1233:D1241"/>
    <mergeCell ref="D1230:D1232"/>
    <mergeCell ref="C1247:C1249"/>
    <mergeCell ref="D1247:D1249"/>
    <mergeCell ref="A1243:A1245"/>
    <mergeCell ref="C1189:C1191"/>
    <mergeCell ref="D1189:D1191"/>
    <mergeCell ref="E1189:E1191"/>
    <mergeCell ref="G1209:G1210"/>
    <mergeCell ref="A371:A373"/>
    <mergeCell ref="B371:B373"/>
    <mergeCell ref="A374:A376"/>
    <mergeCell ref="C371:C373"/>
    <mergeCell ref="D371:D373"/>
    <mergeCell ref="E371:E373"/>
    <mergeCell ref="F371:F373"/>
    <mergeCell ref="G371:G373"/>
    <mergeCell ref="B1230:B1232"/>
    <mergeCell ref="A1561:A1565"/>
    <mergeCell ref="B1561:B1565"/>
    <mergeCell ref="C1561:C1565"/>
    <mergeCell ref="D1561:D1565"/>
    <mergeCell ref="E1561:E1565"/>
    <mergeCell ref="F1561:F1565"/>
    <mergeCell ref="B1566:B1570"/>
    <mergeCell ref="C1566:C1570"/>
    <mergeCell ref="D1566:D1570"/>
    <mergeCell ref="A1537:A1545"/>
    <mergeCell ref="B1537:B1545"/>
    <mergeCell ref="C1537:C1545"/>
    <mergeCell ref="D1537:D1545"/>
    <mergeCell ref="E1537:E1545"/>
    <mergeCell ref="F1537:F1545"/>
    <mergeCell ref="G1538:G1539"/>
    <mergeCell ref="G1540:G1541"/>
    <mergeCell ref="G1542:G1543"/>
    <mergeCell ref="G1544:G1545"/>
    <mergeCell ref="A1546:A1547"/>
    <mergeCell ref="B1546:B1547"/>
    <mergeCell ref="C1546:C1547"/>
    <mergeCell ref="D1546:D1547"/>
    <mergeCell ref="E1546:E1547"/>
    <mergeCell ref="A389:A390"/>
    <mergeCell ref="B389:B390"/>
    <mergeCell ref="B1571:B1573"/>
    <mergeCell ref="C1571:C1573"/>
    <mergeCell ref="D1571:D1573"/>
    <mergeCell ref="E1571:E1573"/>
    <mergeCell ref="F1571:F1573"/>
    <mergeCell ref="G1571:G1573"/>
    <mergeCell ref="A1580:A1582"/>
    <mergeCell ref="B1580:B1582"/>
    <mergeCell ref="C1580:C1582"/>
    <mergeCell ref="D1580:D1582"/>
    <mergeCell ref="E1580:E1582"/>
    <mergeCell ref="F1580:F1582"/>
    <mergeCell ref="G1580:G1582"/>
    <mergeCell ref="A2418:A2420"/>
    <mergeCell ref="B2418:B2420"/>
    <mergeCell ref="C2418:C2420"/>
    <mergeCell ref="A2421:A2425"/>
    <mergeCell ref="F1585:F1595"/>
    <mergeCell ref="B1577:B1579"/>
    <mergeCell ref="C1577:C1579"/>
    <mergeCell ref="G1597:G1598"/>
    <mergeCell ref="G1599:G1600"/>
    <mergeCell ref="G1601:G1602"/>
    <mergeCell ref="D1596:D1602"/>
    <mergeCell ref="D1607:D1608"/>
    <mergeCell ref="E1605:E1606"/>
    <mergeCell ref="F1605:F1606"/>
    <mergeCell ref="G1605:G1606"/>
    <mergeCell ref="G1586:G1587"/>
    <mergeCell ref="G1588:G1589"/>
    <mergeCell ref="G1590:G1591"/>
    <mergeCell ref="G1592:G1593"/>
    <mergeCell ref="D2512:D2514"/>
    <mergeCell ref="E2512:E2514"/>
    <mergeCell ref="F2512:F2514"/>
    <mergeCell ref="D2510:D2511"/>
    <mergeCell ref="E2510:E2511"/>
    <mergeCell ref="F2510:F2511"/>
    <mergeCell ref="G2510:G2511"/>
    <mergeCell ref="G2863:G2865"/>
    <mergeCell ref="E2518:E2520"/>
    <mergeCell ref="B2525:B2527"/>
    <mergeCell ref="G2512:G2514"/>
    <mergeCell ref="G2521:G2523"/>
    <mergeCell ref="A2525:A2527"/>
    <mergeCell ref="G1594:G1595"/>
    <mergeCell ref="A1596:A1602"/>
    <mergeCell ref="B1596:B1602"/>
    <mergeCell ref="A1607:A1608"/>
    <mergeCell ref="B1607:B1608"/>
    <mergeCell ref="C1607:C1608"/>
    <mergeCell ref="F1607:F1608"/>
    <mergeCell ref="G1607:G1608"/>
    <mergeCell ref="A1585:A1595"/>
    <mergeCell ref="E1607:E1608"/>
    <mergeCell ref="A1605:A1606"/>
    <mergeCell ref="B1605:B1606"/>
    <mergeCell ref="C1605:C1606"/>
    <mergeCell ref="D1605:D1606"/>
    <mergeCell ref="A1603:A1604"/>
    <mergeCell ref="B1603:B1604"/>
    <mergeCell ref="C1603:C1604"/>
    <mergeCell ref="E1596:E1602"/>
    <mergeCell ref="F1596:F1602"/>
    <mergeCell ref="C1596:C1602"/>
    <mergeCell ref="D1603:D1604"/>
    <mergeCell ref="E1603:E1604"/>
    <mergeCell ref="F1603:F1604"/>
    <mergeCell ref="G1603:G1604"/>
    <mergeCell ref="B1585:B1595"/>
    <mergeCell ref="C1585:C1595"/>
    <mergeCell ref="D1585:D1595"/>
    <mergeCell ref="E1585:E1595"/>
    <mergeCell ref="A2412:A2413"/>
    <mergeCell ref="A1610:A1612"/>
    <mergeCell ref="A1620:A1623"/>
    <mergeCell ref="E1620:E1623"/>
    <mergeCell ref="F1620:F1623"/>
    <mergeCell ref="G1622:G1623"/>
    <mergeCell ref="A1624:A1626"/>
    <mergeCell ref="A2512:A2514"/>
    <mergeCell ref="B2512:B2514"/>
    <mergeCell ref="C2512:C2514"/>
    <mergeCell ref="G2430:G2432"/>
    <mergeCell ref="G2433:G2435"/>
    <mergeCell ref="D2427:D2428"/>
    <mergeCell ref="E2427:E2428"/>
    <mergeCell ref="F2427:F2428"/>
    <mergeCell ref="C1613:C1615"/>
    <mergeCell ref="D1613:D1615"/>
    <mergeCell ref="A1627:A1629"/>
    <mergeCell ref="B1627:B1629"/>
    <mergeCell ref="C1627:C1629"/>
    <mergeCell ref="D1627:D1629"/>
    <mergeCell ref="E1627:E1629"/>
    <mergeCell ref="F1627:F1629"/>
    <mergeCell ref="G2904:G2906"/>
    <mergeCell ref="G2805:G2806"/>
    <mergeCell ref="B2812:B2816"/>
    <mergeCell ref="C2812:C2816"/>
    <mergeCell ref="D2812:D2816"/>
    <mergeCell ref="E2812:E2816"/>
    <mergeCell ref="F2812:F2816"/>
    <mergeCell ref="G2820:G2821"/>
    <mergeCell ref="B2827:B2829"/>
    <mergeCell ref="C2827:C2829"/>
    <mergeCell ref="D2827:D2829"/>
    <mergeCell ref="E2827:E2829"/>
    <mergeCell ref="F2895:F2897"/>
    <mergeCell ref="G2874:G2876"/>
    <mergeCell ref="G2827:G2829"/>
    <mergeCell ref="B2863:B2865"/>
    <mergeCell ref="C2863:C2865"/>
    <mergeCell ref="D2863:D2865"/>
    <mergeCell ref="E2863:E2865"/>
    <mergeCell ref="F2863:F2865"/>
    <mergeCell ref="G2815:G2816"/>
    <mergeCell ref="F2892:F2894"/>
    <mergeCell ref="A2979:A2981"/>
    <mergeCell ref="B2979:B2981"/>
    <mergeCell ref="C2979:C2981"/>
    <mergeCell ref="D2979:D2981"/>
    <mergeCell ref="E2979:E2981"/>
    <mergeCell ref="F2979:F2981"/>
    <mergeCell ref="G2979:G2981"/>
    <mergeCell ref="A2967:A2969"/>
    <mergeCell ref="D2938:D2940"/>
    <mergeCell ref="E2938:E2940"/>
    <mergeCell ref="F2938:F2940"/>
    <mergeCell ref="G2938:G2940"/>
    <mergeCell ref="B2931:B2937"/>
    <mergeCell ref="A2944:A2948"/>
    <mergeCell ref="B2944:B2948"/>
    <mergeCell ref="A2976:A2978"/>
    <mergeCell ref="B2976:B2978"/>
    <mergeCell ref="C2976:C2978"/>
    <mergeCell ref="D2976:D2978"/>
    <mergeCell ref="E2976:E2978"/>
    <mergeCell ref="F2976:F2978"/>
    <mergeCell ref="G2976:G2978"/>
    <mergeCell ref="A2973:A2975"/>
    <mergeCell ref="B2973:B2975"/>
    <mergeCell ref="C2973:C2975"/>
    <mergeCell ref="D2973:D2975"/>
    <mergeCell ref="C2944:C2948"/>
    <mergeCell ref="D2944:D2948"/>
    <mergeCell ref="E2944:E2948"/>
    <mergeCell ref="F2944:F2948"/>
    <mergeCell ref="G2945:G2946"/>
    <mergeCell ref="G2947:G2948"/>
    <mergeCell ref="D2515:D2516"/>
    <mergeCell ref="E2515:E2516"/>
    <mergeCell ref="C2904:C2906"/>
    <mergeCell ref="G2889:G2891"/>
    <mergeCell ref="G2892:G2894"/>
    <mergeCell ref="G2895:G2897"/>
    <mergeCell ref="A2907:A2909"/>
    <mergeCell ref="A2429:A2435"/>
    <mergeCell ref="B2429:B2435"/>
    <mergeCell ref="C2429:C2435"/>
    <mergeCell ref="D2429:D2435"/>
    <mergeCell ref="E2429:E2435"/>
    <mergeCell ref="G2711:G2712"/>
    <mergeCell ref="G2713:G2714"/>
    <mergeCell ref="B1610:B1612"/>
    <mergeCell ref="C1610:C1612"/>
    <mergeCell ref="D1610:D1612"/>
    <mergeCell ref="E1610:E1612"/>
    <mergeCell ref="F1610:F1612"/>
    <mergeCell ref="G1610:G1612"/>
    <mergeCell ref="B1620:B1623"/>
    <mergeCell ref="C1620:C1623"/>
    <mergeCell ref="D1620:D1623"/>
    <mergeCell ref="B1624:B1626"/>
    <mergeCell ref="C1624:C1626"/>
    <mergeCell ref="D1624:D1626"/>
    <mergeCell ref="E1624:E1626"/>
    <mergeCell ref="F1624:F1626"/>
    <mergeCell ref="G1624:G1626"/>
    <mergeCell ref="G1613:G1615"/>
    <mergeCell ref="A1613:A1615"/>
    <mergeCell ref="B1613:B1615"/>
    <mergeCell ref="F378:F380"/>
    <mergeCell ref="G378:G380"/>
    <mergeCell ref="A381:A382"/>
    <mergeCell ref="B381:B382"/>
    <mergeCell ref="C381:C382"/>
    <mergeCell ref="D381:D382"/>
    <mergeCell ref="E381:E382"/>
    <mergeCell ref="F381:F382"/>
    <mergeCell ref="G381:G382"/>
    <mergeCell ref="A383:A385"/>
    <mergeCell ref="B383:B385"/>
    <mergeCell ref="C383:C385"/>
    <mergeCell ref="D383:D385"/>
    <mergeCell ref="E383:E385"/>
    <mergeCell ref="F383:F385"/>
    <mergeCell ref="G383:G385"/>
    <mergeCell ref="A386:A388"/>
    <mergeCell ref="B386:B388"/>
    <mergeCell ref="C386:C388"/>
    <mergeCell ref="D386:D388"/>
    <mergeCell ref="E386:E388"/>
    <mergeCell ref="F386:F388"/>
    <mergeCell ref="G386:G388"/>
    <mergeCell ref="E378:E380"/>
    <mergeCell ref="C389:C390"/>
    <mergeCell ref="D389:D390"/>
    <mergeCell ref="E389:E390"/>
    <mergeCell ref="F389:F390"/>
    <mergeCell ref="G389:G390"/>
    <mergeCell ref="A391:A397"/>
    <mergeCell ref="B391:B397"/>
    <mergeCell ref="C391:C397"/>
    <mergeCell ref="D391:D397"/>
    <mergeCell ref="E391:E397"/>
    <mergeCell ref="F391:F397"/>
    <mergeCell ref="G392:G393"/>
    <mergeCell ref="G394:G395"/>
    <mergeCell ref="G396:G397"/>
    <mergeCell ref="A398:A404"/>
    <mergeCell ref="B398:B404"/>
    <mergeCell ref="C398:C404"/>
    <mergeCell ref="D398:D404"/>
    <mergeCell ref="E398:E404"/>
    <mergeCell ref="F398:F404"/>
    <mergeCell ref="G399:G400"/>
    <mergeCell ref="G401:G402"/>
    <mergeCell ref="G403:G404"/>
    <mergeCell ref="A405:A407"/>
    <mergeCell ref="B405:B407"/>
    <mergeCell ref="C405:C407"/>
    <mergeCell ref="D405:D407"/>
    <mergeCell ref="E405:E407"/>
    <mergeCell ref="F405:F407"/>
    <mergeCell ref="G405:G407"/>
    <mergeCell ref="A408:A414"/>
    <mergeCell ref="B408:B414"/>
    <mergeCell ref="C408:C414"/>
    <mergeCell ref="D408:D414"/>
    <mergeCell ref="E408:E414"/>
    <mergeCell ref="F408:F414"/>
    <mergeCell ref="G409:G410"/>
    <mergeCell ref="G411:G412"/>
    <mergeCell ref="G413:G414"/>
    <mergeCell ref="A415:A417"/>
    <mergeCell ref="B415:B417"/>
    <mergeCell ref="C415:C417"/>
    <mergeCell ref="D415:D417"/>
    <mergeCell ref="E415:E417"/>
    <mergeCell ref="F415:F417"/>
    <mergeCell ref="G415:G417"/>
    <mergeCell ref="A418:A420"/>
    <mergeCell ref="B418:B420"/>
    <mergeCell ref="C418:C420"/>
    <mergeCell ref="D418:D420"/>
    <mergeCell ref="E418:E420"/>
    <mergeCell ref="F418:F420"/>
    <mergeCell ref="G418:G420"/>
    <mergeCell ref="A421:A423"/>
    <mergeCell ref="B421:B423"/>
    <mergeCell ref="C421:C423"/>
    <mergeCell ref="D421:D423"/>
    <mergeCell ref="E421:E423"/>
    <mergeCell ref="F421:F423"/>
    <mergeCell ref="G421:G423"/>
    <mergeCell ref="A424:A425"/>
    <mergeCell ref="B424:B425"/>
    <mergeCell ref="C424:C425"/>
    <mergeCell ref="D424:D425"/>
    <mergeCell ref="E424:E425"/>
    <mergeCell ref="F424:F425"/>
    <mergeCell ref="G424:G425"/>
    <mergeCell ref="A426:A427"/>
    <mergeCell ref="B426:B427"/>
    <mergeCell ref="C426:C427"/>
    <mergeCell ref="D426:D427"/>
    <mergeCell ref="E426:E427"/>
    <mergeCell ref="F426:F427"/>
    <mergeCell ref="G426:G427"/>
    <mergeCell ref="A428:A430"/>
    <mergeCell ref="B428:B430"/>
    <mergeCell ref="C428:C430"/>
    <mergeCell ref="D428:D430"/>
    <mergeCell ref="E428:E430"/>
    <mergeCell ref="F428:F430"/>
    <mergeCell ref="G428:G430"/>
    <mergeCell ref="A431:A432"/>
    <mergeCell ref="B431:B432"/>
    <mergeCell ref="C431:C432"/>
    <mergeCell ref="D431:D432"/>
    <mergeCell ref="E431:E432"/>
    <mergeCell ref="F431:F432"/>
    <mergeCell ref="G431:G432"/>
    <mergeCell ref="A433:A435"/>
    <mergeCell ref="B433:B435"/>
    <mergeCell ref="C433:C435"/>
    <mergeCell ref="D433:D435"/>
    <mergeCell ref="E433:E435"/>
    <mergeCell ref="F433:F435"/>
    <mergeCell ref="G433:G435"/>
    <mergeCell ref="A436:A438"/>
    <mergeCell ref="B436:B438"/>
    <mergeCell ref="C436:C438"/>
    <mergeCell ref="D436:D438"/>
    <mergeCell ref="E436:E438"/>
    <mergeCell ref="F436:F438"/>
    <mergeCell ref="G436:G438"/>
    <mergeCell ref="A439:A440"/>
    <mergeCell ref="B439:B440"/>
    <mergeCell ref="C439:C440"/>
    <mergeCell ref="D439:D440"/>
    <mergeCell ref="E439:E440"/>
    <mergeCell ref="F439:F440"/>
    <mergeCell ref="G439:G440"/>
    <mergeCell ref="A441:A447"/>
    <mergeCell ref="B441:B447"/>
    <mergeCell ref="C441:C447"/>
    <mergeCell ref="D441:D447"/>
    <mergeCell ref="E441:E447"/>
    <mergeCell ref="F441:F447"/>
    <mergeCell ref="G442:G443"/>
    <mergeCell ref="G444:G445"/>
    <mergeCell ref="G446:G447"/>
    <mergeCell ref="A448:A450"/>
    <mergeCell ref="B448:B450"/>
    <mergeCell ref="C448:C450"/>
    <mergeCell ref="D448:D450"/>
    <mergeCell ref="E448:E450"/>
    <mergeCell ref="F448:F450"/>
    <mergeCell ref="G448:G450"/>
    <mergeCell ref="A451:A453"/>
    <mergeCell ref="B451:B453"/>
    <mergeCell ref="C451:C453"/>
    <mergeCell ref="D451:D453"/>
    <mergeCell ref="E451:E453"/>
    <mergeCell ref="F451:F453"/>
    <mergeCell ref="G451:G453"/>
    <mergeCell ref="A454:A456"/>
    <mergeCell ref="B454:B456"/>
    <mergeCell ref="C454:C456"/>
    <mergeCell ref="D454:D456"/>
    <mergeCell ref="E454:E456"/>
    <mergeCell ref="F454:F456"/>
    <mergeCell ref="G454:G456"/>
    <mergeCell ref="A457:A458"/>
    <mergeCell ref="B457:B458"/>
    <mergeCell ref="C457:C458"/>
    <mergeCell ref="D457:D458"/>
    <mergeCell ref="E457:E458"/>
    <mergeCell ref="F457:F458"/>
    <mergeCell ref="G457:G458"/>
    <mergeCell ref="A459:A461"/>
    <mergeCell ref="B459:B461"/>
    <mergeCell ref="C459:C461"/>
    <mergeCell ref="D459:D461"/>
    <mergeCell ref="E459:E461"/>
    <mergeCell ref="F459:F461"/>
    <mergeCell ref="G459:G461"/>
    <mergeCell ref="A462:A464"/>
    <mergeCell ref="B462:B464"/>
    <mergeCell ref="C462:C464"/>
    <mergeCell ref="D462:D464"/>
    <mergeCell ref="E462:E464"/>
    <mergeCell ref="F462:F464"/>
    <mergeCell ref="G462:G464"/>
    <mergeCell ref="A465:A467"/>
    <mergeCell ref="B465:B467"/>
    <mergeCell ref="C465:C467"/>
    <mergeCell ref="D465:D467"/>
    <mergeCell ref="E465:E467"/>
    <mergeCell ref="F465:F467"/>
    <mergeCell ref="G465:G467"/>
    <mergeCell ref="A468:A470"/>
    <mergeCell ref="B468:B470"/>
    <mergeCell ref="C468:C470"/>
    <mergeCell ref="D468:D470"/>
    <mergeCell ref="E468:E470"/>
    <mergeCell ref="F468:F470"/>
    <mergeCell ref="G468:G470"/>
    <mergeCell ref="A471:A473"/>
    <mergeCell ref="B471:B473"/>
    <mergeCell ref="C471:C473"/>
    <mergeCell ref="D471:D473"/>
    <mergeCell ref="E471:E473"/>
    <mergeCell ref="F471:F473"/>
    <mergeCell ref="G471:G473"/>
    <mergeCell ref="A474:A476"/>
    <mergeCell ref="B474:B476"/>
    <mergeCell ref="C474:C476"/>
    <mergeCell ref="D474:D476"/>
    <mergeCell ref="E474:E476"/>
    <mergeCell ref="F474:F476"/>
    <mergeCell ref="G474:G476"/>
    <mergeCell ref="A477:A479"/>
    <mergeCell ref="B477:B479"/>
    <mergeCell ref="C477:C479"/>
    <mergeCell ref="D477:D479"/>
    <mergeCell ref="E477:E479"/>
    <mergeCell ref="F477:F479"/>
    <mergeCell ref="G477:G479"/>
    <mergeCell ref="A480:A486"/>
    <mergeCell ref="B480:B486"/>
    <mergeCell ref="C480:C486"/>
    <mergeCell ref="D480:D486"/>
    <mergeCell ref="E480:E486"/>
    <mergeCell ref="F480:F486"/>
    <mergeCell ref="G481:G482"/>
    <mergeCell ref="G483:G484"/>
    <mergeCell ref="G485:G486"/>
    <mergeCell ref="A487:A489"/>
    <mergeCell ref="B487:B489"/>
    <mergeCell ref="C487:C489"/>
    <mergeCell ref="D487:D489"/>
    <mergeCell ref="E487:E489"/>
    <mergeCell ref="F487:F489"/>
    <mergeCell ref="G487:G489"/>
    <mergeCell ref="A490:A492"/>
    <mergeCell ref="B490:B492"/>
    <mergeCell ref="C490:C492"/>
    <mergeCell ref="D490:D492"/>
    <mergeCell ref="E490:E492"/>
    <mergeCell ref="F490:F492"/>
    <mergeCell ref="G490:G492"/>
    <mergeCell ref="A493:A496"/>
    <mergeCell ref="B493:B496"/>
    <mergeCell ref="C493:C496"/>
    <mergeCell ref="D493:D496"/>
    <mergeCell ref="E493:E496"/>
    <mergeCell ref="F493:F496"/>
    <mergeCell ref="A497:A499"/>
    <mergeCell ref="B497:B499"/>
    <mergeCell ref="C497:C499"/>
    <mergeCell ref="D497:D499"/>
    <mergeCell ref="E497:E499"/>
    <mergeCell ref="F497:F499"/>
    <mergeCell ref="G497:G499"/>
    <mergeCell ref="A500:A502"/>
    <mergeCell ref="B500:B502"/>
    <mergeCell ref="C500:C502"/>
    <mergeCell ref="D500:D502"/>
    <mergeCell ref="E500:E502"/>
    <mergeCell ref="F500:F502"/>
    <mergeCell ref="G500:G502"/>
    <mergeCell ref="A503:A505"/>
    <mergeCell ref="B503:B505"/>
    <mergeCell ref="C503:C505"/>
    <mergeCell ref="D503:D505"/>
    <mergeCell ref="E503:E505"/>
    <mergeCell ref="F503:F505"/>
    <mergeCell ref="G503:G505"/>
    <mergeCell ref="A506:A508"/>
    <mergeCell ref="B506:B508"/>
    <mergeCell ref="C506:C508"/>
    <mergeCell ref="D506:D508"/>
    <mergeCell ref="E506:E508"/>
    <mergeCell ref="F506:F508"/>
    <mergeCell ref="G506:G508"/>
    <mergeCell ref="A509:A511"/>
    <mergeCell ref="B509:B511"/>
    <mergeCell ref="C509:C511"/>
    <mergeCell ref="D509:D511"/>
    <mergeCell ref="E509:E511"/>
    <mergeCell ref="F509:F511"/>
    <mergeCell ref="G509:G511"/>
    <mergeCell ref="A512:A514"/>
    <mergeCell ref="B512:B514"/>
    <mergeCell ref="C512:C514"/>
    <mergeCell ref="D512:D514"/>
    <mergeCell ref="E512:E514"/>
    <mergeCell ref="F512:F514"/>
    <mergeCell ref="G512:G514"/>
    <mergeCell ref="A515:A516"/>
    <mergeCell ref="B515:B516"/>
    <mergeCell ref="C515:C516"/>
    <mergeCell ref="D515:D516"/>
    <mergeCell ref="E515:E516"/>
    <mergeCell ref="F515:F516"/>
    <mergeCell ref="G515:G516"/>
    <mergeCell ref="A517:A523"/>
    <mergeCell ref="B517:B523"/>
    <mergeCell ref="C517:C523"/>
    <mergeCell ref="D517:D523"/>
    <mergeCell ref="E517:E523"/>
    <mergeCell ref="F517:F523"/>
    <mergeCell ref="G517:G519"/>
    <mergeCell ref="G520:G521"/>
    <mergeCell ref="G522:G523"/>
    <mergeCell ref="A524:A526"/>
    <mergeCell ref="B524:B526"/>
    <mergeCell ref="C524:C526"/>
    <mergeCell ref="D524:D526"/>
    <mergeCell ref="E524:E526"/>
    <mergeCell ref="F524:F526"/>
    <mergeCell ref="G524:G526"/>
    <mergeCell ref="A527:A529"/>
    <mergeCell ref="B527:B529"/>
    <mergeCell ref="C527:C529"/>
    <mergeCell ref="D527:D529"/>
    <mergeCell ref="E527:E529"/>
    <mergeCell ref="F527:F529"/>
    <mergeCell ref="G527:G529"/>
    <mergeCell ref="A530:A532"/>
    <mergeCell ref="B530:B532"/>
    <mergeCell ref="C530:C532"/>
    <mergeCell ref="D530:D532"/>
    <mergeCell ref="E530:E532"/>
    <mergeCell ref="F530:F532"/>
    <mergeCell ref="G530:G532"/>
    <mergeCell ref="A533:A534"/>
    <mergeCell ref="B533:B534"/>
    <mergeCell ref="C533:C534"/>
    <mergeCell ref="D533:D534"/>
    <mergeCell ref="E533:E534"/>
    <mergeCell ref="F533:F534"/>
    <mergeCell ref="G533:G534"/>
    <mergeCell ref="A535:A539"/>
    <mergeCell ref="B535:B539"/>
    <mergeCell ref="C535:C539"/>
    <mergeCell ref="D535:D539"/>
    <mergeCell ref="E535:E539"/>
    <mergeCell ref="F535:F539"/>
    <mergeCell ref="G536:G537"/>
    <mergeCell ref="G538:G539"/>
    <mergeCell ref="A540:A542"/>
    <mergeCell ref="B540:B542"/>
    <mergeCell ref="C540:C542"/>
    <mergeCell ref="D540:D542"/>
    <mergeCell ref="E540:E542"/>
    <mergeCell ref="F540:F542"/>
    <mergeCell ref="G540:G542"/>
    <mergeCell ref="A543:A546"/>
    <mergeCell ref="B543:B546"/>
    <mergeCell ref="C543:C546"/>
    <mergeCell ref="D543:D546"/>
    <mergeCell ref="E543:E546"/>
    <mergeCell ref="F543:F546"/>
    <mergeCell ref="A547:A548"/>
    <mergeCell ref="B547:B548"/>
    <mergeCell ref="C547:C548"/>
    <mergeCell ref="D547:D548"/>
    <mergeCell ref="E547:E548"/>
    <mergeCell ref="F547:F548"/>
    <mergeCell ref="G547:G548"/>
    <mergeCell ref="A549:A551"/>
    <mergeCell ref="B549:B551"/>
    <mergeCell ref="C549:C551"/>
    <mergeCell ref="D549:D551"/>
    <mergeCell ref="E549:E551"/>
    <mergeCell ref="F549:F551"/>
    <mergeCell ref="G549:G551"/>
    <mergeCell ref="A552:A556"/>
    <mergeCell ref="B552:B556"/>
    <mergeCell ref="C552:C556"/>
    <mergeCell ref="D552:D556"/>
    <mergeCell ref="E552:E556"/>
    <mergeCell ref="F552:F556"/>
    <mergeCell ref="A557:A565"/>
    <mergeCell ref="B557:B565"/>
    <mergeCell ref="C557:C565"/>
    <mergeCell ref="D557:D565"/>
    <mergeCell ref="E557:E565"/>
    <mergeCell ref="F557:F565"/>
    <mergeCell ref="G558:G559"/>
    <mergeCell ref="G560:G561"/>
    <mergeCell ref="G562:G563"/>
    <mergeCell ref="G564:G565"/>
    <mergeCell ref="A566:A567"/>
    <mergeCell ref="B566:B567"/>
    <mergeCell ref="C566:C567"/>
    <mergeCell ref="D566:D567"/>
    <mergeCell ref="E566:E567"/>
    <mergeCell ref="F566:F567"/>
    <mergeCell ref="G566:G567"/>
    <mergeCell ref="A568:A570"/>
    <mergeCell ref="B568:B570"/>
    <mergeCell ref="C568:C570"/>
    <mergeCell ref="D568:D570"/>
    <mergeCell ref="E568:E570"/>
    <mergeCell ref="F568:F570"/>
    <mergeCell ref="G568:G570"/>
    <mergeCell ref="A571:A572"/>
    <mergeCell ref="B571:B572"/>
    <mergeCell ref="C571:C572"/>
    <mergeCell ref="D571:D572"/>
    <mergeCell ref="E571:E572"/>
    <mergeCell ref="F571:F572"/>
    <mergeCell ref="G571:G572"/>
    <mergeCell ref="A573:A575"/>
    <mergeCell ref="B573:B575"/>
    <mergeCell ref="C573:C575"/>
    <mergeCell ref="D573:D575"/>
    <mergeCell ref="E573:E575"/>
    <mergeCell ref="F573:F575"/>
    <mergeCell ref="G573:G575"/>
    <mergeCell ref="A576:A578"/>
    <mergeCell ref="B576:B578"/>
    <mergeCell ref="C576:C578"/>
    <mergeCell ref="D576:D578"/>
    <mergeCell ref="E576:E578"/>
    <mergeCell ref="F576:F578"/>
    <mergeCell ref="G576:G578"/>
    <mergeCell ref="A579:A581"/>
    <mergeCell ref="B579:B581"/>
    <mergeCell ref="C579:C581"/>
    <mergeCell ref="D579:D581"/>
    <mergeCell ref="E579:E581"/>
    <mergeCell ref="F579:F581"/>
    <mergeCell ref="G579:G581"/>
    <mergeCell ref="A582:A584"/>
    <mergeCell ref="B582:B584"/>
    <mergeCell ref="C582:C584"/>
    <mergeCell ref="D582:D584"/>
    <mergeCell ref="E582:E584"/>
    <mergeCell ref="F582:F584"/>
    <mergeCell ref="G582:G584"/>
    <mergeCell ref="A585:A587"/>
    <mergeCell ref="B585:B587"/>
    <mergeCell ref="C585:C587"/>
    <mergeCell ref="D585:D587"/>
    <mergeCell ref="E585:E587"/>
    <mergeCell ref="F585:F587"/>
    <mergeCell ref="G585:G587"/>
    <mergeCell ref="A588:A590"/>
    <mergeCell ref="B588:B590"/>
    <mergeCell ref="C588:C590"/>
    <mergeCell ref="D588:D590"/>
    <mergeCell ref="E588:E590"/>
    <mergeCell ref="F588:F590"/>
    <mergeCell ref="G588:G590"/>
    <mergeCell ref="A591:A593"/>
    <mergeCell ref="B591:B593"/>
    <mergeCell ref="C591:C593"/>
    <mergeCell ref="D591:D593"/>
    <mergeCell ref="E591:E593"/>
    <mergeCell ref="F591:F593"/>
    <mergeCell ref="G591:G593"/>
    <mergeCell ref="A594:A596"/>
    <mergeCell ref="B594:B596"/>
    <mergeCell ref="C594:C596"/>
    <mergeCell ref="D594:D596"/>
    <mergeCell ref="E594:E596"/>
    <mergeCell ref="F594:F596"/>
    <mergeCell ref="G594:G596"/>
    <mergeCell ref="A597:A603"/>
    <mergeCell ref="B597:B603"/>
    <mergeCell ref="C597:C603"/>
    <mergeCell ref="D597:D603"/>
    <mergeCell ref="E597:E603"/>
    <mergeCell ref="F597:F603"/>
    <mergeCell ref="G597:G599"/>
    <mergeCell ref="G600:G601"/>
    <mergeCell ref="G602:G603"/>
    <mergeCell ref="A604:A610"/>
    <mergeCell ref="B604:B610"/>
    <mergeCell ref="C604:C610"/>
    <mergeCell ref="D604:D610"/>
    <mergeCell ref="E604:E610"/>
    <mergeCell ref="F604:F610"/>
    <mergeCell ref="G605:G607"/>
    <mergeCell ref="G608:G610"/>
    <mergeCell ref="A611:A613"/>
    <mergeCell ref="B611:B613"/>
    <mergeCell ref="C611:C613"/>
    <mergeCell ref="D611:D613"/>
    <mergeCell ref="E611:E613"/>
    <mergeCell ref="F611:F613"/>
    <mergeCell ref="G611:G613"/>
    <mergeCell ref="A614:A615"/>
    <mergeCell ref="B614:B615"/>
    <mergeCell ref="C614:C615"/>
    <mergeCell ref="D614:D615"/>
    <mergeCell ref="E614:E615"/>
    <mergeCell ref="F614:F615"/>
    <mergeCell ref="G614:G615"/>
    <mergeCell ref="A616:A618"/>
    <mergeCell ref="B616:B618"/>
    <mergeCell ref="C616:C618"/>
    <mergeCell ref="D616:D618"/>
    <mergeCell ref="E616:E618"/>
    <mergeCell ref="F616:F618"/>
    <mergeCell ref="G616:G618"/>
    <mergeCell ref="A619:A621"/>
    <mergeCell ref="B619:B621"/>
    <mergeCell ref="C619:C621"/>
    <mergeCell ref="D619:D621"/>
    <mergeCell ref="E619:E621"/>
    <mergeCell ref="F619:F621"/>
    <mergeCell ref="G619:G621"/>
    <mergeCell ref="A622:A624"/>
    <mergeCell ref="B622:B624"/>
    <mergeCell ref="C622:C624"/>
    <mergeCell ref="D622:D624"/>
    <mergeCell ref="E622:E624"/>
    <mergeCell ref="F622:F624"/>
    <mergeCell ref="G622:G624"/>
    <mergeCell ref="A625:A627"/>
    <mergeCell ref="B625:B627"/>
    <mergeCell ref="C625:C627"/>
    <mergeCell ref="D625:D627"/>
    <mergeCell ref="E625:E627"/>
    <mergeCell ref="F625:F627"/>
    <mergeCell ref="G625:G627"/>
    <mergeCell ref="A628:A634"/>
    <mergeCell ref="B628:B634"/>
    <mergeCell ref="C628:C634"/>
    <mergeCell ref="D628:D634"/>
    <mergeCell ref="E628:E634"/>
    <mergeCell ref="F628:F634"/>
    <mergeCell ref="G628:G630"/>
    <mergeCell ref="G631:G632"/>
    <mergeCell ref="G633:G634"/>
    <mergeCell ref="A635:A637"/>
    <mergeCell ref="B635:B637"/>
    <mergeCell ref="C635:C637"/>
    <mergeCell ref="D635:D637"/>
    <mergeCell ref="E635:E637"/>
    <mergeCell ref="F635:F637"/>
    <mergeCell ref="G635:G637"/>
    <mergeCell ref="A638:A640"/>
    <mergeCell ref="B638:B640"/>
    <mergeCell ref="C638:C640"/>
    <mergeCell ref="D638:D640"/>
    <mergeCell ref="E638:E640"/>
    <mergeCell ref="F638:F640"/>
    <mergeCell ref="G638:G640"/>
    <mergeCell ref="A641:A643"/>
    <mergeCell ref="B641:B643"/>
    <mergeCell ref="C641:C643"/>
    <mergeCell ref="D641:D643"/>
    <mergeCell ref="E641:E643"/>
    <mergeCell ref="F641:F643"/>
    <mergeCell ref="G641:G643"/>
    <mergeCell ref="A644:A646"/>
    <mergeCell ref="B644:B646"/>
    <mergeCell ref="C644:C646"/>
    <mergeCell ref="D644:D646"/>
    <mergeCell ref="E644:E646"/>
    <mergeCell ref="F644:F646"/>
    <mergeCell ref="G644:G646"/>
    <mergeCell ref="A647:A648"/>
    <mergeCell ref="B647:B648"/>
    <mergeCell ref="C647:C648"/>
    <mergeCell ref="D647:D648"/>
    <mergeCell ref="E647:E648"/>
    <mergeCell ref="F647:F648"/>
    <mergeCell ref="G647:G648"/>
    <mergeCell ref="A649:A651"/>
    <mergeCell ref="B649:B651"/>
    <mergeCell ref="C649:C651"/>
    <mergeCell ref="D649:D651"/>
    <mergeCell ref="E649:E651"/>
    <mergeCell ref="F649:F651"/>
    <mergeCell ref="G650:G651"/>
    <mergeCell ref="A652:A653"/>
    <mergeCell ref="B652:B653"/>
    <mergeCell ref="C652:C653"/>
    <mergeCell ref="D652:D653"/>
    <mergeCell ref="E652:E653"/>
    <mergeCell ref="F652:F653"/>
    <mergeCell ref="G652:G653"/>
    <mergeCell ref="A654:A655"/>
    <mergeCell ref="B654:B655"/>
    <mergeCell ref="C654:C655"/>
    <mergeCell ref="D654:D655"/>
    <mergeCell ref="E654:E655"/>
    <mergeCell ref="F654:F655"/>
    <mergeCell ref="G654:G655"/>
    <mergeCell ref="A656:A658"/>
    <mergeCell ref="B656:B658"/>
    <mergeCell ref="C656:C658"/>
    <mergeCell ref="D656:D658"/>
    <mergeCell ref="E656:E658"/>
    <mergeCell ref="F656:F658"/>
    <mergeCell ref="G656:G658"/>
    <mergeCell ref="A659:A661"/>
    <mergeCell ref="B659:B661"/>
    <mergeCell ref="C659:C661"/>
    <mergeCell ref="D659:D661"/>
    <mergeCell ref="E659:E661"/>
    <mergeCell ref="F659:F661"/>
    <mergeCell ref="G659:G661"/>
    <mergeCell ref="A662:A663"/>
    <mergeCell ref="B662:B663"/>
    <mergeCell ref="C662:C663"/>
    <mergeCell ref="D662:D663"/>
    <mergeCell ref="E662:E663"/>
    <mergeCell ref="F662:F663"/>
    <mergeCell ref="G662:G663"/>
    <mergeCell ref="A664:A666"/>
    <mergeCell ref="B664:B666"/>
    <mergeCell ref="C664:C666"/>
    <mergeCell ref="D664:D666"/>
    <mergeCell ref="E664:E666"/>
    <mergeCell ref="F664:F666"/>
    <mergeCell ref="G664:G666"/>
    <mergeCell ref="A667:A669"/>
    <mergeCell ref="B667:B669"/>
    <mergeCell ref="C667:C669"/>
    <mergeCell ref="D667:D669"/>
    <mergeCell ref="E667:E669"/>
    <mergeCell ref="F667:F669"/>
    <mergeCell ref="G667:G669"/>
    <mergeCell ref="A670:A671"/>
    <mergeCell ref="B670:B671"/>
    <mergeCell ref="C670:C671"/>
    <mergeCell ref="D670:D671"/>
    <mergeCell ref="E670:E671"/>
    <mergeCell ref="F670:F671"/>
    <mergeCell ref="G670:G671"/>
    <mergeCell ref="A672:A684"/>
    <mergeCell ref="B672:B684"/>
    <mergeCell ref="C672:C684"/>
    <mergeCell ref="D672:D684"/>
    <mergeCell ref="E672:E684"/>
    <mergeCell ref="F672:F684"/>
    <mergeCell ref="G673:G674"/>
    <mergeCell ref="G675:G676"/>
    <mergeCell ref="G677:G678"/>
    <mergeCell ref="G679:G680"/>
    <mergeCell ref="G681:G682"/>
    <mergeCell ref="G683:G684"/>
    <mergeCell ref="A685:A687"/>
    <mergeCell ref="B685:B687"/>
    <mergeCell ref="C685:C687"/>
    <mergeCell ref="D685:D687"/>
    <mergeCell ref="E685:E687"/>
    <mergeCell ref="F685:F687"/>
    <mergeCell ref="G685:G687"/>
    <mergeCell ref="A688:A689"/>
    <mergeCell ref="B688:B689"/>
    <mergeCell ref="C688:C689"/>
    <mergeCell ref="D688:D689"/>
    <mergeCell ref="E688:E689"/>
    <mergeCell ref="F688:F689"/>
    <mergeCell ref="G688:G689"/>
    <mergeCell ref="A690:A692"/>
    <mergeCell ref="B690:B692"/>
    <mergeCell ref="C690:C692"/>
    <mergeCell ref="D690:D692"/>
    <mergeCell ref="E690:E692"/>
    <mergeCell ref="F690:F692"/>
    <mergeCell ref="G690:G692"/>
    <mergeCell ref="A693:A699"/>
    <mergeCell ref="B693:B699"/>
    <mergeCell ref="C693:C699"/>
    <mergeCell ref="D693:D699"/>
    <mergeCell ref="E693:E699"/>
    <mergeCell ref="F693:F699"/>
    <mergeCell ref="G694:G696"/>
    <mergeCell ref="G697:G699"/>
    <mergeCell ref="A700:A703"/>
    <mergeCell ref="B700:B703"/>
    <mergeCell ref="C700:C703"/>
    <mergeCell ref="D700:D703"/>
    <mergeCell ref="E700:E703"/>
    <mergeCell ref="F700:F703"/>
    <mergeCell ref="G701:G703"/>
    <mergeCell ref="A704:A716"/>
    <mergeCell ref="B704:B716"/>
    <mergeCell ref="C704:C716"/>
    <mergeCell ref="D704:D716"/>
    <mergeCell ref="E704:E716"/>
    <mergeCell ref="F704:F716"/>
    <mergeCell ref="G705:G707"/>
    <mergeCell ref="G708:G710"/>
    <mergeCell ref="G711:G713"/>
    <mergeCell ref="G714:G716"/>
    <mergeCell ref="A717:A719"/>
    <mergeCell ref="B717:B719"/>
    <mergeCell ref="C717:C719"/>
    <mergeCell ref="D717:D719"/>
    <mergeCell ref="E717:E719"/>
    <mergeCell ref="F717:F719"/>
    <mergeCell ref="G717:G719"/>
    <mergeCell ref="A720:A722"/>
    <mergeCell ref="B720:B722"/>
    <mergeCell ref="C720:C722"/>
    <mergeCell ref="D720:D722"/>
    <mergeCell ref="E720:E722"/>
    <mergeCell ref="F720:F722"/>
    <mergeCell ref="G720:G722"/>
    <mergeCell ref="A723:A725"/>
    <mergeCell ref="B723:B725"/>
    <mergeCell ref="C723:C725"/>
    <mergeCell ref="D723:D725"/>
    <mergeCell ref="E723:E725"/>
    <mergeCell ref="F723:F725"/>
    <mergeCell ref="G723:G725"/>
    <mergeCell ref="A726:A744"/>
    <mergeCell ref="B726:B744"/>
    <mergeCell ref="C726:C744"/>
    <mergeCell ref="D726:D744"/>
    <mergeCell ref="E726:E744"/>
    <mergeCell ref="F726:F744"/>
    <mergeCell ref="G727:G729"/>
    <mergeCell ref="G730:G732"/>
    <mergeCell ref="G733:G735"/>
    <mergeCell ref="G736:G738"/>
    <mergeCell ref="G739:G741"/>
    <mergeCell ref="G742:G744"/>
    <mergeCell ref="A745:A753"/>
    <mergeCell ref="B745:B753"/>
    <mergeCell ref="C745:C753"/>
    <mergeCell ref="D745:D753"/>
    <mergeCell ref="E745:E753"/>
    <mergeCell ref="F745:F753"/>
    <mergeCell ref="G746:G747"/>
    <mergeCell ref="G748:G749"/>
    <mergeCell ref="G750:G751"/>
    <mergeCell ref="G752:G753"/>
    <mergeCell ref="A754:A758"/>
    <mergeCell ref="B754:B758"/>
    <mergeCell ref="C754:C758"/>
    <mergeCell ref="D754:D758"/>
    <mergeCell ref="E754:E758"/>
    <mergeCell ref="F754:F758"/>
    <mergeCell ref="A759:A763"/>
    <mergeCell ref="B759:B763"/>
    <mergeCell ref="C759:C763"/>
    <mergeCell ref="D759:D763"/>
    <mergeCell ref="E759:E763"/>
    <mergeCell ref="F759:F763"/>
    <mergeCell ref="A764:A766"/>
    <mergeCell ref="B764:B766"/>
    <mergeCell ref="C764:C766"/>
    <mergeCell ref="D764:D766"/>
    <mergeCell ref="E764:E766"/>
    <mergeCell ref="F764:F766"/>
    <mergeCell ref="A767:A782"/>
    <mergeCell ref="B767:B782"/>
    <mergeCell ref="C767:C782"/>
    <mergeCell ref="D767:D782"/>
    <mergeCell ref="E767:E782"/>
    <mergeCell ref="F767:F782"/>
    <mergeCell ref="G768:G770"/>
    <mergeCell ref="G771:G773"/>
    <mergeCell ref="G774:G776"/>
    <mergeCell ref="G777:G779"/>
    <mergeCell ref="G780:G782"/>
    <mergeCell ref="A783:A810"/>
    <mergeCell ref="B783:B810"/>
    <mergeCell ref="C783:C810"/>
    <mergeCell ref="D783:D810"/>
    <mergeCell ref="E783:E810"/>
    <mergeCell ref="F783:F810"/>
    <mergeCell ref="G784:G786"/>
    <mergeCell ref="G787:G789"/>
    <mergeCell ref="G790:G792"/>
    <mergeCell ref="G793:G795"/>
    <mergeCell ref="G796:G798"/>
    <mergeCell ref="G799:G801"/>
    <mergeCell ref="G802:G804"/>
    <mergeCell ref="G805:G807"/>
    <mergeCell ref="G808:G810"/>
    <mergeCell ref="A811:A826"/>
    <mergeCell ref="B811:B826"/>
    <mergeCell ref="C811:C826"/>
    <mergeCell ref="D811:D826"/>
    <mergeCell ref="E811:E826"/>
    <mergeCell ref="F811:F826"/>
    <mergeCell ref="G812:G814"/>
    <mergeCell ref="G815:G817"/>
    <mergeCell ref="G818:G820"/>
    <mergeCell ref="G821:G823"/>
    <mergeCell ref="G824:G826"/>
    <mergeCell ref="A827:A836"/>
    <mergeCell ref="B827:B836"/>
    <mergeCell ref="C827:C836"/>
    <mergeCell ref="D827:D836"/>
    <mergeCell ref="E827:E836"/>
    <mergeCell ref="F827:F836"/>
    <mergeCell ref="G828:G830"/>
    <mergeCell ref="G831:G833"/>
    <mergeCell ref="G834:G836"/>
    <mergeCell ref="A837:A839"/>
    <mergeCell ref="B837:B839"/>
    <mergeCell ref="C837:C839"/>
    <mergeCell ref="D837:D839"/>
    <mergeCell ref="E837:E839"/>
    <mergeCell ref="F837:F839"/>
    <mergeCell ref="G837:G839"/>
    <mergeCell ref="A840:A842"/>
    <mergeCell ref="B840:B842"/>
    <mergeCell ref="C840:C842"/>
    <mergeCell ref="D840:D842"/>
    <mergeCell ref="E840:E842"/>
    <mergeCell ref="F840:F842"/>
    <mergeCell ref="G840:G842"/>
    <mergeCell ref="A843:A845"/>
    <mergeCell ref="B843:B845"/>
    <mergeCell ref="C843:C845"/>
    <mergeCell ref="D843:D845"/>
    <mergeCell ref="E843:E845"/>
    <mergeCell ref="F843:F845"/>
    <mergeCell ref="G843:G845"/>
    <mergeCell ref="A846:A848"/>
    <mergeCell ref="B846:B848"/>
    <mergeCell ref="C846:C848"/>
    <mergeCell ref="D846:D848"/>
    <mergeCell ref="E846:E848"/>
    <mergeCell ref="F846:F848"/>
    <mergeCell ref="G846:G848"/>
    <mergeCell ref="A849:A851"/>
    <mergeCell ref="B849:B851"/>
    <mergeCell ref="C849:C851"/>
    <mergeCell ref="D849:D851"/>
    <mergeCell ref="E849:E851"/>
    <mergeCell ref="F849:F851"/>
    <mergeCell ref="G849:G851"/>
    <mergeCell ref="A852:A854"/>
    <mergeCell ref="B852:B854"/>
    <mergeCell ref="C852:C854"/>
    <mergeCell ref="D852:D854"/>
    <mergeCell ref="E852:E854"/>
    <mergeCell ref="F852:F854"/>
    <mergeCell ref="G852:G854"/>
    <mergeCell ref="A855:A857"/>
    <mergeCell ref="B855:B857"/>
    <mergeCell ref="C855:C857"/>
    <mergeCell ref="D855:D857"/>
    <mergeCell ref="E855:E857"/>
    <mergeCell ref="F855:F857"/>
    <mergeCell ref="G855:G857"/>
    <mergeCell ref="A858:A860"/>
    <mergeCell ref="B858:B860"/>
    <mergeCell ref="C858:C860"/>
    <mergeCell ref="D858:D860"/>
    <mergeCell ref="E858:E860"/>
    <mergeCell ref="F858:F860"/>
    <mergeCell ref="G858:G860"/>
    <mergeCell ref="A861:A863"/>
    <mergeCell ref="B861:B863"/>
    <mergeCell ref="C861:C863"/>
    <mergeCell ref="D861:D863"/>
    <mergeCell ref="E861:E863"/>
    <mergeCell ref="F861:F863"/>
    <mergeCell ref="G861:G863"/>
    <mergeCell ref="A864:A866"/>
    <mergeCell ref="B864:B866"/>
    <mergeCell ref="C864:C866"/>
    <mergeCell ref="D864:D866"/>
    <mergeCell ref="E864:E866"/>
    <mergeCell ref="F864:F866"/>
    <mergeCell ref="G864:G866"/>
    <mergeCell ref="A867:A869"/>
    <mergeCell ref="B867:B869"/>
    <mergeCell ref="C867:C869"/>
    <mergeCell ref="D867:D869"/>
    <mergeCell ref="E867:E869"/>
    <mergeCell ref="F867:F869"/>
    <mergeCell ref="G867:G869"/>
    <mergeCell ref="A870:A872"/>
    <mergeCell ref="B870:B872"/>
    <mergeCell ref="C870:C872"/>
    <mergeCell ref="D870:D872"/>
    <mergeCell ref="E870:E872"/>
    <mergeCell ref="F870:F872"/>
    <mergeCell ref="G870:G872"/>
    <mergeCell ref="A873:A875"/>
    <mergeCell ref="B873:B875"/>
    <mergeCell ref="C873:C875"/>
    <mergeCell ref="D873:D875"/>
    <mergeCell ref="E873:E875"/>
    <mergeCell ref="F873:F875"/>
    <mergeCell ref="G873:G875"/>
    <mergeCell ref="A876:A878"/>
    <mergeCell ref="B876:B878"/>
    <mergeCell ref="C876:C878"/>
    <mergeCell ref="D876:D878"/>
    <mergeCell ref="E876:E878"/>
    <mergeCell ref="F876:F878"/>
    <mergeCell ref="G876:G878"/>
    <mergeCell ref="A879:A881"/>
    <mergeCell ref="B879:B881"/>
    <mergeCell ref="C879:C881"/>
    <mergeCell ref="D879:D881"/>
    <mergeCell ref="E879:E881"/>
    <mergeCell ref="F879:F881"/>
    <mergeCell ref="G879:G881"/>
    <mergeCell ref="A882:A894"/>
    <mergeCell ref="B882:B894"/>
    <mergeCell ref="C882:C894"/>
    <mergeCell ref="D882:D894"/>
    <mergeCell ref="E882:E894"/>
    <mergeCell ref="F882:F894"/>
    <mergeCell ref="G883:G885"/>
    <mergeCell ref="G886:G888"/>
    <mergeCell ref="G889:G891"/>
    <mergeCell ref="G892:G894"/>
    <mergeCell ref="A895:A897"/>
    <mergeCell ref="B895:B897"/>
    <mergeCell ref="C895:C897"/>
    <mergeCell ref="D895:D897"/>
    <mergeCell ref="E895:E897"/>
    <mergeCell ref="F895:F897"/>
    <mergeCell ref="G895:G897"/>
    <mergeCell ref="A898:A901"/>
    <mergeCell ref="B898:B901"/>
    <mergeCell ref="C898:C901"/>
    <mergeCell ref="D898:D901"/>
    <mergeCell ref="E898:E901"/>
    <mergeCell ref="F898:F901"/>
    <mergeCell ref="G899:G901"/>
    <mergeCell ref="A902:A908"/>
    <mergeCell ref="B902:B908"/>
    <mergeCell ref="C902:C908"/>
    <mergeCell ref="D902:D908"/>
    <mergeCell ref="E902:E908"/>
    <mergeCell ref="F902:F908"/>
    <mergeCell ref="G903:G905"/>
    <mergeCell ref="G906:G908"/>
    <mergeCell ref="A909:A911"/>
    <mergeCell ref="B909:B911"/>
    <mergeCell ref="C909:C911"/>
    <mergeCell ref="D909:D911"/>
    <mergeCell ref="E909:E911"/>
    <mergeCell ref="F909:F911"/>
    <mergeCell ref="G909:G911"/>
    <mergeCell ref="A912:A914"/>
    <mergeCell ref="B912:B914"/>
    <mergeCell ref="C912:C914"/>
    <mergeCell ref="D912:D914"/>
    <mergeCell ref="E912:E914"/>
    <mergeCell ref="F912:F914"/>
    <mergeCell ref="G912:G914"/>
    <mergeCell ref="A915:A917"/>
    <mergeCell ref="B915:B917"/>
    <mergeCell ref="C915:C917"/>
    <mergeCell ref="D915:D917"/>
    <mergeCell ref="E915:E917"/>
    <mergeCell ref="F915:F917"/>
    <mergeCell ref="G915:G917"/>
    <mergeCell ref="A918:A920"/>
    <mergeCell ref="B918:B920"/>
    <mergeCell ref="C918:C920"/>
    <mergeCell ref="D918:D920"/>
    <mergeCell ref="E918:E920"/>
    <mergeCell ref="F918:F920"/>
    <mergeCell ref="G918:G920"/>
    <mergeCell ref="A921:A925"/>
    <mergeCell ref="B921:B925"/>
    <mergeCell ref="C921:C925"/>
    <mergeCell ref="D921:D925"/>
    <mergeCell ref="E921:E925"/>
    <mergeCell ref="F921:F925"/>
    <mergeCell ref="G922:G923"/>
    <mergeCell ref="G924:G925"/>
    <mergeCell ref="A926:A928"/>
    <mergeCell ref="B926:B928"/>
    <mergeCell ref="C926:C928"/>
    <mergeCell ref="D926:D928"/>
    <mergeCell ref="E926:E928"/>
    <mergeCell ref="F926:F928"/>
    <mergeCell ref="G926:G928"/>
    <mergeCell ref="A929:A931"/>
    <mergeCell ref="B929:B931"/>
    <mergeCell ref="C929:C931"/>
    <mergeCell ref="D929:D931"/>
    <mergeCell ref="E929:E931"/>
    <mergeCell ref="F929:F931"/>
    <mergeCell ref="G929:G931"/>
    <mergeCell ref="A932:A934"/>
    <mergeCell ref="B932:B934"/>
    <mergeCell ref="C932:C934"/>
    <mergeCell ref="D932:D934"/>
    <mergeCell ref="E932:E934"/>
    <mergeCell ref="F932:F934"/>
    <mergeCell ref="G932:G934"/>
    <mergeCell ref="A935:A937"/>
    <mergeCell ref="B935:B937"/>
    <mergeCell ref="C935:C937"/>
    <mergeCell ref="D935:D937"/>
    <mergeCell ref="E935:E937"/>
    <mergeCell ref="F935:F937"/>
    <mergeCell ref="G935:G937"/>
    <mergeCell ref="A938:A940"/>
    <mergeCell ref="B938:B940"/>
    <mergeCell ref="C938:C940"/>
    <mergeCell ref="D938:D940"/>
    <mergeCell ref="E938:E940"/>
    <mergeCell ref="F938:F940"/>
    <mergeCell ref="G938:G940"/>
    <mergeCell ref="A941:A943"/>
    <mergeCell ref="B941:B943"/>
    <mergeCell ref="C941:C943"/>
    <mergeCell ref="D941:D943"/>
    <mergeCell ref="E941:E943"/>
    <mergeCell ref="F941:F943"/>
    <mergeCell ref="G941:G943"/>
    <mergeCell ref="A944:A945"/>
    <mergeCell ref="B944:B945"/>
    <mergeCell ref="C944:C945"/>
    <mergeCell ref="D944:D945"/>
    <mergeCell ref="E944:E945"/>
    <mergeCell ref="F944:F945"/>
    <mergeCell ref="G944:G945"/>
    <mergeCell ref="A946:A952"/>
    <mergeCell ref="B946:B952"/>
    <mergeCell ref="C946:C952"/>
    <mergeCell ref="D946:D952"/>
    <mergeCell ref="E946:E952"/>
    <mergeCell ref="F946:F952"/>
    <mergeCell ref="G947:G949"/>
    <mergeCell ref="G950:G952"/>
    <mergeCell ref="A953:A965"/>
    <mergeCell ref="B953:B965"/>
    <mergeCell ref="C953:C965"/>
    <mergeCell ref="D953:D965"/>
    <mergeCell ref="E953:E965"/>
    <mergeCell ref="F953:F965"/>
    <mergeCell ref="G954:G956"/>
    <mergeCell ref="G957:G959"/>
    <mergeCell ref="G960:G962"/>
    <mergeCell ref="G963:G965"/>
    <mergeCell ref="A966:A969"/>
    <mergeCell ref="B966:B969"/>
    <mergeCell ref="C966:C969"/>
    <mergeCell ref="D966:D969"/>
    <mergeCell ref="E966:E969"/>
    <mergeCell ref="F966:F969"/>
    <mergeCell ref="G967:G969"/>
    <mergeCell ref="A970:A978"/>
    <mergeCell ref="B970:B978"/>
    <mergeCell ref="C970:C978"/>
    <mergeCell ref="D970:D978"/>
    <mergeCell ref="E970:E978"/>
    <mergeCell ref="F970:F978"/>
    <mergeCell ref="G971:G972"/>
    <mergeCell ref="G973:G974"/>
    <mergeCell ref="G975:G976"/>
    <mergeCell ref="G977:G978"/>
    <mergeCell ref="A979:A985"/>
    <mergeCell ref="B979:B985"/>
    <mergeCell ref="C979:C985"/>
    <mergeCell ref="D979:D985"/>
    <mergeCell ref="E979:E985"/>
    <mergeCell ref="F979:F985"/>
    <mergeCell ref="G980:G982"/>
    <mergeCell ref="G983:G985"/>
    <mergeCell ref="A986:A988"/>
    <mergeCell ref="B986:B988"/>
    <mergeCell ref="C986:C988"/>
    <mergeCell ref="D986:D988"/>
    <mergeCell ref="E986:E988"/>
    <mergeCell ref="F986:F988"/>
    <mergeCell ref="G986:G988"/>
    <mergeCell ref="A989:A991"/>
    <mergeCell ref="B989:B991"/>
    <mergeCell ref="C989:C991"/>
    <mergeCell ref="D989:D991"/>
    <mergeCell ref="E989:E991"/>
    <mergeCell ref="F989:F991"/>
    <mergeCell ref="G989:G991"/>
    <mergeCell ref="A992:A994"/>
    <mergeCell ref="B992:B994"/>
    <mergeCell ref="C992:C994"/>
    <mergeCell ref="D992:D994"/>
    <mergeCell ref="E992:E994"/>
    <mergeCell ref="F992:F994"/>
    <mergeCell ref="G992:G994"/>
    <mergeCell ref="A1030:A1039"/>
    <mergeCell ref="B1030:B1039"/>
    <mergeCell ref="C1030:C1039"/>
    <mergeCell ref="D1030:D1039"/>
    <mergeCell ref="E1030:E1039"/>
    <mergeCell ref="F1030:F1039"/>
    <mergeCell ref="G1031:G1033"/>
    <mergeCell ref="G1034:G1036"/>
    <mergeCell ref="G1037:G1039"/>
    <mergeCell ref="A1040:A1042"/>
    <mergeCell ref="B1040:B1042"/>
    <mergeCell ref="C1040:C1042"/>
    <mergeCell ref="D1040:D1042"/>
    <mergeCell ref="E1040:E1042"/>
    <mergeCell ref="F1040:F1042"/>
    <mergeCell ref="G1040:G1042"/>
    <mergeCell ref="A1011:A1013"/>
    <mergeCell ref="B1011:B1013"/>
    <mergeCell ref="C1011:C1013"/>
    <mergeCell ref="D1011:D1013"/>
    <mergeCell ref="E1011:E1013"/>
    <mergeCell ref="F1011:F1013"/>
    <mergeCell ref="G1011:G1013"/>
    <mergeCell ref="A1014:A1023"/>
    <mergeCell ref="B1014:B1023"/>
    <mergeCell ref="C1014:C1023"/>
    <mergeCell ref="D1014:D1023"/>
    <mergeCell ref="E1014:E1023"/>
    <mergeCell ref="F1014:F1023"/>
    <mergeCell ref="G1015:G1017"/>
    <mergeCell ref="G1018:G1020"/>
    <mergeCell ref="G1021:G1023"/>
    <mergeCell ref="G764:G766"/>
    <mergeCell ref="A1027:A1029"/>
    <mergeCell ref="B1027:B1029"/>
    <mergeCell ref="C1027:C1029"/>
    <mergeCell ref="D1027:D1029"/>
    <mergeCell ref="E1027:E1029"/>
    <mergeCell ref="F1027:F1029"/>
    <mergeCell ref="G1027:G1029"/>
    <mergeCell ref="A1024:A1026"/>
    <mergeCell ref="B1024:B1026"/>
    <mergeCell ref="C1024:C1026"/>
    <mergeCell ref="D1024:D1026"/>
    <mergeCell ref="E1024:E1026"/>
    <mergeCell ref="F1024:F1026"/>
    <mergeCell ref="G1024:G1026"/>
    <mergeCell ref="A995:A1007"/>
    <mergeCell ref="B995:B1007"/>
    <mergeCell ref="C995:C1007"/>
    <mergeCell ref="D995:D1007"/>
    <mergeCell ref="E995:E1007"/>
    <mergeCell ref="F995:F1007"/>
    <mergeCell ref="G996:G998"/>
    <mergeCell ref="G999:G1001"/>
    <mergeCell ref="G1002:G1004"/>
    <mergeCell ref="G1005:G1007"/>
    <mergeCell ref="A1008:A1010"/>
    <mergeCell ref="B1008:B1010"/>
    <mergeCell ref="C1008:C1010"/>
    <mergeCell ref="D1008:D1010"/>
    <mergeCell ref="E1008:E1010"/>
    <mergeCell ref="F1008:F1010"/>
    <mergeCell ref="G1008:G1010"/>
    <mergeCell ref="A1043:A1045"/>
    <mergeCell ref="B1043:B1045"/>
    <mergeCell ref="C1043:C1045"/>
    <mergeCell ref="D1043:D1045"/>
    <mergeCell ref="E1043:E1045"/>
    <mergeCell ref="F1043:F1045"/>
    <mergeCell ref="G1043:G1045"/>
    <mergeCell ref="A1046:A1049"/>
    <mergeCell ref="B1046:B1049"/>
    <mergeCell ref="C1046:C1049"/>
    <mergeCell ref="D1046:D1049"/>
    <mergeCell ref="E1046:E1049"/>
    <mergeCell ref="F1046:F1049"/>
    <mergeCell ref="E1613:E1615"/>
    <mergeCell ref="F1613:F1615"/>
    <mergeCell ref="A1616:A1619"/>
    <mergeCell ref="B1616:B1619"/>
    <mergeCell ref="C1616:C1619"/>
    <mergeCell ref="D1616:D1619"/>
    <mergeCell ref="E1616:E1619"/>
    <mergeCell ref="F1616:F1619"/>
    <mergeCell ref="G1618:G1619"/>
    <mergeCell ref="G1047:G1049"/>
    <mergeCell ref="A1437:A1439"/>
    <mergeCell ref="A1556:A1560"/>
    <mergeCell ref="B1556:B1560"/>
    <mergeCell ref="C1556:C1560"/>
    <mergeCell ref="D1556:D1560"/>
    <mergeCell ref="E1556:E1560"/>
    <mergeCell ref="F1556:F1560"/>
    <mergeCell ref="A1534:A1536"/>
    <mergeCell ref="B1534:B1536"/>
    <mergeCell ref="A1630:A1632"/>
    <mergeCell ref="B1630:B1632"/>
    <mergeCell ref="C1630:C1632"/>
    <mergeCell ref="D1630:D1632"/>
    <mergeCell ref="E1630:E1632"/>
    <mergeCell ref="F1630:F1632"/>
    <mergeCell ref="G1631:G1632"/>
    <mergeCell ref="A1633:A1636"/>
    <mergeCell ref="B1633:B1636"/>
    <mergeCell ref="C1633:C1636"/>
    <mergeCell ref="D1633:D1636"/>
    <mergeCell ref="E1633:E1636"/>
    <mergeCell ref="F1633:F1636"/>
    <mergeCell ref="G1635:G1636"/>
    <mergeCell ref="B1641:B1643"/>
    <mergeCell ref="C1641:C1643"/>
    <mergeCell ref="D1641:D1643"/>
    <mergeCell ref="E1641:E1643"/>
    <mergeCell ref="F1641:F1643"/>
    <mergeCell ref="A1637:A1640"/>
    <mergeCell ref="B1637:B1640"/>
    <mergeCell ref="C1637:C1640"/>
    <mergeCell ref="D1637:D1640"/>
    <mergeCell ref="E1637:E1640"/>
    <mergeCell ref="F1637:F1640"/>
    <mergeCell ref="G1639:G1640"/>
    <mergeCell ref="A1641:A1643"/>
    <mergeCell ref="G1641:G1643"/>
    <mergeCell ref="A1648:A1650"/>
    <mergeCell ref="B1648:B1650"/>
    <mergeCell ref="C1648:C1650"/>
    <mergeCell ref="D1648:D1650"/>
    <mergeCell ref="E1648:E1650"/>
    <mergeCell ref="F1648:F1650"/>
    <mergeCell ref="A1651:A1653"/>
    <mergeCell ref="B1651:B1653"/>
    <mergeCell ref="C1651:C1653"/>
    <mergeCell ref="D1651:D1653"/>
    <mergeCell ref="E1651:E1653"/>
    <mergeCell ref="F1651:F1653"/>
    <mergeCell ref="G1651:G1653"/>
    <mergeCell ref="A1644:A1645"/>
    <mergeCell ref="B1644:B1645"/>
    <mergeCell ref="C1644:C1645"/>
    <mergeCell ref="D1644:D1645"/>
    <mergeCell ref="E1644:E1645"/>
    <mergeCell ref="F1644:F1645"/>
    <mergeCell ref="G1644:G1645"/>
    <mergeCell ref="A1646:A1647"/>
    <mergeCell ref="B1646:B1647"/>
    <mergeCell ref="C1646:C1647"/>
    <mergeCell ref="D1646:D1647"/>
    <mergeCell ref="A1654:A1656"/>
    <mergeCell ref="B1654:B1656"/>
    <mergeCell ref="C1654:C1656"/>
    <mergeCell ref="D1654:D1656"/>
    <mergeCell ref="E1654:E1656"/>
    <mergeCell ref="F1654:F1656"/>
    <mergeCell ref="G1654:G1656"/>
    <mergeCell ref="A1657:A1659"/>
    <mergeCell ref="B1657:B1659"/>
    <mergeCell ref="C1657:C1659"/>
    <mergeCell ref="D1657:D1659"/>
    <mergeCell ref="E1657:E1659"/>
    <mergeCell ref="F1657:F1659"/>
    <mergeCell ref="G1657:G1659"/>
    <mergeCell ref="A1660:A1661"/>
    <mergeCell ref="B1660:B1661"/>
    <mergeCell ref="C1660:C1661"/>
    <mergeCell ref="D1660:D1661"/>
    <mergeCell ref="E1660:E1661"/>
    <mergeCell ref="F1660:F1661"/>
    <mergeCell ref="G1660:G1661"/>
    <mergeCell ref="A1662:A1664"/>
    <mergeCell ref="B1662:B1664"/>
    <mergeCell ref="C1662:C1664"/>
    <mergeCell ref="D1662:D1664"/>
    <mergeCell ref="E1662:E1664"/>
    <mergeCell ref="F1662:F1664"/>
    <mergeCell ref="G1662:G1664"/>
    <mergeCell ref="E1721:E1723"/>
    <mergeCell ref="F1721:F1723"/>
    <mergeCell ref="G1721:G1723"/>
    <mergeCell ref="A1724:A1725"/>
    <mergeCell ref="B1724:B1725"/>
    <mergeCell ref="C1724:C1725"/>
    <mergeCell ref="D1724:D1725"/>
    <mergeCell ref="E1724:E1725"/>
    <mergeCell ref="F1724:F1725"/>
    <mergeCell ref="G1724:G1725"/>
    <mergeCell ref="A1665:A1666"/>
    <mergeCell ref="B1665:B1666"/>
    <mergeCell ref="C1665:C1666"/>
    <mergeCell ref="D1665:D1666"/>
    <mergeCell ref="E1665:E1666"/>
    <mergeCell ref="F1665:F1666"/>
    <mergeCell ref="G1665:G1666"/>
    <mergeCell ref="A1667:A1669"/>
    <mergeCell ref="B1667:B1669"/>
    <mergeCell ref="C1667:C1669"/>
    <mergeCell ref="D1667:D1669"/>
    <mergeCell ref="E1667:E1669"/>
    <mergeCell ref="F1667:F1669"/>
    <mergeCell ref="A1670:A1679"/>
    <mergeCell ref="G1674:G1676"/>
    <mergeCell ref="C1801:C1804"/>
    <mergeCell ref="D1801:D1804"/>
    <mergeCell ref="E1801:E1804"/>
    <mergeCell ref="F1801:F1804"/>
    <mergeCell ref="B1741:B1747"/>
    <mergeCell ref="C1741:C1747"/>
    <mergeCell ref="D1741:D1747"/>
    <mergeCell ref="A1750:A1752"/>
    <mergeCell ref="B1750:B1752"/>
    <mergeCell ref="C1750:C1752"/>
    <mergeCell ref="D1750:D1752"/>
    <mergeCell ref="E1750:E1752"/>
    <mergeCell ref="F1750:F1752"/>
    <mergeCell ref="A1753:A1754"/>
    <mergeCell ref="B1753:B1754"/>
    <mergeCell ref="C1753:C1754"/>
    <mergeCell ref="D1753:D1754"/>
    <mergeCell ref="E1753:E1754"/>
    <mergeCell ref="F1753:F1754"/>
    <mergeCell ref="A1758:A1767"/>
    <mergeCell ref="B1758:B1767"/>
    <mergeCell ref="C1758:C1767"/>
    <mergeCell ref="D1758:D1767"/>
    <mergeCell ref="E1758:E1767"/>
    <mergeCell ref="F1758:F1767"/>
    <mergeCell ref="C1779:C1780"/>
    <mergeCell ref="D1779:D1780"/>
    <mergeCell ref="E1779:E1780"/>
    <mergeCell ref="F1779:F1780"/>
    <mergeCell ref="C1786:C1788"/>
    <mergeCell ref="D1786:D1788"/>
    <mergeCell ref="E1786:E1788"/>
    <mergeCell ref="A1813:A1815"/>
    <mergeCell ref="B1813:B1815"/>
    <mergeCell ref="C1813:C1815"/>
    <mergeCell ref="D1813:D1815"/>
    <mergeCell ref="E1813:E1815"/>
    <mergeCell ref="F1813:F1815"/>
    <mergeCell ref="G1813:G1815"/>
    <mergeCell ref="A1816:A1817"/>
    <mergeCell ref="B1816:B1817"/>
    <mergeCell ref="A1824:A1826"/>
    <mergeCell ref="B1824:B1826"/>
    <mergeCell ref="C1824:C1826"/>
    <mergeCell ref="D1824:D1826"/>
    <mergeCell ref="E1824:E1826"/>
    <mergeCell ref="F1824:F1826"/>
    <mergeCell ref="G1825:G1826"/>
    <mergeCell ref="C1816:C1817"/>
    <mergeCell ref="D1816:D1817"/>
    <mergeCell ref="E1816:E1817"/>
    <mergeCell ref="F1816:F1817"/>
    <mergeCell ref="G1816:G1817"/>
    <mergeCell ref="A1818:A1819"/>
    <mergeCell ref="B1818:B1819"/>
    <mergeCell ref="C1818:C1819"/>
    <mergeCell ref="A1827:A1828"/>
    <mergeCell ref="B1827:B1828"/>
    <mergeCell ref="C1827:C1828"/>
    <mergeCell ref="D1827:D1828"/>
    <mergeCell ref="E1827:E1828"/>
    <mergeCell ref="F1827:F1828"/>
    <mergeCell ref="A1829:A1832"/>
    <mergeCell ref="D1843:D1858"/>
    <mergeCell ref="E1843:E1858"/>
    <mergeCell ref="F1843:F1858"/>
    <mergeCell ref="G1844:G1845"/>
    <mergeCell ref="G1850:G1852"/>
    <mergeCell ref="G1853:G1855"/>
    <mergeCell ref="G1856:G1858"/>
    <mergeCell ref="A1836:A1838"/>
    <mergeCell ref="B1836:B1838"/>
    <mergeCell ref="C1836:C1838"/>
    <mergeCell ref="D1836:D1838"/>
    <mergeCell ref="E1836:E1838"/>
    <mergeCell ref="G1847:G1849"/>
    <mergeCell ref="A1833:A1835"/>
    <mergeCell ref="B1833:B1835"/>
    <mergeCell ref="C1833:C1835"/>
    <mergeCell ref="D1833:D1835"/>
    <mergeCell ref="E1833:E1835"/>
    <mergeCell ref="F1833:F1835"/>
    <mergeCell ref="F1836:F1838"/>
    <mergeCell ref="A1843:A1858"/>
    <mergeCell ref="B1843:B1858"/>
    <mergeCell ref="C1843:C1858"/>
    <mergeCell ref="B1829:B1832"/>
    <mergeCell ref="C1829:C1832"/>
    <mergeCell ref="A1873:A1875"/>
    <mergeCell ref="B1873:B1875"/>
    <mergeCell ref="C1873:C1875"/>
    <mergeCell ref="D1873:D1875"/>
    <mergeCell ref="E1873:E1875"/>
    <mergeCell ref="F1873:F1875"/>
    <mergeCell ref="G1873:G1875"/>
    <mergeCell ref="A1859:A1863"/>
    <mergeCell ref="B1859:B1863"/>
    <mergeCell ref="C1859:C1863"/>
    <mergeCell ref="D1859:D1863"/>
    <mergeCell ref="E1859:E1863"/>
    <mergeCell ref="F1859:F1863"/>
    <mergeCell ref="A1866:A1867"/>
    <mergeCell ref="B1866:B1867"/>
    <mergeCell ref="C1866:C1867"/>
    <mergeCell ref="D1866:D1867"/>
    <mergeCell ref="E1866:E1867"/>
    <mergeCell ref="F1866:F1867"/>
    <mergeCell ref="G1866:G1867"/>
    <mergeCell ref="A1868:A1869"/>
    <mergeCell ref="B1868:B1869"/>
    <mergeCell ref="C1868:C1869"/>
    <mergeCell ref="D1868:D1869"/>
    <mergeCell ref="E1868:E1869"/>
    <mergeCell ref="F1868:F1869"/>
    <mergeCell ref="G1868:G1869"/>
    <mergeCell ref="A1870:A1872"/>
    <mergeCell ref="B1870:B1872"/>
    <mergeCell ref="C1870:C1872"/>
    <mergeCell ref="D1870:D1872"/>
    <mergeCell ref="E1870:E1872"/>
    <mergeCell ref="A1876:A1877"/>
    <mergeCell ref="B1876:B1877"/>
    <mergeCell ref="C1876:C1877"/>
    <mergeCell ref="D1876:D1877"/>
    <mergeCell ref="E1876:E1877"/>
    <mergeCell ref="F1876:F1877"/>
    <mergeCell ref="G1876:G1877"/>
    <mergeCell ref="A1878:A1880"/>
    <mergeCell ref="B1878:B1880"/>
    <mergeCell ref="C1878:C1880"/>
    <mergeCell ref="D1878:D1880"/>
    <mergeCell ref="E1878:E1880"/>
    <mergeCell ref="F1878:F1880"/>
    <mergeCell ref="G1878:G1880"/>
    <mergeCell ref="A1881:A1882"/>
    <mergeCell ref="B1881:B1882"/>
    <mergeCell ref="C1881:C1882"/>
    <mergeCell ref="D1881:D1882"/>
    <mergeCell ref="E1881:E1882"/>
    <mergeCell ref="F1881:F1882"/>
    <mergeCell ref="G1881:G1882"/>
    <mergeCell ref="A1887:A1889"/>
    <mergeCell ref="B1887:B1889"/>
    <mergeCell ref="C1887:C1889"/>
    <mergeCell ref="D1887:D1889"/>
    <mergeCell ref="E1887:E1889"/>
    <mergeCell ref="F1887:F1889"/>
    <mergeCell ref="A1890:A1892"/>
    <mergeCell ref="B1890:B1892"/>
    <mergeCell ref="C1890:C1892"/>
    <mergeCell ref="D1890:D1892"/>
    <mergeCell ref="E1890:E1892"/>
    <mergeCell ref="F1890:F1892"/>
    <mergeCell ref="G1890:G1892"/>
    <mergeCell ref="A1883:A1886"/>
    <mergeCell ref="B1883:B1886"/>
    <mergeCell ref="C1883:C1886"/>
    <mergeCell ref="D1883:D1886"/>
    <mergeCell ref="E1883:E1886"/>
    <mergeCell ref="F1883:F1886"/>
    <mergeCell ref="A1893:A1896"/>
    <mergeCell ref="B1893:B1896"/>
    <mergeCell ref="C1893:C1896"/>
    <mergeCell ref="D1893:D1896"/>
    <mergeCell ref="E1893:E1896"/>
    <mergeCell ref="F1893:F1896"/>
    <mergeCell ref="A1897:A1899"/>
    <mergeCell ref="B1897:B1899"/>
    <mergeCell ref="C1897:C1899"/>
    <mergeCell ref="D1897:D1899"/>
    <mergeCell ref="E1897:E1899"/>
    <mergeCell ref="F1897:F1899"/>
    <mergeCell ref="G1897:G1899"/>
    <mergeCell ref="A1900:A1901"/>
    <mergeCell ref="B1900:B1901"/>
    <mergeCell ref="C1900:C1901"/>
    <mergeCell ref="D1900:D1901"/>
    <mergeCell ref="E1900:E1901"/>
    <mergeCell ref="F1900:F1901"/>
    <mergeCell ref="G1900:G1901"/>
    <mergeCell ref="A1902:A1908"/>
    <mergeCell ref="B1902:B1908"/>
    <mergeCell ref="C1902:C1908"/>
    <mergeCell ref="D1902:D1908"/>
    <mergeCell ref="E1902:E1908"/>
    <mergeCell ref="F1902:F1908"/>
    <mergeCell ref="G1902:G1904"/>
    <mergeCell ref="G1905:G1906"/>
    <mergeCell ref="G1907:G1908"/>
    <mergeCell ref="A1909:A1910"/>
    <mergeCell ref="B1909:B1910"/>
    <mergeCell ref="C1909:C1910"/>
    <mergeCell ref="D1909:D1910"/>
    <mergeCell ref="E1909:E1910"/>
    <mergeCell ref="F1909:F1910"/>
    <mergeCell ref="G1909:G1910"/>
    <mergeCell ref="A1911:A1912"/>
    <mergeCell ref="B1911:B1912"/>
    <mergeCell ref="C1911:C1912"/>
    <mergeCell ref="D1911:D1912"/>
    <mergeCell ref="E1911:E1912"/>
    <mergeCell ref="F1911:F1912"/>
    <mergeCell ref="G1911:G1912"/>
    <mergeCell ref="A1913:A1915"/>
    <mergeCell ref="B1913:B1915"/>
    <mergeCell ref="C1913:C1915"/>
    <mergeCell ref="D1913:D1915"/>
    <mergeCell ref="E1913:E1915"/>
    <mergeCell ref="F1913:F1915"/>
    <mergeCell ref="G1913:G1915"/>
    <mergeCell ref="A1916:A1918"/>
    <mergeCell ref="B1916:B1918"/>
    <mergeCell ref="C1916:C1918"/>
    <mergeCell ref="D1916:D1918"/>
    <mergeCell ref="E1916:E1918"/>
    <mergeCell ref="F1916:F1918"/>
    <mergeCell ref="G1916:G1918"/>
    <mergeCell ref="A1919:A1921"/>
    <mergeCell ref="B1919:B1921"/>
    <mergeCell ref="C1919:C1921"/>
    <mergeCell ref="D1919:D1921"/>
    <mergeCell ref="E1919:E1921"/>
    <mergeCell ref="F1919:F1921"/>
    <mergeCell ref="G1919:G1921"/>
    <mergeCell ref="A1922:A1924"/>
    <mergeCell ref="B1922:B1924"/>
    <mergeCell ref="C1922:C1924"/>
    <mergeCell ref="D1922:D1924"/>
    <mergeCell ref="E1922:E1924"/>
    <mergeCell ref="F1922:F1924"/>
    <mergeCell ref="G1922:G1924"/>
    <mergeCell ref="A1925:A1931"/>
    <mergeCell ref="B1925:B1931"/>
    <mergeCell ref="C1925:C1931"/>
    <mergeCell ref="D1925:D1931"/>
    <mergeCell ref="E1925:E1931"/>
    <mergeCell ref="F1925:F1931"/>
    <mergeCell ref="G1925:G1927"/>
    <mergeCell ref="G1928:G1929"/>
    <mergeCell ref="G1930:G1931"/>
    <mergeCell ref="A1932:A1934"/>
    <mergeCell ref="B1932:B1934"/>
    <mergeCell ref="C1932:C1934"/>
    <mergeCell ref="D1932:D1934"/>
    <mergeCell ref="E1932:E1934"/>
    <mergeCell ref="F1932:F1934"/>
    <mergeCell ref="G1932:G1934"/>
    <mergeCell ref="A1935:A1937"/>
    <mergeCell ref="B1935:B1937"/>
    <mergeCell ref="C1935:C1937"/>
    <mergeCell ref="D1935:D1937"/>
    <mergeCell ref="E1935:E1937"/>
    <mergeCell ref="F1935:F1937"/>
    <mergeCell ref="G1935:G1937"/>
    <mergeCell ref="A1938:A1941"/>
    <mergeCell ref="B1938:B1941"/>
    <mergeCell ref="C1938:C1941"/>
    <mergeCell ref="D1938:D1941"/>
    <mergeCell ref="E1938:E1941"/>
    <mergeCell ref="F1938:F1941"/>
    <mergeCell ref="A1942:A1944"/>
    <mergeCell ref="B1942:B1944"/>
    <mergeCell ref="C1942:C1944"/>
    <mergeCell ref="D1942:D1944"/>
    <mergeCell ref="E1942:E1944"/>
    <mergeCell ref="F1942:F1944"/>
    <mergeCell ref="G1942:G1944"/>
    <mergeCell ref="A1945:A1946"/>
    <mergeCell ref="B1945:B1946"/>
    <mergeCell ref="C1945:C1946"/>
    <mergeCell ref="D1945:D1946"/>
    <mergeCell ref="E1945:E1946"/>
    <mergeCell ref="F1945:F1946"/>
    <mergeCell ref="G1945:G1946"/>
    <mergeCell ref="A1947:A1951"/>
    <mergeCell ref="B1947:B1951"/>
    <mergeCell ref="C1947:C1951"/>
    <mergeCell ref="D1947:D1951"/>
    <mergeCell ref="E1947:E1951"/>
    <mergeCell ref="F1947:F1951"/>
    <mergeCell ref="G1947:G1948"/>
    <mergeCell ref="G1949:G1951"/>
    <mergeCell ref="A1952:A1953"/>
    <mergeCell ref="B1952:B1953"/>
    <mergeCell ref="C1952:C1953"/>
    <mergeCell ref="D1952:D1953"/>
    <mergeCell ref="E1952:E1953"/>
    <mergeCell ref="F1952:F1953"/>
    <mergeCell ref="G1952:G1953"/>
    <mergeCell ref="A1954:A1956"/>
    <mergeCell ref="B1954:B1956"/>
    <mergeCell ref="C1954:C1956"/>
    <mergeCell ref="D1954:D1956"/>
    <mergeCell ref="E1954:E1956"/>
    <mergeCell ref="F1954:F1956"/>
    <mergeCell ref="G1954:G1956"/>
    <mergeCell ref="A1957:A1960"/>
    <mergeCell ref="B1957:B1960"/>
    <mergeCell ref="C1957:C1960"/>
    <mergeCell ref="D1957:D1960"/>
    <mergeCell ref="E1957:E1960"/>
    <mergeCell ref="F1957:F1960"/>
    <mergeCell ref="A1961:A1963"/>
    <mergeCell ref="B1961:B1963"/>
    <mergeCell ref="C1961:C1963"/>
    <mergeCell ref="D1961:D1963"/>
    <mergeCell ref="E1961:E1963"/>
    <mergeCell ref="F1961:F1963"/>
    <mergeCell ref="G1962:G1963"/>
    <mergeCell ref="A1964:A1966"/>
    <mergeCell ref="B1964:B1966"/>
    <mergeCell ref="C1964:C1966"/>
    <mergeCell ref="D1964:D1966"/>
    <mergeCell ref="E1964:E1966"/>
    <mergeCell ref="F1964:F1966"/>
    <mergeCell ref="G1964:G1966"/>
    <mergeCell ref="A1967:A1968"/>
    <mergeCell ref="B1967:B1968"/>
    <mergeCell ref="C1967:C1968"/>
    <mergeCell ref="D1967:D1968"/>
    <mergeCell ref="E1967:E1968"/>
    <mergeCell ref="F1967:F1968"/>
    <mergeCell ref="G1967:G1968"/>
    <mergeCell ref="A1969:A1971"/>
    <mergeCell ref="B1969:B1971"/>
    <mergeCell ref="C1969:C1971"/>
    <mergeCell ref="D1969:D1971"/>
    <mergeCell ref="E1969:E1971"/>
    <mergeCell ref="F1969:F1971"/>
    <mergeCell ref="G1969:G1971"/>
    <mergeCell ref="A1972:A1974"/>
    <mergeCell ref="B1972:B1974"/>
    <mergeCell ref="C1972:C1974"/>
    <mergeCell ref="D1972:D1974"/>
    <mergeCell ref="E1972:E1974"/>
    <mergeCell ref="F1972:F1974"/>
    <mergeCell ref="G1972:G1974"/>
    <mergeCell ref="A1975:A1977"/>
    <mergeCell ref="B1975:B1977"/>
    <mergeCell ref="C1975:C1977"/>
    <mergeCell ref="D1975:D1977"/>
    <mergeCell ref="E1975:E1977"/>
    <mergeCell ref="F1975:F1977"/>
    <mergeCell ref="G1975:G1977"/>
    <mergeCell ref="A1978:A1980"/>
    <mergeCell ref="B1978:B1980"/>
    <mergeCell ref="C1978:C1980"/>
    <mergeCell ref="D1978:D1980"/>
    <mergeCell ref="E1978:E1980"/>
    <mergeCell ref="F1978:F1980"/>
    <mergeCell ref="G1978:G1980"/>
    <mergeCell ref="A1981:A1983"/>
    <mergeCell ref="B1981:B1983"/>
    <mergeCell ref="C1981:C1983"/>
    <mergeCell ref="D1981:D1983"/>
    <mergeCell ref="E1981:E1983"/>
    <mergeCell ref="F1981:F1983"/>
    <mergeCell ref="G1981:G1983"/>
    <mergeCell ref="A1984:A1985"/>
    <mergeCell ref="B1984:B1985"/>
    <mergeCell ref="C1984:C1985"/>
    <mergeCell ref="D1984:D1985"/>
    <mergeCell ref="E1984:E1985"/>
    <mergeCell ref="F1984:F1985"/>
    <mergeCell ref="G1984:G1985"/>
    <mergeCell ref="A1986:A1987"/>
    <mergeCell ref="B1986:B1987"/>
    <mergeCell ref="C1986:C1987"/>
    <mergeCell ref="D1986:D1987"/>
    <mergeCell ref="E1986:E1987"/>
    <mergeCell ref="F1986:F1987"/>
    <mergeCell ref="G1986:G1987"/>
    <mergeCell ref="A1988:A1989"/>
    <mergeCell ref="B1988:B1989"/>
    <mergeCell ref="C1988:C1989"/>
    <mergeCell ref="D1988:D1989"/>
    <mergeCell ref="E1988:E1989"/>
    <mergeCell ref="F1988:F1989"/>
    <mergeCell ref="G1988:G1989"/>
    <mergeCell ref="A1990:A1991"/>
    <mergeCell ref="B1990:B1991"/>
    <mergeCell ref="C1990:C1991"/>
    <mergeCell ref="D1990:D1991"/>
    <mergeCell ref="E1990:E1991"/>
    <mergeCell ref="F1990:F1991"/>
    <mergeCell ref="G1990:G1991"/>
    <mergeCell ref="A1992:A1993"/>
    <mergeCell ref="B1992:B1993"/>
    <mergeCell ref="C1992:C1993"/>
    <mergeCell ref="D1992:D1993"/>
    <mergeCell ref="E1992:E1993"/>
    <mergeCell ref="F1992:F1993"/>
    <mergeCell ref="G1992:G1993"/>
    <mergeCell ref="A1994:A1995"/>
    <mergeCell ref="B1994:B1995"/>
    <mergeCell ref="C1994:C1995"/>
    <mergeCell ref="D1994:D1995"/>
    <mergeCell ref="E1994:E1995"/>
    <mergeCell ref="F1994:F1995"/>
    <mergeCell ref="G1994:G1995"/>
    <mergeCell ref="A1996:A1998"/>
    <mergeCell ref="B1996:B1998"/>
    <mergeCell ref="C1996:C1998"/>
    <mergeCell ref="D1996:D1998"/>
    <mergeCell ref="E1996:E1998"/>
    <mergeCell ref="F1996:F1998"/>
    <mergeCell ref="G1996:G1998"/>
    <mergeCell ref="A1999:A2000"/>
    <mergeCell ref="B1999:B2000"/>
    <mergeCell ref="C1999:C2000"/>
    <mergeCell ref="D1999:D2000"/>
    <mergeCell ref="E1999:E2000"/>
    <mergeCell ref="F1999:F2000"/>
    <mergeCell ref="G1999:G2000"/>
    <mergeCell ref="A2001:A2003"/>
    <mergeCell ref="B2001:B2003"/>
    <mergeCell ref="C2001:C2003"/>
    <mergeCell ref="D2001:D2003"/>
    <mergeCell ref="E2001:E2003"/>
    <mergeCell ref="F2001:F2003"/>
    <mergeCell ref="A2004:A2005"/>
    <mergeCell ref="B2004:B2005"/>
    <mergeCell ref="C2004:C2005"/>
    <mergeCell ref="D2004:D2005"/>
    <mergeCell ref="E2004:E2005"/>
    <mergeCell ref="F2004:F2005"/>
    <mergeCell ref="G2004:G2005"/>
    <mergeCell ref="A2006:A2007"/>
    <mergeCell ref="B2006:B2007"/>
    <mergeCell ref="C2006:C2007"/>
    <mergeCell ref="D2006:D2007"/>
    <mergeCell ref="E2006:E2007"/>
    <mergeCell ref="F2006:F2007"/>
    <mergeCell ref="G2006:G2007"/>
    <mergeCell ref="A2008:A2009"/>
    <mergeCell ref="B2008:B2009"/>
    <mergeCell ref="C2008:C2009"/>
    <mergeCell ref="D2008:D2009"/>
    <mergeCell ref="E2008:E2009"/>
    <mergeCell ref="F2008:F2009"/>
    <mergeCell ref="G2008:G2009"/>
    <mergeCell ref="A2010:A2011"/>
    <mergeCell ref="B2010:B2011"/>
    <mergeCell ref="C2010:C2011"/>
    <mergeCell ref="D2010:D2011"/>
    <mergeCell ref="E2010:E2011"/>
    <mergeCell ref="F2010:F2011"/>
    <mergeCell ref="G2010:G2011"/>
    <mergeCell ref="A2012:A2018"/>
    <mergeCell ref="B2012:B2018"/>
    <mergeCell ref="C2012:C2018"/>
    <mergeCell ref="D2012:D2018"/>
    <mergeCell ref="E2012:E2018"/>
    <mergeCell ref="F2012:F2018"/>
    <mergeCell ref="G2013:G2015"/>
    <mergeCell ref="G2016:G2018"/>
    <mergeCell ref="A2019:A2025"/>
    <mergeCell ref="B2019:B2025"/>
    <mergeCell ref="C2019:C2025"/>
    <mergeCell ref="D2019:D2025"/>
    <mergeCell ref="E2019:E2025"/>
    <mergeCell ref="F2019:F2025"/>
    <mergeCell ref="G2020:G2022"/>
    <mergeCell ref="G2023:G2025"/>
    <mergeCell ref="A2026:A2030"/>
    <mergeCell ref="B2026:B2030"/>
    <mergeCell ref="C2026:C2030"/>
    <mergeCell ref="D2026:D2030"/>
    <mergeCell ref="E2026:E2030"/>
    <mergeCell ref="F2026:F2030"/>
    <mergeCell ref="A2031:A2032"/>
    <mergeCell ref="B2031:B2032"/>
    <mergeCell ref="C2031:C2032"/>
    <mergeCell ref="D2031:D2032"/>
    <mergeCell ref="E2031:E2032"/>
    <mergeCell ref="F2031:F2032"/>
    <mergeCell ref="G2031:G2032"/>
    <mergeCell ref="A2033:A2042"/>
    <mergeCell ref="B2033:B2042"/>
    <mergeCell ref="C2033:C2042"/>
    <mergeCell ref="D2033:D2042"/>
    <mergeCell ref="E2033:E2042"/>
    <mergeCell ref="F2033:F2042"/>
    <mergeCell ref="G2034:G2036"/>
    <mergeCell ref="G2037:G2039"/>
    <mergeCell ref="G2040:G2042"/>
    <mergeCell ref="A2043:A2044"/>
    <mergeCell ref="B2043:B2044"/>
    <mergeCell ref="C2043:C2044"/>
    <mergeCell ref="D2043:D2044"/>
    <mergeCell ref="E2043:E2044"/>
    <mergeCell ref="F2043:F2044"/>
    <mergeCell ref="G2043:G2044"/>
    <mergeCell ref="A2045:A2046"/>
    <mergeCell ref="B2045:B2046"/>
    <mergeCell ref="C2045:C2046"/>
    <mergeCell ref="D2045:D2046"/>
    <mergeCell ref="E2045:E2046"/>
    <mergeCell ref="F2045:F2046"/>
    <mergeCell ref="G2045:G2046"/>
    <mergeCell ref="A2047:A2048"/>
    <mergeCell ref="B2047:B2048"/>
    <mergeCell ref="C2047:C2048"/>
    <mergeCell ref="D2047:D2048"/>
    <mergeCell ref="E2047:E2048"/>
    <mergeCell ref="F2047:F2048"/>
    <mergeCell ref="G2047:G2048"/>
    <mergeCell ref="A2049:A2051"/>
    <mergeCell ref="B2049:B2051"/>
    <mergeCell ref="C2049:C2051"/>
    <mergeCell ref="D2049:D2051"/>
    <mergeCell ref="E2049:E2051"/>
    <mergeCell ref="F2049:F2051"/>
    <mergeCell ref="G2049:G2051"/>
    <mergeCell ref="A2052:A2053"/>
    <mergeCell ref="B2052:B2053"/>
    <mergeCell ref="C2052:C2053"/>
    <mergeCell ref="D2052:D2053"/>
    <mergeCell ref="E2052:E2053"/>
    <mergeCell ref="F2052:F2053"/>
    <mergeCell ref="G2052:G2053"/>
    <mergeCell ref="A2054:A2055"/>
    <mergeCell ref="B2054:B2055"/>
    <mergeCell ref="C2054:C2055"/>
    <mergeCell ref="D2054:D2055"/>
    <mergeCell ref="E2054:E2055"/>
    <mergeCell ref="F2054:F2055"/>
    <mergeCell ref="G2054:G2055"/>
    <mergeCell ref="A2056:A2057"/>
    <mergeCell ref="B2056:B2057"/>
    <mergeCell ref="C2056:C2057"/>
    <mergeCell ref="D2056:D2057"/>
    <mergeCell ref="E2056:E2057"/>
    <mergeCell ref="F2056:F2057"/>
    <mergeCell ref="G2056:G2057"/>
    <mergeCell ref="A2058:A2059"/>
    <mergeCell ref="B2058:B2059"/>
    <mergeCell ref="C2058:C2059"/>
    <mergeCell ref="D2058:D2059"/>
    <mergeCell ref="E2058:E2059"/>
    <mergeCell ref="F2058:F2059"/>
    <mergeCell ref="G2058:G2059"/>
    <mergeCell ref="A2060:A2061"/>
    <mergeCell ref="B2060:B2061"/>
    <mergeCell ref="C2060:C2061"/>
    <mergeCell ref="D2060:D2061"/>
    <mergeCell ref="E2060:E2061"/>
    <mergeCell ref="F2060:F2061"/>
    <mergeCell ref="G2060:G2061"/>
    <mergeCell ref="A2062:A2066"/>
    <mergeCell ref="B2062:B2066"/>
    <mergeCell ref="C2062:C2066"/>
    <mergeCell ref="D2062:D2066"/>
    <mergeCell ref="E2062:E2066"/>
    <mergeCell ref="F2062:F2066"/>
    <mergeCell ref="A2067:A2068"/>
    <mergeCell ref="B2067:B2068"/>
    <mergeCell ref="C2067:C2068"/>
    <mergeCell ref="D2067:D2068"/>
    <mergeCell ref="E2067:E2068"/>
    <mergeCell ref="F2067:F2068"/>
    <mergeCell ref="G2067:G2068"/>
    <mergeCell ref="A2069:A2070"/>
    <mergeCell ref="B2069:B2070"/>
    <mergeCell ref="C2069:C2070"/>
    <mergeCell ref="D2069:D2070"/>
    <mergeCell ref="E2069:E2070"/>
    <mergeCell ref="F2069:F2070"/>
    <mergeCell ref="G2069:G2070"/>
    <mergeCell ref="A2071:A2072"/>
    <mergeCell ref="B2071:B2072"/>
    <mergeCell ref="C2071:C2072"/>
    <mergeCell ref="D2071:D2072"/>
    <mergeCell ref="E2071:E2072"/>
    <mergeCell ref="F2071:F2072"/>
    <mergeCell ref="G2071:G2072"/>
    <mergeCell ref="A2073:A2074"/>
    <mergeCell ref="B2073:B2074"/>
    <mergeCell ref="C2073:C2074"/>
    <mergeCell ref="D2073:D2074"/>
    <mergeCell ref="E2073:E2074"/>
    <mergeCell ref="F2073:F2074"/>
    <mergeCell ref="G2073:G2074"/>
    <mergeCell ref="A2075:A2076"/>
    <mergeCell ref="B2075:B2076"/>
    <mergeCell ref="C2075:C2076"/>
    <mergeCell ref="D2075:D2076"/>
    <mergeCell ref="E2075:E2076"/>
    <mergeCell ref="F2075:F2076"/>
    <mergeCell ref="G2075:G2076"/>
    <mergeCell ref="A2077:A2080"/>
    <mergeCell ref="B2077:B2080"/>
    <mergeCell ref="C2077:C2080"/>
    <mergeCell ref="D2077:D2080"/>
    <mergeCell ref="E2077:E2080"/>
    <mergeCell ref="F2077:F2080"/>
    <mergeCell ref="A2081:A2082"/>
    <mergeCell ref="B2081:B2082"/>
    <mergeCell ref="C2081:C2082"/>
    <mergeCell ref="D2081:D2082"/>
    <mergeCell ref="E2081:E2082"/>
    <mergeCell ref="F2081:F2082"/>
    <mergeCell ref="G2081:G2082"/>
    <mergeCell ref="A2083:A2084"/>
    <mergeCell ref="B2083:B2084"/>
    <mergeCell ref="C2083:C2084"/>
    <mergeCell ref="D2083:D2084"/>
    <mergeCell ref="E2083:E2084"/>
    <mergeCell ref="F2083:F2084"/>
    <mergeCell ref="G2083:G2084"/>
    <mergeCell ref="A2085:A2094"/>
    <mergeCell ref="B2085:B2094"/>
    <mergeCell ref="C2085:C2094"/>
    <mergeCell ref="D2085:D2094"/>
    <mergeCell ref="E2085:E2094"/>
    <mergeCell ref="F2085:F2094"/>
    <mergeCell ref="G2086:G2087"/>
    <mergeCell ref="G2088:G2089"/>
    <mergeCell ref="G2090:G2091"/>
    <mergeCell ref="G2092:G2093"/>
    <mergeCell ref="A2095:A2104"/>
    <mergeCell ref="B2095:B2104"/>
    <mergeCell ref="C2095:C2104"/>
    <mergeCell ref="D2095:D2104"/>
    <mergeCell ref="E2095:E2104"/>
    <mergeCell ref="F2095:F2104"/>
    <mergeCell ref="G2096:G2097"/>
    <mergeCell ref="G2098:G2099"/>
    <mergeCell ref="G2100:G2101"/>
    <mergeCell ref="G2102:G2103"/>
    <mergeCell ref="A2105:A2113"/>
    <mergeCell ref="B2105:B2113"/>
    <mergeCell ref="C2105:C2113"/>
    <mergeCell ref="D2105:D2113"/>
    <mergeCell ref="E2105:E2113"/>
    <mergeCell ref="F2105:F2113"/>
    <mergeCell ref="G2106:G2107"/>
    <mergeCell ref="G2108:G2109"/>
    <mergeCell ref="G2110:G2111"/>
    <mergeCell ref="G2112:G2113"/>
    <mergeCell ref="A2114:A2115"/>
    <mergeCell ref="B2114:B2115"/>
    <mergeCell ref="C2114:C2115"/>
    <mergeCell ref="D2114:D2115"/>
    <mergeCell ref="E2114:E2115"/>
    <mergeCell ref="F2114:F2115"/>
    <mergeCell ref="G2114:G2115"/>
    <mergeCell ref="A2116:A2117"/>
    <mergeCell ref="B2116:B2117"/>
    <mergeCell ref="C2116:C2117"/>
    <mergeCell ref="D2116:D2117"/>
    <mergeCell ref="E2116:E2117"/>
    <mergeCell ref="F2116:F2117"/>
    <mergeCell ref="G2116:G2117"/>
    <mergeCell ref="A2118:A2119"/>
    <mergeCell ref="B2118:B2119"/>
    <mergeCell ref="C2118:C2119"/>
    <mergeCell ref="D2118:D2119"/>
    <mergeCell ref="E2118:E2119"/>
    <mergeCell ref="F2118:F2119"/>
    <mergeCell ref="G2118:G2119"/>
    <mergeCell ref="A2120:A2122"/>
    <mergeCell ref="B2120:B2122"/>
    <mergeCell ref="C2120:C2122"/>
    <mergeCell ref="D2120:D2122"/>
    <mergeCell ref="E2120:E2122"/>
    <mergeCell ref="F2120:F2122"/>
    <mergeCell ref="G2120:G2122"/>
    <mergeCell ref="A2123:A2124"/>
    <mergeCell ref="B2123:B2124"/>
    <mergeCell ref="C2123:C2124"/>
    <mergeCell ref="D2123:D2124"/>
    <mergeCell ref="E2123:E2124"/>
    <mergeCell ref="F2123:F2124"/>
    <mergeCell ref="G2123:G2124"/>
    <mergeCell ref="A2125:A2126"/>
    <mergeCell ref="B2125:B2126"/>
    <mergeCell ref="C2125:C2126"/>
    <mergeCell ref="D2125:D2126"/>
    <mergeCell ref="E2125:E2126"/>
    <mergeCell ref="F2125:F2126"/>
    <mergeCell ref="G2125:G2126"/>
    <mergeCell ref="A2127:A2128"/>
    <mergeCell ref="B2127:B2128"/>
    <mergeCell ref="C2127:C2128"/>
    <mergeCell ref="D2127:D2128"/>
    <mergeCell ref="E2127:E2128"/>
    <mergeCell ref="F2127:F2128"/>
    <mergeCell ref="G2127:G2128"/>
    <mergeCell ref="A2129:A2130"/>
    <mergeCell ref="B2129:B2130"/>
    <mergeCell ref="C2129:C2130"/>
    <mergeCell ref="D2129:D2130"/>
    <mergeCell ref="E2129:E2130"/>
    <mergeCell ref="F2129:F2130"/>
    <mergeCell ref="G2129:G2130"/>
    <mergeCell ref="A2131:A2132"/>
    <mergeCell ref="B2131:B2132"/>
    <mergeCell ref="C2131:C2132"/>
    <mergeCell ref="D2131:D2132"/>
    <mergeCell ref="E2131:E2132"/>
    <mergeCell ref="F2131:F2132"/>
    <mergeCell ref="G2131:G2132"/>
    <mergeCell ref="A2133:A2137"/>
    <mergeCell ref="B2133:B2137"/>
    <mergeCell ref="C2133:C2137"/>
    <mergeCell ref="D2133:D2137"/>
    <mergeCell ref="E2133:E2137"/>
    <mergeCell ref="F2133:F2137"/>
    <mergeCell ref="A2138:A2139"/>
    <mergeCell ref="B2138:B2139"/>
    <mergeCell ref="C2138:C2139"/>
    <mergeCell ref="D2138:D2139"/>
    <mergeCell ref="E2138:E2139"/>
    <mergeCell ref="F2138:F2139"/>
    <mergeCell ref="G2138:G2139"/>
    <mergeCell ref="A2140:A2141"/>
    <mergeCell ref="B2140:B2141"/>
    <mergeCell ref="C2140:C2141"/>
    <mergeCell ref="D2140:D2141"/>
    <mergeCell ref="E2140:E2141"/>
    <mergeCell ref="F2140:F2141"/>
    <mergeCell ref="G2140:G2141"/>
    <mergeCell ref="A2142:A2144"/>
    <mergeCell ref="B2142:B2144"/>
    <mergeCell ref="C2142:C2144"/>
    <mergeCell ref="D2142:D2144"/>
    <mergeCell ref="E2142:E2144"/>
    <mergeCell ref="F2142:F2144"/>
    <mergeCell ref="A2145:A2146"/>
    <mergeCell ref="B2145:B2146"/>
    <mergeCell ref="C2145:C2146"/>
    <mergeCell ref="D2145:D2146"/>
    <mergeCell ref="E2145:E2146"/>
    <mergeCell ref="F2145:F2146"/>
    <mergeCell ref="G2145:G2146"/>
    <mergeCell ref="A2147:A2148"/>
    <mergeCell ref="B2147:B2148"/>
    <mergeCell ref="C2147:C2148"/>
    <mergeCell ref="D2147:D2148"/>
    <mergeCell ref="E2147:E2148"/>
    <mergeCell ref="F2147:F2148"/>
    <mergeCell ref="G2147:G2148"/>
    <mergeCell ref="A2149:A2150"/>
    <mergeCell ref="B2149:B2150"/>
    <mergeCell ref="C2149:C2150"/>
    <mergeCell ref="D2149:D2150"/>
    <mergeCell ref="E2149:E2150"/>
    <mergeCell ref="F2149:F2150"/>
    <mergeCell ref="G2149:G2150"/>
    <mergeCell ref="A2151:A2152"/>
    <mergeCell ref="B2151:B2152"/>
    <mergeCell ref="C2151:C2152"/>
    <mergeCell ref="D2151:D2152"/>
    <mergeCell ref="E2151:E2152"/>
    <mergeCell ref="F2151:F2152"/>
    <mergeCell ref="G2151:G2152"/>
    <mergeCell ref="A2153:A2154"/>
    <mergeCell ref="B2153:B2154"/>
    <mergeCell ref="C2153:C2154"/>
    <mergeCell ref="D2153:D2154"/>
    <mergeCell ref="E2153:E2154"/>
    <mergeCell ref="F2153:F2154"/>
    <mergeCell ref="G2153:G2154"/>
    <mergeCell ref="A2155:A2167"/>
    <mergeCell ref="B2155:B2167"/>
    <mergeCell ref="C2155:C2167"/>
    <mergeCell ref="D2155:D2167"/>
    <mergeCell ref="E2155:E2167"/>
    <mergeCell ref="F2155:F2167"/>
    <mergeCell ref="G2156:G2158"/>
    <mergeCell ref="G2159:G2161"/>
    <mergeCell ref="G2162:G2164"/>
    <mergeCell ref="G2165:G2167"/>
    <mergeCell ref="A2168:A2169"/>
    <mergeCell ref="B2168:B2169"/>
    <mergeCell ref="C2168:C2169"/>
    <mergeCell ref="D2168:D2169"/>
    <mergeCell ref="E2168:E2169"/>
    <mergeCell ref="F2168:F2169"/>
    <mergeCell ref="G2168:G2169"/>
    <mergeCell ref="A2170:A2185"/>
    <mergeCell ref="B2170:B2185"/>
    <mergeCell ref="C2170:C2185"/>
    <mergeCell ref="D2170:D2185"/>
    <mergeCell ref="E2170:E2185"/>
    <mergeCell ref="F2170:F2185"/>
    <mergeCell ref="G2171:G2173"/>
    <mergeCell ref="G2174:G2176"/>
    <mergeCell ref="G2177:G2179"/>
    <mergeCell ref="G2180:G2182"/>
    <mergeCell ref="G2183:G2185"/>
    <mergeCell ref="A2186:A2193"/>
    <mergeCell ref="B2186:B2193"/>
    <mergeCell ref="C2186:C2193"/>
    <mergeCell ref="D2186:D2193"/>
    <mergeCell ref="E2186:E2193"/>
    <mergeCell ref="F2186:F2193"/>
    <mergeCell ref="A2194:A2195"/>
    <mergeCell ref="B2194:B2195"/>
    <mergeCell ref="C2194:C2195"/>
    <mergeCell ref="D2194:D2195"/>
    <mergeCell ref="E2194:E2195"/>
    <mergeCell ref="F2194:F2195"/>
    <mergeCell ref="G2194:G2195"/>
    <mergeCell ref="A2196:A2197"/>
    <mergeCell ref="B2196:B2197"/>
    <mergeCell ref="C2196:C2197"/>
    <mergeCell ref="D2196:D2197"/>
    <mergeCell ref="E2196:E2197"/>
    <mergeCell ref="F2196:F2197"/>
    <mergeCell ref="G2196:G2197"/>
    <mergeCell ref="A2198:A2199"/>
    <mergeCell ref="B2198:B2199"/>
    <mergeCell ref="C2198:C2199"/>
    <mergeCell ref="D2198:D2199"/>
    <mergeCell ref="E2198:E2199"/>
    <mergeCell ref="F2198:F2199"/>
    <mergeCell ref="G2198:G2199"/>
    <mergeCell ref="A2200:A2201"/>
    <mergeCell ref="B2200:B2201"/>
    <mergeCell ref="C2200:C2201"/>
    <mergeCell ref="D2200:D2201"/>
    <mergeCell ref="E2200:E2201"/>
    <mergeCell ref="F2200:F2201"/>
    <mergeCell ref="G2200:G2201"/>
    <mergeCell ref="A2202:A2203"/>
    <mergeCell ref="B2202:B2203"/>
    <mergeCell ref="C2202:C2203"/>
    <mergeCell ref="D2202:D2203"/>
    <mergeCell ref="E2202:E2203"/>
    <mergeCell ref="F2202:F2203"/>
    <mergeCell ref="G2202:G2203"/>
    <mergeCell ref="A2204:A2205"/>
    <mergeCell ref="B2204:B2205"/>
    <mergeCell ref="C2204:C2205"/>
    <mergeCell ref="D2204:D2205"/>
    <mergeCell ref="E2204:E2205"/>
    <mergeCell ref="F2204:F2205"/>
    <mergeCell ref="G2204:G2205"/>
    <mergeCell ref="A2206:A2207"/>
    <mergeCell ref="B2206:B2207"/>
    <mergeCell ref="C2206:C2207"/>
    <mergeCell ref="D2206:D2207"/>
    <mergeCell ref="E2206:E2207"/>
    <mergeCell ref="F2206:F2207"/>
    <mergeCell ref="G2206:G2207"/>
    <mergeCell ref="A2208:A2209"/>
    <mergeCell ref="B2208:B2209"/>
    <mergeCell ref="C2208:C2209"/>
    <mergeCell ref="D2208:D2209"/>
    <mergeCell ref="E2208:E2209"/>
    <mergeCell ref="F2208:F2209"/>
    <mergeCell ref="G2208:G2209"/>
    <mergeCell ref="A2210:A2211"/>
    <mergeCell ref="B2210:B2211"/>
    <mergeCell ref="C2210:C2211"/>
    <mergeCell ref="D2210:D2211"/>
    <mergeCell ref="E2210:E2211"/>
    <mergeCell ref="F2210:F2211"/>
    <mergeCell ref="G2210:G2211"/>
    <mergeCell ref="A2212:A2213"/>
    <mergeCell ref="B2212:B2213"/>
    <mergeCell ref="C2212:C2213"/>
    <mergeCell ref="D2212:D2213"/>
    <mergeCell ref="E2212:E2213"/>
    <mergeCell ref="F2212:F2213"/>
    <mergeCell ref="G2212:G2213"/>
    <mergeCell ref="A2214:A2215"/>
    <mergeCell ref="B2214:B2215"/>
    <mergeCell ref="C2214:C2215"/>
    <mergeCell ref="D2214:D2215"/>
    <mergeCell ref="E2214:E2215"/>
    <mergeCell ref="F2214:F2215"/>
    <mergeCell ref="G2214:G2215"/>
    <mergeCell ref="A2216:A2217"/>
    <mergeCell ref="B2216:B2217"/>
    <mergeCell ref="C2216:C2217"/>
    <mergeCell ref="D2216:D2217"/>
    <mergeCell ref="E2216:E2217"/>
    <mergeCell ref="F2216:F2217"/>
    <mergeCell ref="G2216:G2217"/>
    <mergeCell ref="A2218:A2219"/>
    <mergeCell ref="B2218:B2219"/>
    <mergeCell ref="C2218:C2219"/>
    <mergeCell ref="D2218:D2219"/>
    <mergeCell ref="E2218:E2219"/>
    <mergeCell ref="F2218:F2219"/>
    <mergeCell ref="G2218:G2219"/>
    <mergeCell ref="A2220:A2222"/>
    <mergeCell ref="B2220:B2222"/>
    <mergeCell ref="C2220:C2222"/>
    <mergeCell ref="D2220:D2222"/>
    <mergeCell ref="E2220:E2222"/>
    <mergeCell ref="F2220:F2222"/>
    <mergeCell ref="G2220:G2222"/>
    <mergeCell ref="A2223:A2225"/>
    <mergeCell ref="B2223:B2225"/>
    <mergeCell ref="C2223:C2225"/>
    <mergeCell ref="D2223:D2225"/>
    <mergeCell ref="E2223:E2225"/>
    <mergeCell ref="F2223:F2225"/>
    <mergeCell ref="G2223:G2225"/>
    <mergeCell ref="A2226:A2228"/>
    <mergeCell ref="B2226:B2228"/>
    <mergeCell ref="C2226:C2228"/>
    <mergeCell ref="D2226:D2228"/>
    <mergeCell ref="E2226:E2228"/>
    <mergeCell ref="F2226:F2228"/>
    <mergeCell ref="G2226:G2228"/>
    <mergeCell ref="A2229:A2231"/>
    <mergeCell ref="B2229:B2231"/>
    <mergeCell ref="C2229:C2231"/>
    <mergeCell ref="D2229:D2231"/>
    <mergeCell ref="E2229:E2231"/>
    <mergeCell ref="F2229:F2231"/>
    <mergeCell ref="G2229:G2231"/>
    <mergeCell ref="A2232:A2233"/>
    <mergeCell ref="B2232:B2233"/>
    <mergeCell ref="C2232:C2233"/>
    <mergeCell ref="D2232:D2233"/>
    <mergeCell ref="E2232:E2233"/>
    <mergeCell ref="F2232:F2233"/>
    <mergeCell ref="G2232:G2233"/>
    <mergeCell ref="A2234:A2235"/>
    <mergeCell ref="B2234:B2235"/>
    <mergeCell ref="C2234:C2235"/>
    <mergeCell ref="D2234:D2235"/>
    <mergeCell ref="E2234:E2235"/>
    <mergeCell ref="F2234:F2235"/>
    <mergeCell ref="G2234:G2235"/>
    <mergeCell ref="A2236:A2237"/>
    <mergeCell ref="B2236:B2237"/>
    <mergeCell ref="C2236:C2237"/>
    <mergeCell ref="D2236:D2237"/>
    <mergeCell ref="E2236:E2237"/>
    <mergeCell ref="F2236:F2237"/>
    <mergeCell ref="G2236:G2237"/>
    <mergeCell ref="A2238:A2239"/>
    <mergeCell ref="B2238:B2239"/>
    <mergeCell ref="C2238:C2239"/>
    <mergeCell ref="D2238:D2239"/>
    <mergeCell ref="E2238:E2239"/>
    <mergeCell ref="F2238:F2239"/>
    <mergeCell ref="G2238:G2239"/>
    <mergeCell ref="A2240:A2241"/>
    <mergeCell ref="B2240:B2241"/>
    <mergeCell ref="C2240:C2241"/>
    <mergeCell ref="D2240:D2241"/>
    <mergeCell ref="E2240:E2241"/>
    <mergeCell ref="F2240:F2241"/>
    <mergeCell ref="G2240:G2241"/>
    <mergeCell ref="A2242:A2245"/>
    <mergeCell ref="B2242:B2245"/>
    <mergeCell ref="C2242:C2245"/>
    <mergeCell ref="D2242:D2245"/>
    <mergeCell ref="E2242:E2245"/>
    <mergeCell ref="F2242:F2245"/>
    <mergeCell ref="G2244:G2245"/>
    <mergeCell ref="A2246:A2249"/>
    <mergeCell ref="B2246:B2249"/>
    <mergeCell ref="C2246:C2249"/>
    <mergeCell ref="D2246:D2249"/>
    <mergeCell ref="E2246:E2249"/>
    <mergeCell ref="F2246:F2249"/>
    <mergeCell ref="G2246:G2249"/>
    <mergeCell ref="A2250:A2251"/>
    <mergeCell ref="B2250:B2251"/>
    <mergeCell ref="C2250:C2251"/>
    <mergeCell ref="D2250:D2251"/>
    <mergeCell ref="E2250:E2251"/>
    <mergeCell ref="F2250:F2251"/>
    <mergeCell ref="G2250:G2251"/>
    <mergeCell ref="A2252:A2255"/>
    <mergeCell ref="B2252:B2255"/>
    <mergeCell ref="C2252:C2255"/>
    <mergeCell ref="D2252:D2255"/>
    <mergeCell ref="E2252:E2255"/>
    <mergeCell ref="F2252:F2255"/>
    <mergeCell ref="A2256:A2257"/>
    <mergeCell ref="B2256:B2257"/>
    <mergeCell ref="C2256:C2257"/>
    <mergeCell ref="D2256:D2257"/>
    <mergeCell ref="E2256:E2257"/>
    <mergeCell ref="F2256:F2257"/>
    <mergeCell ref="G2256:G2257"/>
    <mergeCell ref="A2258:A2262"/>
    <mergeCell ref="B2258:B2262"/>
    <mergeCell ref="C2258:C2262"/>
    <mergeCell ref="D2258:D2262"/>
    <mergeCell ref="E2258:E2262"/>
    <mergeCell ref="F2258:F2262"/>
    <mergeCell ref="G2258:G2262"/>
    <mergeCell ref="A2263:A2266"/>
    <mergeCell ref="B2263:B2266"/>
    <mergeCell ref="C2263:C2266"/>
    <mergeCell ref="D2263:D2266"/>
    <mergeCell ref="E2263:E2266"/>
    <mergeCell ref="F2263:F2266"/>
    <mergeCell ref="G2263:G2266"/>
    <mergeCell ref="A2267:A2271"/>
    <mergeCell ref="B2267:B2271"/>
    <mergeCell ref="C2267:C2271"/>
    <mergeCell ref="D2267:D2271"/>
    <mergeCell ref="E2267:E2271"/>
    <mergeCell ref="F2267:F2271"/>
    <mergeCell ref="G2267:G2271"/>
    <mergeCell ref="A2272:A2274"/>
    <mergeCell ref="B2272:B2274"/>
    <mergeCell ref="C2272:C2274"/>
    <mergeCell ref="D2272:D2274"/>
    <mergeCell ref="E2272:E2274"/>
    <mergeCell ref="F2272:F2274"/>
    <mergeCell ref="G2272:G2274"/>
    <mergeCell ref="A2275:A2279"/>
    <mergeCell ref="B2275:B2279"/>
    <mergeCell ref="C2275:C2279"/>
    <mergeCell ref="D2275:D2279"/>
    <mergeCell ref="E2275:E2279"/>
    <mergeCell ref="F2275:F2279"/>
    <mergeCell ref="G2276:G2277"/>
    <mergeCell ref="G2278:G2279"/>
    <mergeCell ref="A2280:A2281"/>
    <mergeCell ref="B2280:B2281"/>
    <mergeCell ref="C2280:C2281"/>
    <mergeCell ref="D2280:D2281"/>
    <mergeCell ref="E2280:E2281"/>
    <mergeCell ref="F2280:F2281"/>
    <mergeCell ref="G2280:G2281"/>
    <mergeCell ref="A2282:A2283"/>
    <mergeCell ref="B2282:B2283"/>
    <mergeCell ref="C2282:C2283"/>
    <mergeCell ref="D2282:D2283"/>
    <mergeCell ref="E2282:E2283"/>
    <mergeCell ref="F2282:F2283"/>
    <mergeCell ref="G2282:G2283"/>
    <mergeCell ref="A2284:A2286"/>
    <mergeCell ref="B2284:B2286"/>
    <mergeCell ref="C2284:C2286"/>
    <mergeCell ref="D2284:D2286"/>
    <mergeCell ref="E2284:E2286"/>
    <mergeCell ref="F2284:F2286"/>
    <mergeCell ref="A2287:A2288"/>
    <mergeCell ref="B2287:B2288"/>
    <mergeCell ref="C2287:C2288"/>
    <mergeCell ref="D2287:D2288"/>
    <mergeCell ref="E2287:E2288"/>
    <mergeCell ref="F2287:F2288"/>
    <mergeCell ref="G2287:G2288"/>
    <mergeCell ref="A2289:A2292"/>
    <mergeCell ref="B2289:B2292"/>
    <mergeCell ref="C2289:C2292"/>
    <mergeCell ref="D2289:D2292"/>
    <mergeCell ref="E2289:E2292"/>
    <mergeCell ref="F2289:F2292"/>
    <mergeCell ref="G2290:G2292"/>
    <mergeCell ref="A2293:A2294"/>
    <mergeCell ref="B2293:B2294"/>
    <mergeCell ref="C2293:C2294"/>
    <mergeCell ref="D2293:D2294"/>
    <mergeCell ref="E2293:E2294"/>
    <mergeCell ref="F2293:F2294"/>
    <mergeCell ref="G2293:G2294"/>
    <mergeCell ref="A2295:A2297"/>
    <mergeCell ref="B2295:B2297"/>
    <mergeCell ref="C2295:C2297"/>
    <mergeCell ref="D2295:D2297"/>
    <mergeCell ref="E2295:E2297"/>
    <mergeCell ref="F2295:F2297"/>
    <mergeCell ref="G2295:G2297"/>
    <mergeCell ref="A2298:A2299"/>
    <mergeCell ref="B2298:B2299"/>
    <mergeCell ref="C2298:C2299"/>
    <mergeCell ref="D2298:D2299"/>
    <mergeCell ref="E2298:E2299"/>
    <mergeCell ref="F2298:F2299"/>
    <mergeCell ref="G2298:G2299"/>
    <mergeCell ref="A2300:A2302"/>
    <mergeCell ref="B2300:B2302"/>
    <mergeCell ref="C2300:C2302"/>
    <mergeCell ref="D2300:D2302"/>
    <mergeCell ref="E2300:E2302"/>
    <mergeCell ref="F2300:F2302"/>
    <mergeCell ref="G2300:G2302"/>
    <mergeCell ref="A2303:A2305"/>
    <mergeCell ref="B2303:B2305"/>
    <mergeCell ref="C2303:C2305"/>
    <mergeCell ref="D2303:D2305"/>
    <mergeCell ref="E2303:E2305"/>
    <mergeCell ref="F2303:F2305"/>
    <mergeCell ref="G2303:G2305"/>
    <mergeCell ref="A2306:A2308"/>
    <mergeCell ref="B2306:B2308"/>
    <mergeCell ref="C2306:C2308"/>
    <mergeCell ref="D2306:D2308"/>
    <mergeCell ref="E2306:E2308"/>
    <mergeCell ref="F2306:F2308"/>
    <mergeCell ref="G2306:G2308"/>
    <mergeCell ref="A2309:A2315"/>
    <mergeCell ref="B2309:B2315"/>
    <mergeCell ref="C2309:C2315"/>
    <mergeCell ref="D2309:D2315"/>
    <mergeCell ref="E2309:E2315"/>
    <mergeCell ref="F2309:F2315"/>
    <mergeCell ref="G2310:G2312"/>
    <mergeCell ref="G2313:G2315"/>
    <mergeCell ref="A2316:A2318"/>
    <mergeCell ref="B2316:B2318"/>
    <mergeCell ref="C2316:C2318"/>
    <mergeCell ref="D2316:D2318"/>
    <mergeCell ref="E2316:E2318"/>
    <mergeCell ref="F2316:F2318"/>
    <mergeCell ref="G2316:G2318"/>
    <mergeCell ref="A2319:A2320"/>
    <mergeCell ref="B2319:B2320"/>
    <mergeCell ref="C2319:C2320"/>
    <mergeCell ref="D2319:D2320"/>
    <mergeCell ref="E2319:E2320"/>
    <mergeCell ref="F2319:F2320"/>
    <mergeCell ref="G2319:G2320"/>
    <mergeCell ref="A2321:A2322"/>
    <mergeCell ref="B2321:B2322"/>
    <mergeCell ref="C2321:C2322"/>
    <mergeCell ref="D2321:D2322"/>
    <mergeCell ref="E2321:E2322"/>
    <mergeCell ref="F2321:F2322"/>
    <mergeCell ref="G2321:G2322"/>
    <mergeCell ref="A2323:A2325"/>
    <mergeCell ref="B2323:B2325"/>
    <mergeCell ref="C2323:C2325"/>
    <mergeCell ref="D2323:D2325"/>
    <mergeCell ref="E2323:E2325"/>
    <mergeCell ref="F2323:F2325"/>
    <mergeCell ref="G2323:G2325"/>
    <mergeCell ref="A2326:A2328"/>
    <mergeCell ref="B2326:B2328"/>
    <mergeCell ref="C2326:C2328"/>
    <mergeCell ref="D2326:D2328"/>
    <mergeCell ref="E2326:E2328"/>
    <mergeCell ref="F2326:F2328"/>
    <mergeCell ref="G2326:G2328"/>
    <mergeCell ref="A2329:A2331"/>
    <mergeCell ref="B2329:B2331"/>
    <mergeCell ref="C2329:C2331"/>
    <mergeCell ref="D2329:D2331"/>
    <mergeCell ref="E2329:E2331"/>
    <mergeCell ref="F2329:F2331"/>
    <mergeCell ref="G2329:G2331"/>
    <mergeCell ref="A2332:A2335"/>
    <mergeCell ref="B2332:B2335"/>
    <mergeCell ref="C2332:C2335"/>
    <mergeCell ref="D2332:D2335"/>
    <mergeCell ref="E2332:E2335"/>
    <mergeCell ref="F2332:F2335"/>
    <mergeCell ref="G2332:G2335"/>
    <mergeCell ref="A2336:A2338"/>
    <mergeCell ref="B2336:B2338"/>
    <mergeCell ref="C2336:C2338"/>
    <mergeCell ref="D2336:D2338"/>
    <mergeCell ref="E2336:E2338"/>
    <mergeCell ref="F2336:F2338"/>
    <mergeCell ref="G2336:G2338"/>
    <mergeCell ref="A2339:A2341"/>
    <mergeCell ref="B2339:B2341"/>
    <mergeCell ref="C2339:C2341"/>
    <mergeCell ref="D2339:D2341"/>
    <mergeCell ref="E2339:E2341"/>
    <mergeCell ref="F2339:F2341"/>
    <mergeCell ref="A2342:A2343"/>
    <mergeCell ref="B2342:B2343"/>
    <mergeCell ref="C2342:C2343"/>
    <mergeCell ref="D2342:D2343"/>
    <mergeCell ref="E2342:E2343"/>
    <mergeCell ref="F2342:F2343"/>
    <mergeCell ref="G2342:G2343"/>
    <mergeCell ref="A2344:A2345"/>
    <mergeCell ref="B2344:B2345"/>
    <mergeCell ref="C2344:C2345"/>
    <mergeCell ref="D2344:D2345"/>
    <mergeCell ref="E2344:E2345"/>
    <mergeCell ref="F2344:F2345"/>
    <mergeCell ref="G2344:G2345"/>
    <mergeCell ref="A2346:A2348"/>
    <mergeCell ref="B2346:B2348"/>
    <mergeCell ref="C2346:C2348"/>
    <mergeCell ref="D2346:D2348"/>
    <mergeCell ref="E2346:E2348"/>
    <mergeCell ref="F2346:F2348"/>
    <mergeCell ref="G2346:G2348"/>
    <mergeCell ref="A2349:A2350"/>
    <mergeCell ref="B2349:B2350"/>
    <mergeCell ref="C2349:C2350"/>
    <mergeCell ref="D2349:D2350"/>
    <mergeCell ref="E2349:E2350"/>
    <mergeCell ref="F2349:F2350"/>
    <mergeCell ref="G2349:G2350"/>
    <mergeCell ref="A2351:A2352"/>
    <mergeCell ref="B2351:B2352"/>
    <mergeCell ref="C2351:C2352"/>
    <mergeCell ref="D2351:D2352"/>
    <mergeCell ref="E2351:E2352"/>
    <mergeCell ref="F2351:F2352"/>
    <mergeCell ref="G2351:G2352"/>
    <mergeCell ref="A2353:A2354"/>
    <mergeCell ref="B2353:B2354"/>
    <mergeCell ref="C2353:C2354"/>
    <mergeCell ref="D2353:D2354"/>
    <mergeCell ref="E2353:E2354"/>
    <mergeCell ref="F2353:F2354"/>
    <mergeCell ref="G2353:G2354"/>
    <mergeCell ref="A2355:A2357"/>
    <mergeCell ref="B2355:B2357"/>
    <mergeCell ref="C2355:C2357"/>
    <mergeCell ref="D2355:D2357"/>
    <mergeCell ref="E2355:E2357"/>
    <mergeCell ref="F2355:F2357"/>
    <mergeCell ref="A2358:A2359"/>
    <mergeCell ref="B2358:B2359"/>
    <mergeCell ref="C2358:C2359"/>
    <mergeCell ref="D2358:D2359"/>
    <mergeCell ref="E2358:E2359"/>
    <mergeCell ref="F2358:F2359"/>
    <mergeCell ref="G2358:G2359"/>
    <mergeCell ref="A2360:A2361"/>
    <mergeCell ref="B2360:B2361"/>
    <mergeCell ref="C2360:C2361"/>
    <mergeCell ref="D2360:D2361"/>
    <mergeCell ref="E2360:E2361"/>
    <mergeCell ref="F2360:F2361"/>
    <mergeCell ref="G2360:G2361"/>
    <mergeCell ref="A2362:A2364"/>
    <mergeCell ref="B2362:B2364"/>
    <mergeCell ref="C2362:C2364"/>
    <mergeCell ref="D2362:D2364"/>
    <mergeCell ref="E2362:E2364"/>
    <mergeCell ref="F2362:F2364"/>
    <mergeCell ref="G2362:G2364"/>
    <mergeCell ref="A2365:A2367"/>
    <mergeCell ref="B2365:B2367"/>
    <mergeCell ref="C2365:C2367"/>
    <mergeCell ref="D2365:D2367"/>
    <mergeCell ref="E2365:E2367"/>
    <mergeCell ref="F2365:F2367"/>
    <mergeCell ref="G2365:G2367"/>
    <mergeCell ref="A2368:A2370"/>
    <mergeCell ref="B2368:B2370"/>
    <mergeCell ref="C2368:C2370"/>
    <mergeCell ref="D2368:D2370"/>
    <mergeCell ref="E2368:E2370"/>
    <mergeCell ref="F2368:F2370"/>
    <mergeCell ref="G2368:G2370"/>
    <mergeCell ref="A2371:A2372"/>
    <mergeCell ref="B2371:B2372"/>
    <mergeCell ref="C2371:C2372"/>
    <mergeCell ref="D2371:D2372"/>
    <mergeCell ref="E2371:E2372"/>
    <mergeCell ref="F2371:F2372"/>
    <mergeCell ref="G2371:G2372"/>
    <mergeCell ref="A2373:A2375"/>
    <mergeCell ref="B2373:B2375"/>
    <mergeCell ref="C2373:C2375"/>
    <mergeCell ref="D2373:D2375"/>
    <mergeCell ref="E2373:E2375"/>
    <mergeCell ref="F2373:F2375"/>
    <mergeCell ref="G2374:G2375"/>
    <mergeCell ref="A2376:A2377"/>
    <mergeCell ref="B2376:B2377"/>
    <mergeCell ref="C2376:C2377"/>
    <mergeCell ref="D2376:D2377"/>
    <mergeCell ref="E2376:E2377"/>
    <mergeCell ref="F2376:F2377"/>
    <mergeCell ref="G2376:G2377"/>
    <mergeCell ref="A2378:A2379"/>
    <mergeCell ref="B2378:B2379"/>
    <mergeCell ref="C2378:C2379"/>
    <mergeCell ref="D2378:D2379"/>
    <mergeCell ref="E2378:E2379"/>
    <mergeCell ref="F2378:F2379"/>
    <mergeCell ref="G2378:G2379"/>
    <mergeCell ref="A2380:A2381"/>
    <mergeCell ref="B2380:B2381"/>
    <mergeCell ref="C2380:C2381"/>
    <mergeCell ref="D2380:D2381"/>
    <mergeCell ref="E2380:E2381"/>
    <mergeCell ref="F2380:F2381"/>
    <mergeCell ref="G2380:G2381"/>
    <mergeCell ref="A2382:A2383"/>
    <mergeCell ref="B2382:B2383"/>
    <mergeCell ref="C2382:C2383"/>
    <mergeCell ref="D2382:D2383"/>
    <mergeCell ref="E2382:E2383"/>
    <mergeCell ref="F2382:F2383"/>
    <mergeCell ref="G2382:G2383"/>
    <mergeCell ref="A2384:A2386"/>
    <mergeCell ref="B2384:B2386"/>
    <mergeCell ref="C2384:C2386"/>
    <mergeCell ref="D2384:D2386"/>
    <mergeCell ref="E2384:E2386"/>
    <mergeCell ref="F2384:F2386"/>
    <mergeCell ref="G2384:G2386"/>
    <mergeCell ref="A2387:A2388"/>
    <mergeCell ref="B2387:B2388"/>
    <mergeCell ref="C2387:C2388"/>
    <mergeCell ref="D2387:D2388"/>
    <mergeCell ref="E2387:E2388"/>
    <mergeCell ref="F2387:F2388"/>
    <mergeCell ref="G2387:G2388"/>
    <mergeCell ref="A2389:A2390"/>
    <mergeCell ref="B2389:B2390"/>
    <mergeCell ref="C2389:C2390"/>
    <mergeCell ref="D2389:D2390"/>
    <mergeCell ref="E2389:E2390"/>
    <mergeCell ref="F2389:F2390"/>
    <mergeCell ref="G2389:G2390"/>
    <mergeCell ref="A2391:A2392"/>
    <mergeCell ref="B2391:B2392"/>
    <mergeCell ref="C2391:C2392"/>
    <mergeCell ref="D2391:D2392"/>
    <mergeCell ref="E2391:E2392"/>
    <mergeCell ref="F2391:F2392"/>
    <mergeCell ref="G2391:G2392"/>
    <mergeCell ref="E2404:E2406"/>
    <mergeCell ref="F2404:F2406"/>
    <mergeCell ref="G2404:G2406"/>
    <mergeCell ref="A2393:A2394"/>
    <mergeCell ref="B2393:B2394"/>
    <mergeCell ref="C2393:C2394"/>
    <mergeCell ref="D2393:D2394"/>
    <mergeCell ref="E2393:E2394"/>
    <mergeCell ref="F2393:F2394"/>
    <mergeCell ref="G2393:G2394"/>
    <mergeCell ref="A2395:A2396"/>
    <mergeCell ref="B2395:B2396"/>
    <mergeCell ref="C2395:C2396"/>
    <mergeCell ref="D2395:D2396"/>
    <mergeCell ref="E2395:E2396"/>
    <mergeCell ref="F2395:F2396"/>
    <mergeCell ref="G2395:G2396"/>
    <mergeCell ref="A2397:A2398"/>
    <mergeCell ref="B2397:B2398"/>
    <mergeCell ref="C2397:C2398"/>
    <mergeCell ref="D2397:D2398"/>
    <mergeCell ref="E2397:E2398"/>
    <mergeCell ref="F2397:F2398"/>
    <mergeCell ref="G2397:G2398"/>
    <mergeCell ref="A2407:A2408"/>
    <mergeCell ref="B2407:B2408"/>
    <mergeCell ref="C2407:C2408"/>
    <mergeCell ref="D2407:D2408"/>
    <mergeCell ref="E2407:E2408"/>
    <mergeCell ref="F2407:F2408"/>
    <mergeCell ref="G2407:G2408"/>
    <mergeCell ref="A2409:A2410"/>
    <mergeCell ref="B2409:B2410"/>
    <mergeCell ref="C2409:C2410"/>
    <mergeCell ref="D2409:D2410"/>
    <mergeCell ref="E2409:E2410"/>
    <mergeCell ref="F2409:F2410"/>
    <mergeCell ref="G2409:G2410"/>
    <mergeCell ref="A2399:A2401"/>
    <mergeCell ref="B2399:B2401"/>
    <mergeCell ref="C2399:C2401"/>
    <mergeCell ref="D2399:D2401"/>
    <mergeCell ref="E2399:E2401"/>
    <mergeCell ref="F2399:F2401"/>
    <mergeCell ref="G2399:G2401"/>
    <mergeCell ref="A2402:A2403"/>
    <mergeCell ref="B2402:B2403"/>
    <mergeCell ref="C2402:C2403"/>
    <mergeCell ref="D2402:D2403"/>
    <mergeCell ref="E2402:E2403"/>
    <mergeCell ref="F2402:F2403"/>
    <mergeCell ref="G2402:G2403"/>
    <mergeCell ref="A2404:A2406"/>
    <mergeCell ref="B2404:B2406"/>
    <mergeCell ref="C2404:C2406"/>
    <mergeCell ref="D2404:D2406"/>
  </mergeCells>
  <printOptions horizontalCentered="1"/>
  <pageMargins left="0.31496062992125984" right="0.31496062992125984" top="0.74803149606299213" bottom="0.35433070866141736" header="0.31496062992125984" footer="0.31496062992125984"/>
  <pageSetup paperSize="9" scale="56" fitToHeight="70" orientation="landscape" r:id="rId4"/>
  <rowBreaks count="1" manualBreakCount="1">
    <brk id="27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форма 1</vt:lpstr>
      <vt:lpstr>Форма 2</vt:lpstr>
      <vt:lpstr>'форма 1'!Заголовки_для_печати</vt:lpstr>
      <vt:lpstr>'Форма 2'!Заголовки_для_печати</vt:lpstr>
      <vt:lpstr>'форма 1'!Область_печати</vt:lpstr>
      <vt:lpstr>'Форма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Михаил Румянцев</cp:lastModifiedBy>
  <cp:lastPrinted>2017-12-13T05:03:54Z</cp:lastPrinted>
  <dcterms:created xsi:type="dcterms:W3CDTF">2014-04-25T08:41:06Z</dcterms:created>
  <dcterms:modified xsi:type="dcterms:W3CDTF">2017-12-13T05:04:38Z</dcterms:modified>
</cp:coreProperties>
</file>