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 СЕВЕРСК 2016\Северск. Комммунистич 71\"/>
    </mc:Choice>
  </mc:AlternateContent>
  <bookViews>
    <workbookView xWindow="0" yWindow="0" windowWidth="28800" windowHeight="12435"/>
  </bookViews>
  <sheets>
    <sheet name="Лок.См.Расч.Баз.-Инд.Методом" sheetId="5" r:id="rId1"/>
    <sheet name="Переменные и константы" sheetId="1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'Лок.См.Расч.Баз.-Инд.Методом'!$16:$19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calcId="152511"/>
</workbook>
</file>

<file path=xl/calcChain.xml><?xml version="1.0" encoding="utf-8"?>
<calcChain xmlns="http://schemas.openxmlformats.org/spreadsheetml/2006/main">
  <c r="L254" i="5" l="1"/>
  <c r="L255" i="5"/>
  <c r="L224" i="5"/>
  <c r="L225" i="5"/>
  <c r="L226" i="5"/>
  <c r="L227" i="5"/>
  <c r="L228" i="5"/>
  <c r="L229" i="5"/>
  <c r="L230" i="5"/>
  <c r="L231" i="5"/>
  <c r="L232" i="5"/>
  <c r="L233" i="5"/>
  <c r="L234" i="5"/>
  <c r="L198" i="5"/>
  <c r="L199" i="5"/>
  <c r="L200" i="5"/>
  <c r="L201" i="5"/>
  <c r="L202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22" i="5"/>
  <c r="L23" i="5"/>
  <c r="L24" i="5"/>
  <c r="L25" i="5"/>
</calcChain>
</file>

<file path=xl/comments1.xml><?xml version="1.0" encoding="utf-8"?>
<comments xmlns="http://schemas.openxmlformats.org/spreadsheetml/2006/main">
  <authors>
    <author>&lt;&gt;</author>
    <author>Proba</author>
    <author>wall</author>
    <author>Rus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F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20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0" authorId="0" shapeId="0">
      <text>
        <r>
          <rPr>
            <sz val="8"/>
            <color indexed="81"/>
            <rFont val="Tahoma"/>
            <family val="2"/>
            <charset val="204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20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0" authorId="3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7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7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7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7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27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27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9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9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<sst xmlns="http://schemas.openxmlformats.org/spreadsheetml/2006/main" count="1043" uniqueCount="809">
  <si>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</si>
  <si>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</si>
  <si>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</si>
  <si>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</si>
  <si>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</si>
  <si>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</si>
  <si>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</si>
  <si>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</si>
  <si>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</si>
  <si>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</si>
  <si>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</si>
  <si>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</si>
  <si>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</si>
  <si>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</si>
  <si>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</si>
  <si>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</si>
  <si>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</si>
  <si>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</si>
  <si>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</si>
  <si>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</si>
  <si>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</si>
  <si>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</si>
  <si>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</si>
  <si>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</si>
  <si>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</si>
  <si>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</si>
  <si>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</si>
  <si>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</si>
  <si>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</si>
  <si>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</si>
  <si>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</si>
  <si>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</si>
  <si>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</si>
  <si>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</si>
  <si>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</si>
  <si>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</si>
  <si>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</si>
  <si>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</si>
  <si>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</si>
  <si>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</si>
  <si>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</si>
  <si>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</si>
  <si>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</si>
  <si>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</si>
  <si>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</si>
  <si>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</si>
  <si>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</si>
  <si>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</si>
  <si>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</si>
  <si>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</si>
  <si>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</si>
  <si>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</si>
  <si>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</si>
  <si>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</si>
  <si>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</si>
  <si>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</si>
  <si>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</si>
  <si>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</si>
  <si>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</si>
  <si>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</si>
  <si>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</si>
  <si>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</si>
  <si>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</si>
  <si>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</si>
  <si>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</si>
  <si>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</si>
  <si>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</si>
  <si>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</si>
  <si>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</si>
  <si>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</si>
  <si>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</si>
  <si>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</si>
  <si>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</si>
  <si>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</si>
  <si>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</si>
  <si>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</si>
  <si>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</si>
  <si>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</si>
  <si>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</si>
  <si>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</si>
  <si>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</si>
  <si>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</si>
  <si>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</si>
  <si>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</si>
  <si>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</si>
  <si>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</si>
  <si>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</si>
  <si>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</si>
  <si>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</si>
  <si>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</si>
  <si>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</si>
  <si>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</si>
  <si>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</si>
  <si>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</si>
  <si>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</si>
  <si>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</si>
  <si>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</si>
  <si>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</si>
  <si>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</si>
  <si>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</si>
  <si>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</si>
  <si>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</si>
  <si>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</si>
  <si>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</si>
  <si>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</si>
  <si>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</si>
  <si>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</si>
  <si>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</si>
  <si>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</si>
  <si>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</si>
  <si>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</si>
  <si>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</si>
  <si>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</si>
  <si>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</si>
  <si>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</si>
  <si>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</si>
  <si>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</si>
  <si>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</si>
  <si>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</si>
  <si>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</si>
  <si>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</si>
  <si>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</si>
  <si>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</si>
  <si>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</si>
  <si>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</si>
  <si>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</si>
  <si>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</si>
  <si>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</si>
  <si>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</si>
  <si>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</si>
  <si>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</si>
  <si>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</si>
  <si>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</si>
  <si>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</si>
  <si>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</si>
  <si>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</si>
  <si>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</si>
  <si>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</si>
  <si>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</si>
  <si>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</si>
  <si>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</si>
  <si>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</si>
  <si>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</si>
  <si>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</si>
  <si>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</si>
  <si>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</si>
  <si>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</si>
  <si>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</si>
  <si>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</si>
  <si>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</si>
  <si>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</si>
  <si>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</si>
  <si>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</si>
  <si>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</si>
  <si>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</si>
  <si>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</si>
  <si>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</si>
  <si>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</si>
  <si>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</si>
  <si>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</si>
  <si>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</si>
  <si>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</si>
  <si>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</si>
  <si>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</si>
  <si>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</si>
  <si>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</si>
  <si>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</si>
  <si>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</si>
  <si>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</si>
  <si>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</si>
  <si>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</si>
  <si>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</si>
  <si>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</si>
  <si>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</si>
  <si>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</si>
  <si>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</si>
  <si>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</si>
  <si>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</si>
  <si>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</si>
  <si>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</si>
  <si>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</si>
  <si>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</si>
  <si>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</si>
  <si>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</si>
  <si>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</si>
  <si>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</si>
  <si>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</si>
  <si>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</si>
  <si>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</si>
  <si>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</si>
  <si>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</si>
  <si>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</si>
  <si>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</si>
  <si>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</si>
  <si>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</si>
  <si>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</si>
  <si>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</si>
  <si>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</si>
  <si>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</si>
  <si>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</si>
  <si>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</si>
  <si>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</si>
  <si>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</si>
  <si>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</si>
  <si>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</si>
  <si>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</si>
  <si>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</si>
  <si>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</si>
  <si>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</si>
  <si>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</si>
  <si>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</si>
  <si>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</si>
  <si>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</si>
  <si>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</si>
  <si>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</si>
  <si>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</si>
  <si>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</si>
  <si>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</si>
  <si>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</si>
  <si>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</si>
  <si>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</si>
  <si>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</si>
  <si>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</si>
  <si>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</si>
  <si>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</si>
  <si>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</si>
  <si>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</si>
  <si>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</si>
  <si>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</si>
  <si>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</si>
  <si>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</si>
  <si>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</si>
  <si>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</si>
  <si>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</si>
  <si>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</si>
  <si>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</si>
  <si>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</si>
  <si>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</si>
  <si>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</si>
  <si>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</si>
  <si>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</si>
  <si>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</si>
  <si>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</si>
  <si>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</si>
  <si>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</si>
  <si>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</si>
  <si>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</si>
  <si>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</si>
  <si>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</si>
  <si>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</si>
  <si>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</si>
  <si>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</si>
  <si>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</si>
  <si>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</si>
  <si>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</si>
  <si>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</si>
  <si>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</si>
  <si>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</si>
  <si>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</si>
  <si>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</si>
  <si>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</si>
  <si>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</si>
  <si>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</si>
  <si>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</si>
  <si>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</si>
  <si>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</si>
  <si>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</si>
  <si>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</si>
  <si>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</si>
  <si>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</si>
  <si>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</si>
  <si>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</si>
  <si>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</si>
  <si>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</si>
  <si>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</si>
  <si>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</si>
  <si>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</si>
  <si>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</si>
  <si>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</si>
  <si>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</si>
  <si>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</si>
  <si>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</si>
  <si>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</si>
  <si>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</si>
  <si>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</si>
  <si>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</si>
  <si>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</si>
  <si>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</si>
  <si>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</si>
  <si>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</si>
  <si>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</si>
  <si>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</si>
  <si>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</si>
  <si>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</si>
  <si>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</si>
  <si>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</si>
  <si>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</si>
  <si>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</si>
  <si>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</si>
  <si>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</si>
  <si>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</si>
  <si>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</si>
  <si>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</si>
  <si>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</si>
  <si>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</si>
  <si>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</si>
  <si>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</si>
  <si>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</si>
  <si>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</si>
  <si>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</si>
  <si>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</si>
  <si>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</si>
  <si>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</si>
  <si>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</si>
  <si>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</si>
  <si>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</si>
  <si>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>Проверил:____________________________</t>
  </si>
  <si>
    <t xml:space="preserve">                           Раздел 1. Демонтажные работы</t>
  </si>
  <si>
    <t>ФЕРр65-14-4
--------------------
Приказ Минстроя РФ от 30.01.14 №31/пр</t>
  </si>
  <si>
    <t xml:space="preserve">Разборка трубопроводов из водогазопроводных труб в зданиях и сооружениях: на сварке диаметром до 100 мм, 100 м трубопровода
НР 63%=74%*0.85 от ФОТ
СП 40%=50%*0.8 от ФОТ
 </t>
  </si>
  <si>
    <t>603,66
557,01</t>
  </si>
  <si>
    <t xml:space="preserve">90.67 Разборка трубопроводов из водогазопроводных труб в зданиях и сооружениях: на сварке диаметром до 100 мм: ОЗП=16,45; ЭМ=18,23; ЗПМ=16,45; МАТ=4,75
 </t>
  </si>
  <si>
    <t>ФЕРр65-14-3
--------------------
Приказ Минстроя РФ от 30.01.14 №31/пр</t>
  </si>
  <si>
    <t xml:space="preserve">Разборка трубопроводов из водогазопроводных труб в зданиях и сооружениях: на сварке диаметром до 50 мм, 100 м трубопровода
НР 63%=74%*0.85 от ФОТ
СП 40%=50%*0.8 от ФОТ
 </t>
  </si>
  <si>
    <t>391,01
371,91</t>
  </si>
  <si>
    <t xml:space="preserve">90.66 Разборка трубопроводов из водогазопроводных труб в зданиях и сооружениях: на сварке диаметром до 50 мм: ОЗП=16,45; ЭМ=18,23; ЗПМ=16,45; МАТ=4,75
 </t>
  </si>
  <si>
    <t>ФЕРр65-13-2
--------------------
Приказ Минстроя РФ от 30.01.14 №31/пр</t>
  </si>
  <si>
    <t xml:space="preserve">Демонтаж: грязевиков, 100 шт.
НР 63%=74%*0.85 от ФОТ
СП 40%=50%*0.8 от ФОТ
 </t>
  </si>
  <si>
    <t>1356,27
1356,27</t>
  </si>
  <si>
    <t xml:space="preserve">90.63 Демонтаж воздухосборников и грязевиков: ОЗП=16,45
 </t>
  </si>
  <si>
    <t>ФЕР18-05-001-01
--------------------
Приказ Минстроя РФ от 30.01.14 №31/пр</t>
  </si>
  <si>
    <t xml:space="preserve">Демонтаж насосов центробежных с электродвигателем, масса агрегата: до 0,1 т, 1 насос
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
НР 98%=128%*(0.9*0.85) от ФОТ
СП 56%=83%*(0.85*0.8) от ФОТ
 </t>
  </si>
  <si>
    <t>57,63
52,66</t>
  </si>
  <si>
    <t>4,97
0,27</t>
  </si>
  <si>
    <t xml:space="preserve">18.29 Установка насосов центробежных с электродвигателем, масса агрегата: до 0,1 т: ОЗП=16,45; ЭМ=9,24; ЗПМ=16,45; МАТ=3,67
 </t>
  </si>
  <si>
    <t>45,94
4,47</t>
  </si>
  <si>
    <t>5,67
0,02</t>
  </si>
  <si>
    <t>Итого прямые затраты по разделу в текущих ценах</t>
  </si>
  <si>
    <t>109,03
4,47</t>
  </si>
  <si>
    <t>22,5
0,02</t>
  </si>
  <si>
    <t>Накладные расходы</t>
  </si>
  <si>
    <t xml:space="preserve">  В том числе, справочно:</t>
  </si>
  <si>
    <t xml:space="preserve">  63% =  74%*0.85 ФОТ (от 2361,85)  (Поз. 1-3)</t>
  </si>
  <si>
    <t xml:space="preserve">  98% =  128%*(0.9*0.85) ФОТ (от 870,66)  (Поз. 4)</t>
  </si>
  <si>
    <t>Сметная прибыль</t>
  </si>
  <si>
    <t xml:space="preserve">  40% =  50%*0.8 ФОТ (от 2361,85)  (Поз. 1-3)</t>
  </si>
  <si>
    <t xml:space="preserve">  56% =  83%*(0.85*0.8) ФОТ (от 870,66)  (Поз. 4)</t>
  </si>
  <si>
    <t>Итоги по разделу 1 Демонтажные работы :</t>
  </si>
  <si>
    <t xml:space="preserve">  Внутренние санитарно-технические работы: демонтаж и разборка (ремонтно-строительные)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</si>
  <si>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</si>
  <si>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</si>
  <si>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</si>
  <si>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</si>
  <si>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</si>
  <si>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</si>
  <si>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</si>
  <si>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</si>
  <si>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</si>
  <si>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Сантехнические работы</t>
  </si>
  <si>
    <t>ФЕР16-02-005-05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</si>
  <si>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100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</si>
  <si>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9153,14
895,11</t>
  </si>
  <si>
    <t>248,09
6,25</t>
  </si>
  <si>
    <t xml:space="preserve">16.65 Прокладка трубопроводов отопления и водоснабжения из стальных электросварных труб диаметром: 100 мм: ОЗП=16,45; ЭМ=12,89; ЗПМ=16,45; МАТ=5,78
 </t>
  </si>
  <si>
    <t>223,85
7,2</t>
  </si>
  <si>
    <t>79,75
0,46</t>
  </si>
  <si>
    <t>5,58
0,03</t>
  </si>
  <si>
    <t>ФЕР16-02-005-04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</si>
  <si>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80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</si>
  <si>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7383,45
895,11</t>
  </si>
  <si>
    <t xml:space="preserve">16.64 Прокладка трубопроводов отопления и водоснабжения из стальных электросварных труб диаметром: 80 мм: ОЗП=16,45; ЭМ=12,89; ЗПМ=16,45; МАТ=5,74
 </t>
  </si>
  <si>
    <t>447,7
14,39</t>
  </si>
  <si>
    <t>11,17
0,06</t>
  </si>
  <si>
    <t>ФЕР16-02-005-03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</si>
  <si>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65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</si>
  <si>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6337,99
809,92</t>
  </si>
  <si>
    <t>174,86
3,89</t>
  </si>
  <si>
    <t xml:space="preserve">16.63 Прокладка трубопроводов отопления и водоснабжения из стальных электросварных труб диаметром: 65 мм: ОЗП=16,45; ЭМ=12,89; ЗПМ=16,45; МАТ=5,7
 </t>
  </si>
  <si>
    <t>180,32
5,12</t>
  </si>
  <si>
    <t>72,16
0,29</t>
  </si>
  <si>
    <t>5,77
0,02</t>
  </si>
  <si>
    <t>ФЕР16-02-005-02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</si>
  <si>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</si>
  <si>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4984,71
682,76</t>
  </si>
  <si>
    <t>145,21
3,21</t>
  </si>
  <si>
    <t xml:space="preserve">16.62 Прокладка трубопроводов отопления и водоснабжения из стальных электросварных труб диаметром: 50 мм: ОЗП=16,45; ЭМ=12,72; ЗПМ=16,45; МАТ=5,47
 </t>
  </si>
  <si>
    <t>55,41
1,59</t>
  </si>
  <si>
    <t>60,83
0,24</t>
  </si>
  <si>
    <t>1,82
0,01</t>
  </si>
  <si>
    <t>ФЕР16-02-005-01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</si>
  <si>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до 40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</si>
  <si>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4029,29
682,76</t>
  </si>
  <si>
    <t xml:space="preserve">16.61 Прокладка трубопроводов отопления и водоснабжения из стальных электросварных труб диаметром: до 40 мм: ОЗП=16,45; ЭМ=12,72; ЗПМ=16,45; МАТ=2,91
 </t>
  </si>
  <si>
    <t>18,47
0,53</t>
  </si>
  <si>
    <t>ФЕР16-02-001-04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</si>
  <si>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</si>
  <si>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3513,01
364,75</t>
  </si>
  <si>
    <t>58,3
2,54</t>
  </si>
  <si>
    <t xml:space="preserve">16.29 Прокладка трубопроводов отопления из стальных водогазопроводных неоцинкованных труб диаметром: 32 мм: ОЗП=16,45; ЭМ=11,59; ЗПМ=16,45; МАТ=5,73
 </t>
  </si>
  <si>
    <t>27,03
1,67</t>
  </si>
  <si>
    <t>32,97
0,19</t>
  </si>
  <si>
    <t>1,32
0,01</t>
  </si>
  <si>
    <t>ФЕР16-02-001-03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</si>
  <si>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25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</si>
  <si>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3001,93
364,75</t>
  </si>
  <si>
    <t xml:space="preserve">16.28 Прокладка трубопроводов отопления из стальных водогазопроводных неоцинкованных труб диаметром: 25 мм: ОЗП=16,45; ЭМ=11,59; ЗПМ=16,45; МАТ=5,98
 </t>
  </si>
  <si>
    <t>13,51
0,83</t>
  </si>
  <si>
    <t>ФЕР16-02-001-01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</si>
  <si>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15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</si>
  <si>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2411,86
364,75</t>
  </si>
  <si>
    <t xml:space="preserve">16.26 Прокладка трубопроводов отопления из стальных водогазопроводных неоцинкованных труб диаметром: 15 мм: ОЗП=16,45; ЭМ=11,59; ЗПМ=16,45; МАТ=5,75
 </t>
  </si>
  <si>
    <t>20,27
1,25</t>
  </si>
  <si>
    <t>0,99
0,01</t>
  </si>
  <si>
    <t>ФЕР16-02-002-07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</si>
  <si>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65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</si>
  <si>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8143,64
644,51</t>
  </si>
  <si>
    <t>163,75
4,73</t>
  </si>
  <si>
    <t xml:space="preserve">16.38 Прокладка трубопроводов водоснабжения из стальных водогазопроводных оцинкованных труб диаметром: 65 мм: ОЗП=16,45; ЭМ=11,68; ЗПМ=16,45; МАТ=6,88
 </t>
  </si>
  <si>
    <t>191,26
7,77</t>
  </si>
  <si>
    <t>61,05
0,35</t>
  </si>
  <si>
    <t>6,11
0,04</t>
  </si>
  <si>
    <t>ФЕР16-02-002-05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</si>
  <si>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40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</si>
  <si>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5480,16
410,1</t>
  </si>
  <si>
    <t>68,46
2,54</t>
  </si>
  <si>
    <t xml:space="preserve">16.36 Прокладка трубопроводов водоснабжения из стальных водогазопроводных оцинкованных труб диаметром: 40 мм: ОЗП=16,45; ЭМ=11,6; ЗПМ=16,45; МАТ=6,88
 </t>
  </si>
  <si>
    <t>39,71
2,09</t>
  </si>
  <si>
    <t>37,07
0,19</t>
  </si>
  <si>
    <t>1,85
0,01</t>
  </si>
  <si>
    <t>ФЕР16-07-005-02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</si>
  <si>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100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</si>
  <si>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133,82
67,07</t>
  </si>
  <si>
    <t xml:space="preserve">16.197 Гидравлическое испытание трубопроводов систем отопления, водопровода и горячего водоснабжения диаметром: до 100 мм: ОЗП=16,45; ЭМ=0,71; ЗПМ=16,45; МАТ=9,91
 </t>
  </si>
  <si>
    <t>ФЕР16-07-005-01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</si>
  <si>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</si>
  <si>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126,99
67,07</t>
  </si>
  <si>
    <t xml:space="preserve">16.196 Гидравлическое испытание трубопроводов систем отопления, водопровода и горячего водоснабжения диаметром: до 50 мм: ОЗП=16,45; ЭМ=0,71; ЗПМ=16,45; МАТ=7,41
 </t>
  </si>
  <si>
    <t>ФССЦ-301-1224
--------------------
Приказ Минстроя России от 12.11.14 №703/пр</t>
  </si>
  <si>
    <t xml:space="preserve">Крепления для трубопроводов: кронштейны, планки, хомуты, кг
 </t>
  </si>
  <si>
    <t xml:space="preserve">Крепления для трубопроводов: кронштейны, планки, хомуты; МАТ=3,281
 </t>
  </si>
  <si>
    <t>Прайс "Водяной"</t>
  </si>
  <si>
    <t xml:space="preserve">Кран шаровой ГАЛЛОП СТАНДАРТ 11/2" ГГ, руч. (969,00/1,18/5,58=147,17), шт
 </t>
  </si>
  <si>
    <t xml:space="preserve">Индекс на материалы ФЕР-2001 2/2015; МАТ=5,58
 </t>
  </si>
  <si>
    <t xml:space="preserve">Кран шаровой ГАЛЛОП СТАНДАРТ 11/4" ГГ, руч. (645,00/1,18/5,58=97,96), шт
 </t>
  </si>
  <si>
    <t xml:space="preserve">Кран шаровой ГАЛЛОП СТАНДАРТ 1" ГГ, руч. (387,00/1,18/5,58=58,78), шт
 </t>
  </si>
  <si>
    <t xml:space="preserve">Кран шаровой ГАЛЛОП СТАНДАРТ  1/2" ГГ, баб. (126,00/1,18/5,58=19,14), шт
 </t>
  </si>
  <si>
    <t>302-9230-90054
--------------------
И8</t>
  </si>
  <si>
    <t xml:space="preserve">Кран шаровой со спускным клапаном ;Itap; для воды, пара, углеводородов и т.д., полный проход проход, никелированный, ВР-ВР, разм.1/2 (211,09/5,58=37,83), шт.
 </t>
  </si>
  <si>
    <t>Прайс "VALTEC"</t>
  </si>
  <si>
    <t xml:space="preserve">Клапан балансировочный ручной VALTEC VT.054, муфтовый, Тмакс=120гр.С, Ру=40бар, Ду32 (2500,00/1,18/5,58=379,69), шт
 </t>
  </si>
  <si>
    <t xml:space="preserve">Обратный клапан Itap YORK, латунь, ВР-ВР Тmax=110гр.С, Ру 40 бар, Ду40 (895,00/1,18/5,58=135,93), шт
 </t>
  </si>
  <si>
    <t>ФЕР18-06-002-03
--------------------
Приказ Минстроя России от 12.11.14 №703/пр</t>
  </si>
  <si>
    <t xml:space="preserve">Установка грязевиков наружным диаметром патрубков: до 89 мм, 1 шт.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</si>
  <si>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1093,4
41,66</t>
  </si>
  <si>
    <t>19,15
0,34</t>
  </si>
  <si>
    <t xml:space="preserve">18.42 Установка грязевиков наружным диаметром патрубков: до 89 мм: ОЗП=16,45; ЭМ=7,29; ЗПМ=16,45; МАТ=7,05
 </t>
  </si>
  <si>
    <t>139,6
5,55</t>
  </si>
  <si>
    <t>3,9
0,03</t>
  </si>
  <si>
    <t>Прайс "Водяной"
--------------------
И8</t>
  </si>
  <si>
    <t xml:space="preserve">Кран шаровый стальной Ру 16 ALSO Ду80 сварка/сварка   (2294,00/1,18/5,58=348,40), шт.
 </t>
  </si>
  <si>
    <t>Прайс "Danfoss"</t>
  </si>
  <si>
    <t xml:space="preserve">Стальной запорно- балансировочный клапан JiP BaBV FF, фланцевый, Ду80мм, Ру25бар, Тмакс=150гр.С (582,01х63,32/5,58=6604,46), шт
 </t>
  </si>
  <si>
    <t xml:space="preserve">Дисковый поворотный затвор REON тип RSV 38,  Тмакс=120гр.С, Ру=16бар, Ду=80мм (2138,00/1,18/5,58=324,71), шт
 </t>
  </si>
  <si>
    <t xml:space="preserve">Обратный клапан межфланцевый Ду 80 REON тип RSV32 (PN16, Траб.=95°С, Тmax=120°С)   (2438,00/1,18/5,58=370,27), шт
 </t>
  </si>
  <si>
    <t xml:space="preserve">Кран шаровый стальной Ру 16 ALSO Ду65 сварка/сварка (1843,00/1,18/5,58=279,90), шт.
 </t>
  </si>
  <si>
    <t xml:space="preserve">Дисковый поворотный затвор REON тип RSV 38,  Тмакс=120гр.С, Ру=16бар, Ду=65мм (1551,00/1,18/5,58=235,56), шт
 </t>
  </si>
  <si>
    <t xml:space="preserve">Обратный клапан межфланцевый Ду 65 REON тип RSV32 (PN16, Траб.=95°С, Тmax=120°С)    (1774,00/1,18/5,58=269,42), шт
 </t>
  </si>
  <si>
    <t xml:space="preserve">Кран шаровый стальной Ру 16 ALSO Ду50 сварка/сварка (1342,00/1,18/5,58=203,82), шт.
 </t>
  </si>
  <si>
    <t xml:space="preserve">Дисковый поворотный затвор Reon тип RSV 38,  Тмакс=120гр.С, Ру=16бар, Ду=50мм (1507,00/1,18/5,58=228,87), шт
 </t>
  </si>
  <si>
    <t>ФЕР18-06-003-10
--------------------
Приказ Минстроя РФ от 30.01.14 №31/пр</t>
  </si>
  <si>
    <t xml:space="preserve">Установка воздухоотводчиков (Воздухоотводчик автоматический с отсекающим клапаном), 1 шт.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</si>
  <si>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111,66
18,16</t>
  </si>
  <si>
    <t>10,43
0,34</t>
  </si>
  <si>
    <t xml:space="preserve">18.53 Установка воздухоотводчиков: ОЗП=16,45; ЭМ=11,22; ЗПМ=16,45; МАТ=4,24
 </t>
  </si>
  <si>
    <t>350,91
16,65</t>
  </si>
  <si>
    <t>1,66
0,03</t>
  </si>
  <si>
    <t>4,98
0,09</t>
  </si>
  <si>
    <t>ФЕР18-07-001-02
--------------------
Приказ Минстроя РФ от 30.01.14 №31/пр</t>
  </si>
  <si>
    <t xml:space="preserve">Установка манометров: с трехходовым краном, 1 компл.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</si>
  <si>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227,05
2,51</t>
  </si>
  <si>
    <t xml:space="preserve">18.77 Установка манометров: ОЗП=16,45; МАТ=1,59
 </t>
  </si>
  <si>
    <t>ФССЦ-301-1465
--------------------
Приказ Минстроя России от 12.11.14 №703/пр</t>
  </si>
  <si>
    <t xml:space="preserve">Манометр для неагрессивных сред (класс точности 1.5) с резьбовым присоединением марка: МП-3У-16 с трехходовым краном 11П18пкРу16, компл.
 </t>
  </si>
  <si>
    <t xml:space="preserve">Манометр для неагресивных сред (класс точности 1.5) с резбовым присоединением марка МП-3У-16 с трехходовым краном 11П18пкРу16; МАТ=1,588
 </t>
  </si>
  <si>
    <t>ТССЦо-610-0007-00020</t>
  </si>
  <si>
    <t xml:space="preserve">Манометры технические МП3-Уф, класс точности 1,5, пределы измеряемого давления от 0 до 1600кгс/см2 (540,64/3,83=141,16), шт
 </t>
  </si>
  <si>
    <t xml:space="preserve">Индекс на оборудование ФЕР-2001 2/2015 (жил.строительство); МАТ=3,83
 </t>
  </si>
  <si>
    <t>ФЕР18-07-001-04
--------------------
Приказ Минстроя РФ от 30.01.14 №31/пр</t>
  </si>
  <si>
    <t xml:space="preserve">Установка термометров в оправе прямых и угловых, 1 компл.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</si>
  <si>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339,31
3,35</t>
  </si>
  <si>
    <t xml:space="preserve">18.78 Установка термометров: ОЗП=16,45; МАТ=1,05
 </t>
  </si>
  <si>
    <t>ФЕРм12-10-001-01
--------------------
Приказ Минстроя РФ от 30.01.14 №31/пр</t>
  </si>
  <si>
    <t xml:space="preserve">Бобышки, штуцеры на условное давление: до 10 МПа (под термометры), 100 шт.
НР 68%=80%*0.85 от ФОТ
СП 48%=60%*0.8 от ФОТ
 </t>
  </si>
  <si>
    <t>2984,46
629,15</t>
  </si>
  <si>
    <t xml:space="preserve">59.152 Бобышки, штуцеры на условное давление: до 10 МПа: ОЗП=16,45; ЭМ=5,99; ЗПМ=16,45; МАТ=14,19
 </t>
  </si>
  <si>
    <t>ФЕР18-06-007-06
--------------------
Приказ Минстроя РФ от 30.01.14 №31/пр</t>
  </si>
  <si>
    <t xml:space="preserve">Установка фильтров диаметром : 80 мм, 10 фильтров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</si>
  <si>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10619,93
160,68</t>
  </si>
  <si>
    <t>162,56
3,71</t>
  </si>
  <si>
    <t xml:space="preserve">18.72 Установка фильтров диаметром: 80 мм: ОЗП=16,45; ЭМ=8,8; ЗПМ=16,45; МАТ=7,68
 </t>
  </si>
  <si>
    <t>286,11
12,21</t>
  </si>
  <si>
    <t>15,04
0,28</t>
  </si>
  <si>
    <t>3,01
0,06</t>
  </si>
  <si>
    <t>ФССЦ-301-1218
--------------------
Приказ Минстроя России от 12.11.14 №703/пр</t>
  </si>
  <si>
    <t xml:space="preserve">Фильтры для очистки воды в трубопроводах систем отопления диаметром: 80 мм, шт.
 </t>
  </si>
  <si>
    <t xml:space="preserve">Фильтры для очистки воды в трубопроводах систем отопления диаметром:80 мм; МАТ=7,692
 </t>
  </si>
  <si>
    <t xml:space="preserve">Фильтр сетчатый чугунный Ду 80 REON тип RSV06 (PN16, Траб.=150°С, Тmax=180°С) (6040,00/1,18/5,58=917,32), шт.
 </t>
  </si>
  <si>
    <t>ФЕР18-06-007-05
--------------------
Приказ Минстроя РФ от 30.01.14 №31/пр</t>
  </si>
  <si>
    <t xml:space="preserve">Установка фильтров диаметром : 65 мм, 10 фильтров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</si>
  <si>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9642,8
129,27</t>
  </si>
  <si>
    <t>125,43
1,86</t>
  </si>
  <si>
    <t xml:space="preserve">18.71 Установка фильтров диаметром: 65 мм: ОЗП=16,45; ЭМ=9,39; ЗПМ=16,45; МАТ=4,31
 </t>
  </si>
  <si>
    <t>117,77
3,06</t>
  </si>
  <si>
    <t>12,1
0,14</t>
  </si>
  <si>
    <t>1,21
0,01</t>
  </si>
  <si>
    <t>ФССЦ-301-1217
--------------------
Приказ Минстроя России от 12.11.14 №703/пр</t>
  </si>
  <si>
    <t xml:space="preserve">Фильтры для очистки воды в трубопроводах систем отопления диаметром: 65 мм, шт.
 </t>
  </si>
  <si>
    <t xml:space="preserve">Фильтры для очистки воды в трубопроводах систем отопления диаметром:65 мм; МАТ=4,309
 </t>
  </si>
  <si>
    <t xml:space="preserve">Фильтр сетчатый чугунный Ду 65 REON тип RSV06 (PN16, Траб.=150°С, Тmax=180°С) (4561,00/1,18/5,58=692,70), шт.
 </t>
  </si>
  <si>
    <t>ФЕР18-06-007-03
--------------------
Приказ Минстроя РФ от 30.01.14 №31/пр</t>
  </si>
  <si>
    <t xml:space="preserve">Установка фильтров диаметром : 40 мм, 10 фильтров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</si>
  <si>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7109,18
105,98</t>
  </si>
  <si>
    <t>94,06
0,51</t>
  </si>
  <si>
    <t xml:space="preserve">18.69 Установка фильтров диаметром: 40 мм: ОЗП=16,45; ЭМ=9,22; ЗПМ=16,45; МАТ=1,29
 </t>
  </si>
  <si>
    <t>86,73
0,84</t>
  </si>
  <si>
    <t>9,92
0,04</t>
  </si>
  <si>
    <t>ФЕР16-06-005-01
--------------------
Приказ Минстроя РФ от 30.01.14 №31/пр</t>
  </si>
  <si>
    <t xml:space="preserve">Установка счетчиков (водомеров) диаметром: до 40 мм, 1 счетчик (водомер)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</si>
  <si>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1178,36
4,43</t>
  </si>
  <si>
    <t xml:space="preserve">16.174 Установка счетчиков (водомеров) диаметром: до 40 мм: ОЗП=16,45; ЭМ=11,45; ЗПМ=16,45; МАТ=3,4
 </t>
  </si>
  <si>
    <t>ФССЦ-301-3165
--------------------
Приказ Минстроя России от 12.11.14 №703/пр</t>
  </si>
  <si>
    <t xml:space="preserve">Счетчики (водомеры) крыльчатые диаметром: 32 мм, шт.
 </t>
  </si>
  <si>
    <t xml:space="preserve">Счетчики (водомеры) крыльчатые диаметром 32 мм; МАТ=3,398
 </t>
  </si>
  <si>
    <t xml:space="preserve">Водосчетчик холодной воды Миномесс М Ду32 с комплектом присоединительных сгонов (7364,00/1,18/5,58=1118,40), шт
 </t>
  </si>
  <si>
    <t xml:space="preserve">Установка насосов центробежных с электродвигателем, масса агрегата: до 0,1 т, 1 насос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</si>
  <si>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2725,86
151,39</t>
  </si>
  <si>
    <t>15,54
0,85</t>
  </si>
  <si>
    <t>717,85
69,9</t>
  </si>
  <si>
    <t>14,17
0,06</t>
  </si>
  <si>
    <t>70,85
0,3</t>
  </si>
  <si>
    <t>ФССЦ-301-1494
--------------------
Приказ Минстроя России от 12.11.14 №703/пр</t>
  </si>
  <si>
    <t xml:space="preserve">Насосы центробежные: 8/18 с электродвигателем 4А 180 А2 массой агрегата до 0,1 т, компл.
 </t>
  </si>
  <si>
    <t xml:space="preserve">Hасосы центобежные 8/18 с электродвигателем 4А180А2 массой агрегата до 0,1т; МАТ=3,602
 </t>
  </si>
  <si>
    <t>ФССЦ-507-0983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</si>
  <si>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50 мм, шт.
 </t>
  </si>
  <si>
    <t xml:space="preserve">Фланцы стальные плоские приварные из стали ВСт3сп2, ВСт3сп3; давлением 1.0 МПа (10 кгс/см2), диаметром 50 мм; МАТ=4,969
 </t>
  </si>
  <si>
    <t>ФССЦ-507-0982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</si>
  <si>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40 мм, шт.
 </t>
  </si>
  <si>
    <t xml:space="preserve">Фланцы стальные плоские приварные из стали ВСт3сп2, ВСт3сп3; давлением 1.0 МПа (10 кгс/см2), диаметром 40 мм; МАТ=6,531
 </t>
  </si>
  <si>
    <t>ФССЦ-301-2678
--------------------
Приказ Минстроя России от 12.11.14 №703/пр</t>
  </si>
  <si>
    <t xml:space="preserve">Насос циркуляционный "GRUNDFOS" серии: 100, марки UPS-25х80 (220 В), шт.
 </t>
  </si>
  <si>
    <t xml:space="preserve">Насос циркуляционный 'GRUNDFOS' серии 100, марки UPS-25х80 (220 В); МАТ=5,693
 </t>
  </si>
  <si>
    <t>Прайс "Grundfos"</t>
  </si>
  <si>
    <t xml:space="preserve">Насос Magna1 40-150F G=14.0м3/ч, Н=8,0м (958,00 евро/1,18х63,32/ 5,58=9212,77), шт
 </t>
  </si>
  <si>
    <t xml:space="preserve">Насос Magna1 40-60F G=8,5м3/ч, Н=2,6м (567,00 евро/1,18х63,32/ 5,58=5452,65), шт
 </t>
  </si>
  <si>
    <t>ФССЦ-507-0999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</si>
  <si>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40 мм, шт.
 </t>
  </si>
  <si>
    <t xml:space="preserve">Фланцы стальные плоские приварные из стали ВСт3сп2, ВСт3сп3; давлением 1,6 МПа (16 кгс/см2), диаметром 40 мм; МАТ=8,068
 </t>
  </si>
  <si>
    <t xml:space="preserve">Насос дренажный "Хозяин" НДП-250-5 (3744,00/1,18/5,58=568,62), шт
 </t>
  </si>
  <si>
    <t>ФЕРм08-03-481-20
--------------------
Приказ Минстроя РФ от 30.01.14 №31/пр</t>
  </si>
  <si>
    <t xml:space="preserve">Подготовка электрической машины переменного тока с короткозамкнутым ротором, со щитовыми подшипниками, поступающей в собранном виде, к испытанию, сдаче под наладку и пуску, присоединение к электрической сети, масса: до 0,15 т, 1 шт.
НР 81%=95%*0.85 от ФОТ
СП 52%=65%*0.8 от ФОТ
 </t>
  </si>
  <si>
    <t>32,87
12</t>
  </si>
  <si>
    <t xml:space="preserve">55.355 Подготовка электрической машины переменного тока с короткозамкнутым ротором, со щитовыми подшипниками, поступающей в собранном виде, к испытанию, сдаче под наладку и пуску, присоединение к электрической сети: ОЗП=16,45; ЭМ=10,09; ЗПМ=16,45; МАТ=9,7
 </t>
  </si>
  <si>
    <t>ФЕРм11-02-001-01
--------------------
Приказ Минстроя РФ от 30.01.14 №31/пр</t>
  </si>
  <si>
    <t xml:space="preserve">Прибор, устанавливаемый на резьбовых соединениях, масса: до 1,5 кг, 1 шт.
НР 68%=80%*0.85 от ФОТ
СП 48%=60%*0.8 от ФОТ
 </t>
  </si>
  <si>
    <t>11,53
10,22</t>
  </si>
  <si>
    <t xml:space="preserve">58.3 Приборы, устанавливаемые на резьбовых соединениях: ОЗП=16,45; МАТ=4,55
 </t>
  </si>
  <si>
    <t>ТССЦо-610-0002-00039
--------------------
с 01.07.2012 Приказ Деп.стр. №9-п от 02.04.12</t>
  </si>
  <si>
    <t xml:space="preserve">Датчик давления (прессостат для воды) KPI 35 , Danfoss  (3856,43/3,83=1006,90), шт.
 </t>
  </si>
  <si>
    <t>ФЕР18-02-001-02
--------------------
Приказ Минстроя России от 12.11.14 №703/пр</t>
  </si>
  <si>
    <t xml:space="preserve">Установка водоподогревателей скоростных односекционных поверхностью нагрева одной секции: до 8 м2, 1 водоподогреватель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98%=128%*(0.9*0.85) от ФОТ
СП 56%=83%*(0.85*0.8) от ФОТ
 </t>
  </si>
  <si>
    <t>17208,26
151,89</t>
  </si>
  <si>
    <t>108,66
1,69</t>
  </si>
  <si>
    <t xml:space="preserve">18.6. Установка водоподогревателей скоростных односекционных: ОЗП=16,45; ЭМ=9,54; ЗПМ=16,45; МАТ=2,35
 </t>
  </si>
  <si>
    <t>1036,64
27,76</t>
  </si>
  <si>
    <t>13,73
0,13</t>
  </si>
  <si>
    <t>ФССЦ-301-1602
--------------------
Приказ Минстроя России от 12.11.14 №703/пр</t>
  </si>
  <si>
    <t xml:space="preserve">Водонагреватели односекционные: № 10 с поверхностью нагрева одной секции 6,9 м2, шт.
 </t>
  </si>
  <si>
    <t xml:space="preserve">Водонагреватели односекционные N 10 с поверхностью нагрева одной секции 6,9 м2; МАТ=1,882
 </t>
  </si>
  <si>
    <t>ФССЦ-507-0986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</si>
  <si>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100 мм, шт.
 </t>
  </si>
  <si>
    <t xml:space="preserve">Фланцы стальные плоские приварные из стали ВСт3сп2, ВСт3сп3; давлением 1.0 МПа (10 кгс/см2), диаметром 100 мм; МАТ=5,606
 </t>
  </si>
  <si>
    <t>ФССЦ-507-0987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</si>
  <si>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125 мм, шт.
 </t>
  </si>
  <si>
    <t xml:space="preserve">Фланцы стальные плоские приварные из стали ВСт3сп2, ВСт3сп3; давлением 1.0 МПа (10 кгс/см2), диаметром 125 мм; МАТ=7,446
 </t>
  </si>
  <si>
    <t>ФССЦ-507-0988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</si>
  <si>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150 мм, шт.
 </t>
  </si>
  <si>
    <t xml:space="preserve">Фланцы стальные плоские приварные из стали ВСт3сп2, ВСт3сп3; давлением 1.0 МПа (10 кгс/см2), диаметром 150 мм; МАТ=7,861
 </t>
  </si>
  <si>
    <t>Прайс "Alfa Lawal", расчет ООО "Сигма"</t>
  </si>
  <si>
    <t xml:space="preserve">Теплообменник ГВС TL6-BFG Р=1,90/0,937м, количество пластин 31/29, площадь поверхности теплообмена 7,4кв.м.(3367,00 евро х63,32/3,83= 55665,39), шт
 </t>
  </si>
  <si>
    <t>ФССЦ-507-1000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</si>
  <si>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50 мм, шт.
 </t>
  </si>
  <si>
    <t xml:space="preserve">Фланцы стальные плоские приварные из стали ВСт3сп2, ВСт3сп3; давлением 1,6 МПа (16 кгс/см2), диаметром 50 мм; МАТ=8,357
 </t>
  </si>
  <si>
    <t>4288,60
178,41</t>
  </si>
  <si>
    <t>163,01
0,81</t>
  </si>
  <si>
    <t xml:space="preserve">  68% =  80%*0.85 ФОТ (от 1707,43)  (Поз. 40, 61)</t>
  </si>
  <si>
    <t xml:space="preserve">  81% =  95%*0.85 ФОТ (от 789,6)  (Поз. 60)</t>
  </si>
  <si>
    <t xml:space="preserve">  98% =  128%*(0.9*0.85) ФОТ (от 26659,86)  (Поз. 5-16, 25, 35-36, 39, 41, 44, 47-48, 51, 63)</t>
  </si>
  <si>
    <t xml:space="preserve">  48% =  60%*0.8 ФОТ (от 1707,43)  (Поз. 40, 61)</t>
  </si>
  <si>
    <t xml:space="preserve">  52% =  65%*0.8 ФОТ (от 789,6)  (Поз. 60)</t>
  </si>
  <si>
    <t xml:space="preserve">  56% =  83%*(0.85*0.8) ФОТ (от 26659,86)  (Поз. 5-16, 25, 35-36, 39, 41, 44, 47-48, 51, 63)</t>
  </si>
  <si>
    <t>Итоги по разделу 2 Сантехнические работы :</t>
  </si>
  <si>
    <t xml:space="preserve">  Итого Строительные работы</t>
  </si>
  <si>
    <t>147,51
0,81</t>
  </si>
  <si>
    <t xml:space="preserve">  Итого Монтажные работы</t>
  </si>
  <si>
    <t xml:space="preserve">  Итого Оборудование</t>
  </si>
  <si>
    <t xml:space="preserve">      Оборудование</t>
  </si>
  <si>
    <t xml:space="preserve">  Итого по разделу 2 Сантехнические работы</t>
  </si>
  <si>
    <t xml:space="preserve">                           Раздел 3. Монтаж КИПиА</t>
  </si>
  <si>
    <t>ФЕРм11-03-001-01
--------------------
Приказ Минстроя РФ от 30.01.14 №31/пр</t>
  </si>
  <si>
    <t xml:space="preserve">Приборы, устанавливаемые на металлоконструкциях, щитах и пультах, масса: до 5 кг, 1 шт.
НР 68%=80%*0.85 от ФОТ
СП 48%=60%*0.8 от ФОТ
 </t>
  </si>
  <si>
    <t>6,25
5,16</t>
  </si>
  <si>
    <t xml:space="preserve">58.22 Приборы, устанавливаемые на металлоконструкциях, щитах и пультах: ОЗП=16,45; МАТ=2,9
 </t>
  </si>
  <si>
    <t>Прайс "ОВЕН"</t>
  </si>
  <si>
    <t xml:space="preserve">Контроллер (погодный компенсатор) ТРМ232-РРРРРР.01  (12095,00/1,18/3,83=2676,24), шт
 </t>
  </si>
  <si>
    <t xml:space="preserve">Датчик температуры наружного воздуха ДТС 125-100М-В2-60 (651,36/1,18/3,83=144,13), шт
 </t>
  </si>
  <si>
    <t xml:space="preserve">Датчик температуры наружного воздуха (погружной датчик температуры) ДТС 105-100М-В3-100 (767,00/1,18/3,83=169,71), шт
 </t>
  </si>
  <si>
    <t xml:space="preserve">Датчик температуры наружного воздуха (погружной датчик температуры) ДТС 105-100М-В3-250 (906,24/1,18/3,83=200,52), шт
 </t>
  </si>
  <si>
    <t xml:space="preserve">Гильза для погружного датчика ГЗ.16.1.1.100 (693,84/1,18/5,58=105,38), шт
 </t>
  </si>
  <si>
    <t xml:space="preserve">Гильза для погружного датчика ГЗ.16.1.1.250 (719,80/1,18/5,58=109,32), шт
 </t>
  </si>
  <si>
    <t xml:space="preserve">Бобышки, штуцеры на условное давление: до 10 МПа, 100 шт.
НР 68%=80%*0.85 от ФОТ
СП 48%=60%*0.8 от ФОТ
 </t>
  </si>
  <si>
    <t>ФССЦ-108-0081
--------------------
Приказ Минстроя России от 12.11.14 №703/пр</t>
  </si>
  <si>
    <t xml:space="preserve">Бобышки скошенные, шт.
 </t>
  </si>
  <si>
    <t xml:space="preserve">Бобышки скошенные; МАТ=11,06
 </t>
  </si>
  <si>
    <t xml:space="preserve">Бобышка Б.У.М 20х1,5.60.1 (259,60/1,18/5,58=39,43), шт
 </t>
  </si>
  <si>
    <t>ФЕРм12-12-003-01
--------------------
Приказ Минстроя РФ от 30.01.14 №31/пр</t>
  </si>
  <si>
    <t xml:space="preserve">Арматура фланцевая с электрическим приводом на условное давление до 4 МПа, диаметр условного прохода: 32 мм, 1 шт.
НР 68%=80%*0.85 от ФОТ
СП 48%=60%*0.8 от ФОТ
 </t>
  </si>
  <si>
    <t>46,6
42,33</t>
  </si>
  <si>
    <t xml:space="preserve">59.168 Арматура фланцевая с электрическим приводом на условное давление до 4 МПа: ОЗП=16,45; ЭМ=8,95; ЗПМ=16,45; МАТ=6,07
 </t>
  </si>
  <si>
    <t>ФССЦ-301-7583
--------------------
Приказ Минстроя России от 12.11.14 №703/пр</t>
  </si>
  <si>
    <t xml:space="preserve">Клапан регулирующий двухходовой "Danfoss", марка VB 2, диаметр: 32 мм (28824,87/5,58=5165,75), шт.
 </t>
  </si>
  <si>
    <t>ТССЦо-622-0002-01002
--------------------
с 01.07.2012 Приказ Деп.стр. №9-п от 02.04.12</t>
  </si>
  <si>
    <t xml:space="preserve">Электропривод редукторный AMV30 для клапанов VS2, VM2, VB2 (46898,75/3,83=12245,10), шт
 </t>
  </si>
  <si>
    <t>ФССЦ-507-0998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</si>
  <si>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32 мм, шт.
 </t>
  </si>
  <si>
    <t xml:space="preserve">Фланцы стальные плоские приварные из стали ВСт3сп2, ВСт3сп3; давлением 1,6 МПа (16 кгс/см2), диаметром 25 мм; МАТ=6,009
 </t>
  </si>
  <si>
    <t>ФЕРм12-12-003-02
--------------------
Приказ Минстроя РФ от 30.01.14 №31/пр</t>
  </si>
  <si>
    <t xml:space="preserve">Арматура фланцевая с электрическим приводом на условное давление до 4 МПа, диаметр условного прохода: 40 мм, 1 шт.
НР 68%=80%*0.85 от ФОТ
СП 48%=60%*0.8 от ФОТ
 </t>
  </si>
  <si>
    <t>48,72
42,33</t>
  </si>
  <si>
    <t xml:space="preserve">Регулирующий клапан отопления VF 3, фланцевый, Ду40,  Тмакс=150гр.С, Ру=16бар, Кvs=25,0м3/ч, Ркл=2,6м (1084,92х63,32/5,58=12311,31), шт
 </t>
  </si>
  <si>
    <t xml:space="preserve">Элекропривод отопления AMV-438 SU (230В) (708,66х63,32/3,83=11716,02), шт
 </t>
  </si>
  <si>
    <t>ФЕРм08-03-573-04
--------------------
Приказ Минстроя РФ от 30.01.14 №31/пр</t>
  </si>
  <si>
    <t xml:space="preserve">Шкаф (пульт) управления навесной, высота, ширина и глубина: до 600х600х350 мм, 1 шт.
НР 81%=95%*0.85 от ФОТ
СП 52%=65%*0.8 от ФОТ
 </t>
  </si>
  <si>
    <t>68,25
23,51</t>
  </si>
  <si>
    <t>41,74
3,16</t>
  </si>
  <si>
    <t xml:space="preserve">55.499 Шкаф (пульт) управления навесной: ОЗП=16,45; ЭМ=7,77; ЗПМ=16,45; МАТ=4,2
 </t>
  </si>
  <si>
    <t>324,32
51,98</t>
  </si>
  <si>
    <t>2,37
0,29</t>
  </si>
  <si>
    <t>Коммерческое предложение "ТК "Компакт"</t>
  </si>
  <si>
    <t xml:space="preserve">Шкаф управления теплового узла индивидуальной сборки с таймером (27180,00/3,83=7096,61), шт
 </t>
  </si>
  <si>
    <t xml:space="preserve">                                   Теплосчетчик, комплектно:</t>
  </si>
  <si>
    <t>Прайс "Теплоком"</t>
  </si>
  <si>
    <t xml:space="preserve">Тепловычислитель ВКТ 9-01 с автономным питанием и возможностью подключения до 6-и датчиков расхода, 4-х датчиков температуры и 3-х датчиков давления. Контроль питания датчиков расхода (10930,00/3,83=2853,79), шт
 </t>
  </si>
  <si>
    <t>ФЕРм11-02-022-04
--------------------
Приказ Минстроя РФ от 30.01.14 №31/пр</t>
  </si>
  <si>
    <t xml:space="preserve">Ротаметр, счетчик, преобразователь, устанавливаемые на фланцевых соединениях, диаметр условного прохода: до 50 мм, 1 шт.
НР 68%=80%*0.85 от ФОТ
СП 48%=60%*0.8 от ФОТ
 </t>
  </si>
  <si>
    <t>47,83
27,01</t>
  </si>
  <si>
    <t xml:space="preserve">58.8 Ротаметр, счетчик, преобразователь, устанавливаемые на фланцевых соединениях, диаметр условного прохода: до 120 мм: ОЗП=16,45; ЭМ=11,42; ЗПМ=16,45; МАТ=4,43
 </t>
  </si>
  <si>
    <t xml:space="preserve">Преобразователь расхода (расходомер) ПРЭМ-40 Класс D (исп. фланцевое) (19360,00/3,83=5054,83), шт
 </t>
  </si>
  <si>
    <t>ФЕРм11-02-022-02
--------------------
Приказ Минстроя РФ от 30.01.14 №31/пр</t>
  </si>
  <si>
    <t xml:space="preserve">Ротаметр, счетчик, преобразователь, устанавливаемые на фланцевых соединениях, диаметр условного прохода: до 20 мм, 1 шт.
НР 68%=80%*0.85 от ФОТ
СП 48%=60%*0.8 от ФОТ
 </t>
  </si>
  <si>
    <t>14,49
9</t>
  </si>
  <si>
    <t xml:space="preserve">Преобразователь расхода (расходомер) ПРЭМ-20 Класс D (исп. сэндвич) (14370,00/3,83=3751,96), шт
 </t>
  </si>
  <si>
    <t>ФССЦ-507-0996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</si>
  <si>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20 мм, шт.
 </t>
  </si>
  <si>
    <t xml:space="preserve">Фланцы стальные плоские приварные из стали ВСт3сп2, ВСт3сп3; давлением 1,6 МПа (16 кгс/см2), диаметром 20 мм; МАТ=4,961
 </t>
  </si>
  <si>
    <t xml:space="preserve">Прибор, устанавливаемый на резьбовых соединениях, масса: до 1,5 кг (КТСП-Н, СДВ-И), 1 шт.
НР 68%=80%*0.85 от ФОТ
СП 48%=60%*0.8 от ФОТ
 </t>
  </si>
  <si>
    <t xml:space="preserve">Датчик избыточного давления Коммуналец СДВ-И 1,6МПа (3500,00/3,83=913,84), шт
 </t>
  </si>
  <si>
    <t xml:space="preserve">Блок питания (для датчиков давления) (820,00/3,83=214,10), шт
 </t>
  </si>
  <si>
    <t xml:space="preserve">Комплект термопреобразователей КТСП-НСХPt100 L60 кл.А (1480,00/3,83=386,42), к-т
 </t>
  </si>
  <si>
    <t xml:space="preserve">Гильза к термопреобразователю L60 (320,00/5,58=57,35), шт
 </t>
  </si>
  <si>
    <t xml:space="preserve">Петлевая трубка прямая Ду15 (567,00/1,18/5,58=86,11), шт
 </t>
  </si>
  <si>
    <t xml:space="preserve">Шкаф размещения прибора учета индивидуальной сборки  (4500,00/3,83=1174,93), шт
 </t>
  </si>
  <si>
    <t>1013,17
103,96</t>
  </si>
  <si>
    <t>32,16
0,58</t>
  </si>
  <si>
    <t xml:space="preserve">  68% =  80%*0.85 ФОТ (от 4278,07)  (Поз. 70, 72, 78, 81, 85, 91, 93, 96, 99)</t>
  </si>
  <si>
    <t xml:space="preserve">  81% =  95%*0.85 ФОТ (от 877,44)  (Поз. 89, 105)</t>
  </si>
  <si>
    <t xml:space="preserve">  48% =  60%*0.8 ФОТ (от 4278,07)  (Поз. 70, 72, 78, 81, 85, 91, 93, 96, 99)</t>
  </si>
  <si>
    <t xml:space="preserve">  52% =  65%*0.8 ФОТ (от 877,44)  (Поз. 89, 105)</t>
  </si>
  <si>
    <t>Итоги по разделу 3 Монтаж КИПиА :</t>
  </si>
  <si>
    <t xml:space="preserve">  Итого по разделу 3 Монтаж КИПиА</t>
  </si>
  <si>
    <t xml:space="preserve">                           Раздел 4. Общестроительные работы</t>
  </si>
  <si>
    <t>ФЕР13-03-002-04
--------------------
Приказ Минстроя РФ от 30.01.14 №31/пр</t>
  </si>
  <si>
    <t xml:space="preserve">Огрунтовка металлических поверхностей за один раз: грунтовкой ГФ-021,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69%=90%*(0.9*0.85) от ФОТ
СП 48%=70%*(0.85*0.8) от ФОТ
 </t>
  </si>
  <si>
    <t>279,54
65,03</t>
  </si>
  <si>
    <t>11,79
0,13</t>
  </si>
  <si>
    <t xml:space="preserve">13.39. Огрунтовка металлических поверхностей за один раз: грунтовкой ГФ-021: ОЗП=16,45; ЭМ=10,81; ЗПМ=16,45; МАТ=4,27
 </t>
  </si>
  <si>
    <t>16,82
0,27</t>
  </si>
  <si>
    <t>5,31
0,01</t>
  </si>
  <si>
    <t>ФЕР13-03-004-23
--------------------
Приказ Минстроя РФ от 30.01.14 №31/пр</t>
  </si>
  <si>
    <t xml:space="preserve">Окраска металлических огрунтованных поверхностей: краской БТ-177 серебристой, 100 м2 окрашиваемой поверхности
КОЭФ. К ПОЗИЦИИ:
Количество окрасок-2 ПЗ=2 (ОЗП=2; ЭМ=2 к расх.; ЗПМ=2; МАТ=2 к расх.; ТЗ=2; ТЗМ=2) (1-й уровень);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 (1-й уровень)
НР 69%=90%*(0.9*0.85) от ФОТ
СП 48%=70%*(0.85*0.8) от ФОТ
 </t>
  </si>
  <si>
    <t>485,19
56,16</t>
  </si>
  <si>
    <t>27,47
0,23</t>
  </si>
  <si>
    <t xml:space="preserve">13.97 Окраска металлических огрунтованных поверхностей: краской БТ-177 серебристой: ОЗП=16,45; ЭМ=10,91; ЗПМ=16,45; МАТ=4,58
 </t>
  </si>
  <si>
    <t>39,56
0,49</t>
  </si>
  <si>
    <t>5,76
0,02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</si>
  <si>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</si>
  <si>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КОЭФ. К ПОЗИЦИИ:
При ремонте и реконструкции зданий и сооружений работы, аналогичные технологическим процессам в новом строительстве. МДС 81-35.2004, п.4.7 (2012) ОЗП=1,15; ЭМ=1,25; ЗПМ=1,25; ТЗМ=1,25
НР 77%=100%*(0.9*0.85) от ФОТ
СП 48%=70%*(0.85*0.8)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</si>
  <si>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</si>
  <si>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</si>
  <si>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</si>
  <si>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</si>
  <si>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МАТ=3,423
 </t>
  </si>
  <si>
    <t>Прайс ООО "Изолпроект"</t>
  </si>
  <si>
    <t xml:space="preserve">Теплоизоляция ISOVER KIM-AL 50 (4171,95/1,18/5,58=633,61), м3
 </t>
  </si>
  <si>
    <t>1027,65
0,76</t>
  </si>
  <si>
    <t xml:space="preserve">  69% =  90%*(0.9*0.85) ФОТ (от 263,91)  (Поз. 107-108)</t>
  </si>
  <si>
    <t xml:space="preserve">  77% =  100%*(0.9*0.85) ФОТ (от 4176,53)  (Поз. 109)</t>
  </si>
  <si>
    <t xml:space="preserve">  48% =  70%*(0.85*0.8) ФОТ (от 4440,44)  (Поз. 107-109)</t>
  </si>
  <si>
    <t>Итоги по разделу 4 Общестроительные работы :</t>
  </si>
  <si>
    <t xml:space="preserve">  Защита строительных конструкций и оборудования от коррозии</t>
  </si>
  <si>
    <t xml:space="preserve">  Теплоизоляционные работы</t>
  </si>
  <si>
    <t xml:space="preserve">  Материалы для строительных работ</t>
  </si>
  <si>
    <t xml:space="preserve">  Итого по разделу 4 Общестроительные работы</t>
  </si>
  <si>
    <t xml:space="preserve">                           Раздел 5. Электромонтажные работы</t>
  </si>
  <si>
    <t>ФЕРм08-02-413-01
--------------------
Приказ Минстроя РФ от 30.01.14 №31/пр</t>
  </si>
  <si>
    <t xml:space="preserve">Провод, количество проводов в резинобитумной трубке: до 2, сечение провода до 6 мм2, 100 м трубок
НР 81%=95%*0.85 от ФОТ
СП 52%=65%*0.8 от ФОТ
 </t>
  </si>
  <si>
    <t>256,35
151,9</t>
  </si>
  <si>
    <t>39,93
2,43</t>
  </si>
  <si>
    <t xml:space="preserve">55.320 Провод в резинобитумных трубках: ОЗП=16,45; ЭМ=9,87; ЗПМ=16,45; МАТ=4,29
 </t>
  </si>
  <si>
    <t>390,17
39,57</t>
  </si>
  <si>
    <t>16,16
0,18</t>
  </si>
  <si>
    <t>16
0,18</t>
  </si>
  <si>
    <t>ФССЦ-507-3484
--------------------
Приказ Минстроя России от 12.11.14 №703/пр</t>
  </si>
  <si>
    <t xml:space="preserve">Трубы поливинилхлоридные (ПВХ) диаметром: 16 мм, м
 </t>
  </si>
  <si>
    <t xml:space="preserve">Трубы поливинилхлоридные (ПВХ) диаметром 16 мм; МАТ=1,234
 </t>
  </si>
  <si>
    <t>ФЕРм08-02-390-01
--------------------
Приказ Минстроя РФ от 30.01.14 №31/пр</t>
  </si>
  <si>
    <t xml:space="preserve">Короба пластмассовые: шириной до 40 мм, 100 м
НР 81%=95%*0.85 от ФОТ
СП 52%=65%*0.8 от ФОТ
 </t>
  </si>
  <si>
    <t>237,65
154,92</t>
  </si>
  <si>
    <t>31,2
0,14</t>
  </si>
  <si>
    <t xml:space="preserve">55.282 Короба пластмассовые: ОЗП=16,45; ЭМ=4,32; ЗПМ=16,45; МАТ=1,58
 </t>
  </si>
  <si>
    <t>10,78
0,18</t>
  </si>
  <si>
    <t>16,29
0,01</t>
  </si>
  <si>
    <t>ФССЦ-509-1836
--------------------
Приказ Минстроя России от 12.11.14 №703/пр</t>
  </si>
  <si>
    <t xml:space="preserve">Кабель-канал (короб) "Электропласт": 60x40 мм, 100 м
 </t>
  </si>
  <si>
    <t xml:space="preserve">Кабель-канал (короб) 'Электропласт' 60x40 мм; МАТ=6,649
 </t>
  </si>
  <si>
    <t>ФЕРм08-02-399-01
--------------------
Приказ Минстроя РФ от 30.01.14 №31/пр</t>
  </si>
  <si>
    <t xml:space="preserve">Провод в коробах, сечением: до 6 мм2, 100 м
НР 81%=95%*0.85 от ФОТ
СП 52%=65%*0.8 от ФОТ
 </t>
  </si>
  <si>
    <t>41,55
26,51</t>
  </si>
  <si>
    <t>2,22
0,14</t>
  </si>
  <si>
    <t xml:space="preserve">55.292 Провода в коробах: ОЗП=16,45; ЭМ=9,87; ЗПМ=16,45; МАТ=3,93
 </t>
  </si>
  <si>
    <t>42,94
4,51</t>
  </si>
  <si>
    <t>2,82
0,01</t>
  </si>
  <si>
    <t>5,53
0,02</t>
  </si>
  <si>
    <t>ФССЦ-501-8482
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</si>
  <si>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1,5 мм2, 1000 м
 </t>
  </si>
  <si>
    <t>0,04182
0,041*1,02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</si>
  <si>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мм2; МАТ=8,343
 </t>
  </si>
  <si>
    <t>ФССЦ-501-8491
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</si>
  <si>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- 4 и сечением 1,5 мм2, 1000 м
 </t>
  </si>
  <si>
    <t>0,0204
0,02*1,02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</si>
  <si>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- 4 и сечением 1,5 мм2; МАТ=8,024
 </t>
  </si>
  <si>
    <t>501-9003-91404
--------------------
И8</t>
  </si>
  <si>
    <t xml:space="preserve">Кабели монтажные многожильные   экранизированные с пластмассовой изоляции на напряжение до 500 В  с  медными жилами  МКЭШ сечением: 5х0,35 мм2 (26780,05/5,58=4799,29), 1000 м
 </t>
  </si>
  <si>
    <t>0,0306
0,03*1,02</t>
  </si>
  <si>
    <t>Прайс "ЭТМ"</t>
  </si>
  <si>
    <t xml:space="preserve">Провод ПВСнг-LS 2х0,75 (А) (23,50/1,18/5,58=3,57), м
 </t>
  </si>
  <si>
    <t>177,48
174*1,02</t>
  </si>
  <si>
    <t>501-9003-91003
--------------------
И8</t>
  </si>
  <si>
    <t xml:space="preserve">Кабель КСПВ слаботочный негибкий,  с числом жил и сечением: 4х0,5 мм2 (4356,68/5,58=780,77), 1000 м
 </t>
  </si>
  <si>
    <t>ФЕРм08-03-574-01
--------------------
Приказ Минстроя РФ от 30.01.14 №31/пр</t>
  </si>
  <si>
    <t xml:space="preserve">Разводка по устройствам и подключение жил кабелей или проводов сечением: до 10 мм2, 100 жил
НР 81%=95%*0.85 от ФОТ
СП 52%=65%*0.8 от ФОТ
 </t>
  </si>
  <si>
    <t>273,07
166,66</t>
  </si>
  <si>
    <t xml:space="preserve">55.500 Разводка по устройствам и подключение жил кабелей или проводов внешней сети к блокам зажимов и к зажимам аппаратов и приборов, установленных на устройствах: ОЗП=16,45; ЭМ=24,53; ЗПМ=16,45; МАТ=3,92
 </t>
  </si>
  <si>
    <t>32,68
1,38</t>
  </si>
  <si>
    <t>16,8
0,01</t>
  </si>
  <si>
    <t>10,08
0,01</t>
  </si>
  <si>
    <t>476,57
45,64</t>
  </si>
  <si>
    <t>32,91
0,21</t>
  </si>
  <si>
    <t xml:space="preserve">  81% =  95%*0.85 ФОТ (от 5222,96)  (Поз. 112, 114, 116, 122)</t>
  </si>
  <si>
    <t xml:space="preserve">  52% =  65%*0.8 ФОТ (от 5222,96)  (Поз. 112, 114, 116, 122)</t>
  </si>
  <si>
    <t>Итоги по разделу 5 Электромонтажные работы :</t>
  </si>
  <si>
    <t xml:space="preserve">  Итого по разделу 5 Электромонтажные работы</t>
  </si>
  <si>
    <t xml:space="preserve">                           Раздел 6. Сопутствующие работы</t>
  </si>
  <si>
    <t>ФЕР16-07-003-07
--------------------
Приказ Минстроя РФ от 30.01.14 №31/пр</t>
  </si>
  <si>
    <t xml:space="preserve">Врезка в действующие внутренние сети трубопроводов отопления и водоснабжения диаметром: 80 мм, 1 врезка
НР 98%=128%*(0.9*0.85) от ФОТ
СП 56%=83%*(0.85*0.8) от ФОТ
 </t>
  </si>
  <si>
    <t>583,24
71,77</t>
  </si>
  <si>
    <t>11,71
0,27</t>
  </si>
  <si>
    <t xml:space="preserve">16.189 Врезка в действующие внутренние сети трубопроводов отопления и водоснабжения диаметром: 80 мм: ОЗП=16,45; ЭМ=9,59; ЗПМ=16,45; МАТ=4,44
 </t>
  </si>
  <si>
    <t>224,6
8,88</t>
  </si>
  <si>
    <t>7,46
0,02</t>
  </si>
  <si>
    <t>14,92
0,04</t>
  </si>
  <si>
    <t>ФЕР16-07-003-06прим.
--------------------
Приказ Минстроя РФ от 30.01.14 №31/пр</t>
  </si>
  <si>
    <t xml:space="preserve">Врезка в действующие внутренние сети трубопроводов отопления и водоснабжения диаметром: 65 мм, 1 врезка
НР 98%=128%*(0.9*0.85) от ФОТ
СП 56%=83%*(0.85*0.8) от ФОТ
 </t>
  </si>
  <si>
    <t>385,78
61,86</t>
  </si>
  <si>
    <t>7
0,14</t>
  </si>
  <si>
    <t xml:space="preserve">16.188 Врезка в действующие внутренние сети трубопроводов отопления и водоснабжения диаметром: 50 мм: ОЗП=16,45; ЭМ=8,69; ЗПМ=16,45; МАТ=4,27
 </t>
  </si>
  <si>
    <t>121,66
4,6</t>
  </si>
  <si>
    <t>6,43
0,01</t>
  </si>
  <si>
    <t>12,86
0,02</t>
  </si>
  <si>
    <t>346,26
13,48</t>
  </si>
  <si>
    <t>27,78
0,06</t>
  </si>
  <si>
    <t xml:space="preserve">  98% =  128%*(0.9*0.85) ФОТ (от 4409,92)  (Поз. 123-124)</t>
  </si>
  <si>
    <t xml:space="preserve">  56% =  83%*(0.85*0.8) ФОТ (от 4409,92)  (Поз. 123-124)</t>
  </si>
  <si>
    <t>Итоги по разделу 6 Сопутствующие работы :</t>
  </si>
  <si>
    <t xml:space="preserve">  Итого по разделу 6 Сопутствующие работы</t>
  </si>
  <si>
    <t>Итого прямые затраты по смете в текущих ценах</t>
  </si>
  <si>
    <t>7261,28
346,72</t>
  </si>
  <si>
    <t>302,44
1,68</t>
  </si>
  <si>
    <t>Итоги по смете:</t>
  </si>
  <si>
    <t>221,87
0,89</t>
  </si>
  <si>
    <t>80,57
0,79</t>
  </si>
  <si>
    <t xml:space="preserve">  ВСЕГО по смете</t>
  </si>
  <si>
    <t xml:space="preserve">Капитальный ремонт многоквртирного дома по адресу: Томская область, г.Северск, пр. Коммунистический, 71.                                                                                                                     </t>
  </si>
  <si>
    <r>
      <t xml:space="preserve">на  </t>
    </r>
    <r>
      <rPr>
        <b/>
        <sz val="9"/>
        <rFont val="Tahoma"/>
        <family val="2"/>
        <charset val="204"/>
      </rPr>
      <t>Капитальный ремонт внутридомовых инженерных систем теплоснабжения. Тепловой узел</t>
    </r>
  </si>
  <si>
    <t>Составлен(а) в текущих ценах по состоянию на 2 кв. 2015 года</t>
  </si>
  <si>
    <t>ЛОКАЛЬНЫЙ СМЕТНЫЙ РАСЧЕТ №  02-01-01</t>
  </si>
  <si>
    <t>Основание:  РД №36-2015-ОВ</t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</si>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</sst>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Unicode MS"/>
      <family val="2"/>
      <charset val="204"/>
    </font>
    <font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1">
      <alignment horizontal="center"/>
    </xf>
    <xf numFmtId="0" fontId="7" fillId="0" borderId="1">
      <alignment horizont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right" vertical="top" wrapText="1"/>
    </xf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1">
      <alignment horizontal="center"/>
    </xf>
    <xf numFmtId="0" fontId="7" fillId="0" borderId="1">
      <alignment horizontal="center"/>
    </xf>
    <xf numFmtId="0" fontId="7" fillId="0" borderId="0">
      <alignment horizontal="center" vertical="top" wrapText="1"/>
    </xf>
    <xf numFmtId="0" fontId="7" fillId="0" borderId="0" applyProtection="0">
      <alignment horizontal="right" indent="1"/>
    </xf>
    <xf numFmtId="0" fontId="7" fillId="0" borderId="0">
      <alignment horizontal="center"/>
    </xf>
    <xf numFmtId="0" fontId="7" fillId="0" borderId="0">
      <alignment horizontal="left" vertical="top"/>
    </xf>
  </cellStyleXfs>
  <cellXfs count="145">
    <xf numFmtId="0" fontId="0" fillId="0" borderId="0" xfId="0"/>
    <xf numFmtId="0" fontId="2" fillId="0" borderId="0" xfId="0" applyFont="1"/>
    <xf numFmtId="0" fontId="4" fillId="0" borderId="0" xfId="3" applyAlignment="1" applyProtection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3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0" xfId="12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4" fillId="0" borderId="7" xfId="0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15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6" xfId="12" applyBorder="1" applyAlignment="1">
      <alignment horizontal="center" vertical="top" wrapText="1"/>
    </xf>
    <xf numFmtId="49" fontId="0" fillId="0" borderId="7" xfId="0" applyNumberFormat="1" applyBorder="1" applyAlignment="1">
      <alignment wrapText="1"/>
    </xf>
    <xf numFmtId="0" fontId="1" fillId="0" borderId="7" xfId="0" applyFont="1" applyBorder="1"/>
    <xf numFmtId="49" fontId="14" fillId="0" borderId="7" xfId="0" applyNumberFormat="1" applyFont="1" applyBorder="1" applyAlignment="1">
      <alignment wrapText="1"/>
    </xf>
    <xf numFmtId="0" fontId="7" fillId="0" borderId="9" xfId="12" applyBorder="1" applyAlignment="1">
      <alignment horizontal="center" vertical="top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/>
    <xf numFmtId="0" fontId="7" fillId="0" borderId="0" xfId="5" applyFont="1" applyBorder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/>
    </xf>
    <xf numFmtId="0" fontId="19" fillId="0" borderId="0" xfId="0" applyFont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8" fillId="0" borderId="0" xfId="11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/>
    <xf numFmtId="0" fontId="18" fillId="0" borderId="11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quotePrefix="1" applyFont="1" applyBorder="1" applyAlignment="1">
      <alignment horizontal="right" vertical="top"/>
    </xf>
    <xf numFmtId="0" fontId="18" fillId="0" borderId="0" xfId="0" quotePrefix="1" applyFont="1" applyFill="1" applyBorder="1" applyAlignment="1">
      <alignment horizontal="left" vertical="top"/>
    </xf>
    <xf numFmtId="0" fontId="21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/>
    <xf numFmtId="0" fontId="17" fillId="0" borderId="0" xfId="12" applyFont="1" applyAlignment="1">
      <alignment horizontal="left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righ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right" vertical="top" wrapText="1"/>
    </xf>
    <xf numFmtId="0" fontId="17" fillId="0" borderId="1" xfId="4" applyFont="1" applyBorder="1" applyAlignment="1">
      <alignment horizontal="righ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1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1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11" xfId="10" applyFont="1" applyBorder="1" applyAlignment="1">
      <alignment horizontal="left"/>
    </xf>
    <xf numFmtId="0" fontId="17" fillId="0" borderId="1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8" fillId="0" borderId="0" xfId="10" quotePrefix="1" applyFont="1" applyAlignment="1">
      <alignment horizontal="left"/>
    </xf>
    <xf numFmtId="0" fontId="18" fillId="0" borderId="0" xfId="10" applyFont="1" applyAlignment="1">
      <alignment horizontal="left"/>
    </xf>
    <xf numFmtId="0" fontId="18" fillId="0" borderId="11" xfId="10" applyFont="1" applyBorder="1">
      <alignment horizontal="right" indent="1"/>
    </xf>
    <xf numFmtId="0" fontId="18" fillId="0" borderId="12" xfId="10" applyFont="1" applyBorder="1">
      <alignment horizontal="right" indent="1"/>
    </xf>
    <xf numFmtId="0" fontId="17" fillId="0" borderId="13" xfId="0" quotePrefix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7" fillId="0" borderId="8" xfId="0" applyFont="1" applyBorder="1" applyAlignment="1"/>
    <xf numFmtId="0" fontId="17" fillId="0" borderId="0" xfId="0" applyFont="1" applyBorder="1" applyAlignment="1"/>
    <xf numFmtId="0" fontId="17" fillId="0" borderId="7" xfId="0" applyFont="1" applyBorder="1" applyAlignment="1"/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0" fillId="0" borderId="1" xfId="4" applyFont="1" applyBorder="1" applyAlignment="1">
      <alignment horizontal="left" vertical="top" wrapText="1"/>
    </xf>
    <xf numFmtId="0" fontId="20" fillId="0" borderId="0" xfId="1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7" fillId="0" borderId="1" xfId="4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3">
    <cellStyle name="Акт" xfId="1"/>
    <cellStyle name="ВедРесурсов" xfId="2"/>
    <cellStyle name="Гиперссылка" xfId="3" builtinId="8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Расч" xfId="8"/>
    <cellStyle name="Список ресурсов" xfId="9"/>
    <cellStyle name="Титул" xfId="10"/>
    <cellStyle name="Титул_Лок.См.Расч.Баз.-Инд.Методом" xfId="11"/>
    <cellStyle name="Хвост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279</xdr:row>
      <xdr:rowOff>0</xdr:rowOff>
    </xdr:from>
    <xdr:to>
      <xdr:col>7</xdr:col>
      <xdr:colOff>304800</xdr:colOff>
      <xdr:row>280</xdr:row>
      <xdr:rowOff>142875</xdr:rowOff>
    </xdr:to>
    <xdr:sp macro="" textlink="">
      <xdr:nvSpPr>
        <xdr:cNvPr id="1118" name="AutoShape 2" descr="Выделение примера в справке."/>
        <xdr:cNvSpPr>
          <a:spLocks noChangeAspect="1" noChangeArrowheads="1"/>
        </xdr:cNvSpPr>
      </xdr:nvSpPr>
      <xdr:spPr bwMode="auto">
        <a:xfrm>
          <a:off x="13515975" y="4609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304800</xdr:colOff>
      <xdr:row>301</xdr:row>
      <xdr:rowOff>171450</xdr:rowOff>
    </xdr:to>
    <xdr:sp macro="" textlink="">
      <xdr:nvSpPr>
        <xdr:cNvPr id="1119" name="AutoShape 3" descr="Токио—Сибуя"/>
        <xdr:cNvSpPr>
          <a:spLocks noChangeAspect="1" noChangeArrowheads="1"/>
        </xdr:cNvSpPr>
      </xdr:nvSpPr>
      <xdr:spPr bwMode="auto">
        <a:xfrm>
          <a:off x="1351597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300</xdr:row>
      <xdr:rowOff>0</xdr:rowOff>
    </xdr:from>
    <xdr:to>
      <xdr:col>8</xdr:col>
      <xdr:colOff>9525</xdr:colOff>
      <xdr:row>301</xdr:row>
      <xdr:rowOff>171450</xdr:rowOff>
    </xdr:to>
    <xdr:sp macro="" textlink="">
      <xdr:nvSpPr>
        <xdr:cNvPr id="1120" name="AutoShape 4" descr="Токио—Сибуя"/>
        <xdr:cNvSpPr>
          <a:spLocks noChangeAspect="1" noChangeArrowheads="1"/>
        </xdr:cNvSpPr>
      </xdr:nvSpPr>
      <xdr:spPr bwMode="auto">
        <a:xfrm>
          <a:off x="13830300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300</xdr:row>
      <xdr:rowOff>0</xdr:rowOff>
    </xdr:from>
    <xdr:to>
      <xdr:col>8</xdr:col>
      <xdr:colOff>323850</xdr:colOff>
      <xdr:row>301</xdr:row>
      <xdr:rowOff>171450</xdr:rowOff>
    </xdr:to>
    <xdr:sp macro="" textlink="">
      <xdr:nvSpPr>
        <xdr:cNvPr id="1121" name="AutoShape 5" descr="Токио—Сибуя"/>
        <xdr:cNvSpPr>
          <a:spLocks noChangeAspect="1" noChangeArrowheads="1"/>
        </xdr:cNvSpPr>
      </xdr:nvSpPr>
      <xdr:spPr bwMode="auto">
        <a:xfrm>
          <a:off x="1414462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304800</xdr:colOff>
      <xdr:row>304</xdr:row>
      <xdr:rowOff>142875</xdr:rowOff>
    </xdr:to>
    <xdr:sp macro="" textlink="">
      <xdr:nvSpPr>
        <xdr:cNvPr id="1122" name="AutoShape 6" descr="Токио—Сибуя"/>
        <xdr:cNvSpPr>
          <a:spLocks noChangeAspect="1" noChangeArrowheads="1"/>
        </xdr:cNvSpPr>
      </xdr:nvSpPr>
      <xdr:spPr bwMode="auto">
        <a:xfrm>
          <a:off x="1351597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303</xdr:row>
      <xdr:rowOff>0</xdr:rowOff>
    </xdr:from>
    <xdr:to>
      <xdr:col>8</xdr:col>
      <xdr:colOff>9525</xdr:colOff>
      <xdr:row>304</xdr:row>
      <xdr:rowOff>142875</xdr:rowOff>
    </xdr:to>
    <xdr:sp macro="" textlink="">
      <xdr:nvSpPr>
        <xdr:cNvPr id="1123" name="AutoShape 7" descr="Токио—Сибуя"/>
        <xdr:cNvSpPr>
          <a:spLocks noChangeAspect="1" noChangeArrowheads="1"/>
        </xdr:cNvSpPr>
      </xdr:nvSpPr>
      <xdr:spPr bwMode="auto">
        <a:xfrm>
          <a:off x="13830300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303</xdr:row>
      <xdr:rowOff>0</xdr:rowOff>
    </xdr:from>
    <xdr:to>
      <xdr:col>8</xdr:col>
      <xdr:colOff>323850</xdr:colOff>
      <xdr:row>304</xdr:row>
      <xdr:rowOff>142875</xdr:rowOff>
    </xdr:to>
    <xdr:sp macro="" textlink="">
      <xdr:nvSpPr>
        <xdr:cNvPr id="1124" name="AutoShape 8" descr="Токио—Сибуя"/>
        <xdr:cNvSpPr>
          <a:spLocks noChangeAspect="1" noChangeArrowheads="1"/>
        </xdr:cNvSpPr>
      </xdr:nvSpPr>
      <xdr:spPr bwMode="auto">
        <a:xfrm>
          <a:off x="1414462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295"/>
  <sheetViews>
    <sheetView showGridLines="0" tabSelected="1" view="pageBreakPreview" zoomScale="104" zoomScaleNormal="104" zoomScaleSheetLayoutView="104" workbookViewId="0">
      <selection activeCell="I285" sqref="I285"/>
    </sheetView>
  </sheetViews>
  <sheetFormatPr defaultRowHeight="12.75" x14ac:dyDescent="0.2"/>
  <cols>
    <col min="1" max="1" width="4.140625" style="48" customWidth="1"/>
    <col min="2" max="2" width="16.42578125" style="48" customWidth="1"/>
    <col min="3" max="3" width="30.85546875" style="48" customWidth="1"/>
    <col min="4" max="4" width="6.85546875" style="48" customWidth="1"/>
    <col min="5" max="5" width="10.5703125" style="49" customWidth="1"/>
    <col min="6" max="6" width="10.42578125" style="49" customWidth="1"/>
    <col min="7" max="7" width="9.85546875" style="49" customWidth="1"/>
    <col min="8" max="8" width="20.28515625" style="49" customWidth="1"/>
    <col min="9" max="9" width="10.28515625" style="49" customWidth="1"/>
    <col min="10" max="10" width="8.140625" style="49" customWidth="1"/>
    <col min="11" max="11" width="10.140625" style="49" customWidth="1"/>
    <col min="12" max="12" width="9.85546875" style="49" customWidth="1"/>
    <col min="13" max="13" width="7.42578125" style="49" customWidth="1"/>
    <col min="14" max="14" width="6.85546875" style="47" customWidth="1"/>
    <col min="15" max="15" width="9.140625" style="47"/>
    <col min="16" max="16" width="19.7109375" style="47" customWidth="1"/>
    <col min="17" max="16384" width="9.140625" style="47"/>
  </cols>
  <sheetData>
    <row r="1" spans="1:14" s="11" customFormat="1" x14ac:dyDescent="0.2">
      <c r="A1" s="95"/>
      <c r="B1" s="101"/>
      <c r="C1" s="140" t="s">
        <v>802</v>
      </c>
      <c r="D1" s="140"/>
      <c r="E1" s="140"/>
      <c r="F1" s="140"/>
      <c r="G1" s="140"/>
      <c r="H1" s="140"/>
      <c r="I1" s="140"/>
      <c r="J1" s="140"/>
      <c r="K1" s="140"/>
      <c r="L1" s="140"/>
      <c r="M1" s="95"/>
      <c r="N1" s="96"/>
    </row>
    <row r="2" spans="1:14" s="11" customFormat="1" x14ac:dyDescent="0.2">
      <c r="A2" s="100" t="s">
        <v>296</v>
      </c>
      <c r="B2" s="101"/>
      <c r="C2" s="96"/>
      <c r="D2" s="103"/>
      <c r="E2" s="102"/>
      <c r="F2" s="97" t="s">
        <v>81</v>
      </c>
      <c r="G2" s="97"/>
      <c r="H2" s="96"/>
      <c r="I2" s="98"/>
      <c r="J2" s="100"/>
      <c r="K2" s="100" t="s">
        <v>297</v>
      </c>
      <c r="L2" s="100"/>
      <c r="M2" s="95"/>
      <c r="N2" s="96"/>
    </row>
    <row r="3" spans="1:14" s="11" customFormat="1" x14ac:dyDescent="0.2">
      <c r="A3" s="100" t="s">
        <v>298</v>
      </c>
      <c r="B3" s="96"/>
      <c r="C3" s="96"/>
      <c r="D3" s="96"/>
      <c r="E3" s="95"/>
      <c r="F3" s="95"/>
      <c r="G3" s="95"/>
      <c r="H3" s="95"/>
      <c r="I3" s="95"/>
      <c r="J3" s="141" t="s">
        <v>6</v>
      </c>
      <c r="K3" s="141"/>
      <c r="L3" s="141"/>
      <c r="M3" s="141"/>
      <c r="N3" s="141"/>
    </row>
    <row r="4" spans="1:14" s="11" customFormat="1" x14ac:dyDescent="0.2">
      <c r="A4" s="95"/>
      <c r="B4" s="95"/>
      <c r="C4" s="95"/>
      <c r="D4" s="96"/>
      <c r="E4" s="102"/>
      <c r="F4" s="104" t="s">
        <v>805</v>
      </c>
      <c r="G4" s="95"/>
      <c r="H4" s="96"/>
      <c r="I4" s="95"/>
      <c r="J4" s="141"/>
      <c r="K4" s="141"/>
      <c r="L4" s="141"/>
      <c r="M4" s="141"/>
      <c r="N4" s="141"/>
    </row>
    <row r="5" spans="1:14" s="11" customFormat="1" x14ac:dyDescent="0.2">
      <c r="A5" s="95"/>
      <c r="B5" s="95"/>
      <c r="C5" s="95"/>
      <c r="D5" s="96"/>
      <c r="E5" s="102"/>
      <c r="F5" s="95" t="s">
        <v>82</v>
      </c>
      <c r="G5" s="95"/>
      <c r="H5" s="96"/>
      <c r="I5" s="95"/>
      <c r="J5" s="100"/>
      <c r="K5" s="100"/>
      <c r="L5" s="100"/>
      <c r="M5" s="100"/>
      <c r="N5" s="100"/>
    </row>
    <row r="6" spans="1:14" s="11" customFormat="1" x14ac:dyDescent="0.2">
      <c r="A6" s="95"/>
      <c r="B6" s="95"/>
      <c r="C6" s="95"/>
      <c r="D6" s="96"/>
      <c r="E6" s="102"/>
      <c r="F6" s="95"/>
      <c r="G6" s="95"/>
      <c r="H6" s="96"/>
      <c r="I6" s="95"/>
      <c r="J6" s="141"/>
      <c r="K6" s="141"/>
      <c r="L6" s="141"/>
      <c r="M6" s="141"/>
      <c r="N6" s="141"/>
    </row>
    <row r="7" spans="1:14" s="11" customFormat="1" x14ac:dyDescent="0.2">
      <c r="A7" s="95"/>
      <c r="B7" s="95"/>
      <c r="C7" s="95"/>
      <c r="D7" s="96"/>
      <c r="E7" s="102"/>
      <c r="F7" s="95"/>
      <c r="G7" s="95"/>
      <c r="H7" s="96"/>
      <c r="I7" s="95"/>
      <c r="J7" s="100"/>
      <c r="K7" s="100"/>
      <c r="L7" s="100"/>
      <c r="M7" s="100"/>
      <c r="N7" s="100"/>
    </row>
    <row r="8" spans="1:14" s="11" customFormat="1" x14ac:dyDescent="0.2">
      <c r="A8" s="95"/>
      <c r="B8" s="95"/>
      <c r="C8" s="105"/>
      <c r="D8" s="106" t="s">
        <v>803</v>
      </c>
      <c r="E8" s="107"/>
      <c r="F8" s="107"/>
      <c r="G8" s="107"/>
      <c r="H8" s="107"/>
      <c r="I8" s="98"/>
      <c r="J8" s="98"/>
      <c r="K8" s="98"/>
      <c r="L8" s="98"/>
      <c r="M8" s="95"/>
      <c r="N8" s="96"/>
    </row>
    <row r="9" spans="1:14" s="11" customFormat="1" x14ac:dyDescent="0.2">
      <c r="A9" s="59"/>
      <c r="B9" s="59"/>
      <c r="C9" s="59"/>
      <c r="D9" s="63" t="s">
        <v>312</v>
      </c>
      <c r="E9" s="61"/>
      <c r="F9" s="61"/>
      <c r="G9" s="61"/>
      <c r="H9" s="60"/>
      <c r="I9" s="62"/>
      <c r="J9" s="62"/>
      <c r="K9" s="62"/>
      <c r="L9" s="62"/>
      <c r="M9" s="59"/>
      <c r="N9" s="60"/>
    </row>
    <row r="10" spans="1:14" s="11" customFormat="1" ht="7.5" customHeight="1" x14ac:dyDescent="0.2">
      <c r="A10" s="64"/>
      <c r="B10" s="64"/>
      <c r="C10" s="59"/>
      <c r="D10" s="60"/>
      <c r="E10" s="59"/>
      <c r="F10" s="59"/>
      <c r="G10" s="59"/>
      <c r="H10" s="59"/>
      <c r="I10" s="59"/>
      <c r="J10" s="59"/>
      <c r="K10" s="60"/>
      <c r="L10" s="60"/>
      <c r="M10" s="59"/>
      <c r="N10" s="60"/>
    </row>
    <row r="11" spans="1:14" x14ac:dyDescent="0.2">
      <c r="A11" s="112" t="s">
        <v>806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x14ac:dyDescent="0.2">
      <c r="A12" s="65" t="s">
        <v>301</v>
      </c>
      <c r="B12" s="66"/>
      <c r="C12" s="114">
        <v>1037850.59</v>
      </c>
      <c r="D12" s="114"/>
      <c r="E12" s="114"/>
      <c r="F12" s="67" t="s">
        <v>300</v>
      </c>
      <c r="G12" s="68"/>
      <c r="H12" s="68"/>
      <c r="I12" s="68"/>
      <c r="J12" s="132" t="s">
        <v>807</v>
      </c>
      <c r="K12" s="133"/>
      <c r="L12" s="133"/>
      <c r="M12" s="133"/>
      <c r="N12" s="69"/>
    </row>
    <row r="13" spans="1:14" x14ac:dyDescent="0.2">
      <c r="A13" s="65" t="s">
        <v>311</v>
      </c>
      <c r="B13" s="66"/>
      <c r="C13" s="70"/>
      <c r="D13" s="115">
        <v>51618.23</v>
      </c>
      <c r="E13" s="115"/>
      <c r="F13" s="67" t="s">
        <v>300</v>
      </c>
      <c r="G13" s="68"/>
      <c r="H13" s="68"/>
      <c r="I13" s="68"/>
      <c r="J13" s="133"/>
      <c r="K13" s="133"/>
      <c r="L13" s="133"/>
      <c r="M13" s="133"/>
      <c r="N13" s="69"/>
    </row>
    <row r="14" spans="1:14" x14ac:dyDescent="0.2">
      <c r="A14" s="99" t="s">
        <v>804</v>
      </c>
      <c r="B14" s="69"/>
      <c r="C14" s="71"/>
      <c r="D14" s="72"/>
      <c r="E14" s="73"/>
      <c r="F14" s="74"/>
      <c r="G14" s="75"/>
      <c r="H14" s="75"/>
      <c r="I14" s="68"/>
      <c r="J14" s="133"/>
      <c r="K14" s="133"/>
      <c r="L14" s="133"/>
      <c r="M14" s="133"/>
      <c r="N14" s="69"/>
    </row>
    <row r="15" spans="1:14" ht="11.25" customHeight="1" x14ac:dyDescent="0.2">
      <c r="A15" s="76"/>
      <c r="B15" s="67"/>
      <c r="C15" s="67"/>
      <c r="D15" s="76"/>
      <c r="E15" s="68"/>
      <c r="F15" s="68"/>
      <c r="G15" s="68"/>
      <c r="H15" s="70"/>
      <c r="I15" s="68"/>
      <c r="J15" s="68"/>
      <c r="K15" s="68"/>
      <c r="L15" s="68"/>
      <c r="M15" s="68"/>
      <c r="N15" s="69" t="s">
        <v>300</v>
      </c>
    </row>
    <row r="16" spans="1:14" ht="12.75" customHeight="1" x14ac:dyDescent="0.2">
      <c r="A16" s="130" t="s">
        <v>83</v>
      </c>
      <c r="B16" s="130" t="s">
        <v>308</v>
      </c>
      <c r="C16" s="116" t="s">
        <v>313</v>
      </c>
      <c r="D16" s="116" t="s">
        <v>309</v>
      </c>
      <c r="E16" s="122" t="s">
        <v>314</v>
      </c>
      <c r="F16" s="123"/>
      <c r="G16" s="124"/>
      <c r="H16" s="116" t="s">
        <v>295</v>
      </c>
      <c r="I16" s="122" t="s">
        <v>315</v>
      </c>
      <c r="J16" s="128"/>
      <c r="K16" s="128"/>
      <c r="L16" s="119"/>
      <c r="M16" s="118" t="s">
        <v>310</v>
      </c>
      <c r="N16" s="119"/>
    </row>
    <row r="17" spans="1:20" s="50" customFormat="1" ht="38.25" customHeight="1" x14ac:dyDescent="0.2">
      <c r="A17" s="131"/>
      <c r="B17" s="131"/>
      <c r="C17" s="131"/>
      <c r="D17" s="131"/>
      <c r="E17" s="125"/>
      <c r="F17" s="126"/>
      <c r="G17" s="127"/>
      <c r="H17" s="131"/>
      <c r="I17" s="120"/>
      <c r="J17" s="129"/>
      <c r="K17" s="129"/>
      <c r="L17" s="121"/>
      <c r="M17" s="120"/>
      <c r="N17" s="121"/>
    </row>
    <row r="18" spans="1:20" s="50" customFormat="1" ht="12.75" customHeight="1" x14ac:dyDescent="0.2">
      <c r="A18" s="131"/>
      <c r="B18" s="131"/>
      <c r="C18" s="131"/>
      <c r="D18" s="131"/>
      <c r="E18" s="81" t="s">
        <v>303</v>
      </c>
      <c r="F18" s="81" t="s">
        <v>305</v>
      </c>
      <c r="G18" s="116" t="s">
        <v>307</v>
      </c>
      <c r="H18" s="131"/>
      <c r="I18" s="116" t="s">
        <v>303</v>
      </c>
      <c r="J18" s="116" t="s">
        <v>306</v>
      </c>
      <c r="K18" s="81" t="s">
        <v>305</v>
      </c>
      <c r="L18" s="116" t="s">
        <v>307</v>
      </c>
      <c r="M18" s="130" t="s">
        <v>299</v>
      </c>
      <c r="N18" s="116" t="s">
        <v>303</v>
      </c>
    </row>
    <row r="19" spans="1:20" s="50" customFormat="1" ht="11.25" customHeight="1" x14ac:dyDescent="0.2">
      <c r="A19" s="117"/>
      <c r="B19" s="117"/>
      <c r="C19" s="117"/>
      <c r="D19" s="117"/>
      <c r="E19" s="82" t="s">
        <v>302</v>
      </c>
      <c r="F19" s="81" t="s">
        <v>304</v>
      </c>
      <c r="G19" s="117"/>
      <c r="H19" s="117"/>
      <c r="I19" s="117"/>
      <c r="J19" s="117"/>
      <c r="K19" s="81" t="s">
        <v>304</v>
      </c>
      <c r="L19" s="117"/>
      <c r="M19" s="117"/>
      <c r="N19" s="117"/>
    </row>
    <row r="20" spans="1:20" x14ac:dyDescent="0.2">
      <c r="A20" s="83">
        <v>1</v>
      </c>
      <c r="B20" s="83">
        <v>2</v>
      </c>
      <c r="C20" s="83">
        <v>3</v>
      </c>
      <c r="D20" s="83">
        <v>4</v>
      </c>
      <c r="E20" s="83">
        <v>5</v>
      </c>
      <c r="F20" s="83">
        <v>6</v>
      </c>
      <c r="G20" s="83">
        <v>7</v>
      </c>
      <c r="H20" s="83">
        <v>8</v>
      </c>
      <c r="I20" s="83">
        <v>9</v>
      </c>
      <c r="J20" s="83">
        <v>10</v>
      </c>
      <c r="K20" s="83">
        <v>11</v>
      </c>
      <c r="L20" s="83">
        <v>12</v>
      </c>
      <c r="M20" s="83">
        <v>13</v>
      </c>
      <c r="N20" s="83">
        <v>14</v>
      </c>
      <c r="O20" s="51"/>
      <c r="P20" s="51"/>
      <c r="Q20" s="51"/>
      <c r="R20" s="51"/>
      <c r="S20" s="51"/>
      <c r="T20" s="51"/>
    </row>
    <row r="21" spans="1:20" ht="17.850000000000001" customHeight="1" x14ac:dyDescent="0.2">
      <c r="A21" s="108" t="s">
        <v>317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</row>
    <row r="22" spans="1:20" ht="112.5" x14ac:dyDescent="0.2">
      <c r="A22" s="84">
        <v>1</v>
      </c>
      <c r="B22" s="85" t="s">
        <v>318</v>
      </c>
      <c r="C22" s="85" t="s">
        <v>319</v>
      </c>
      <c r="D22" s="84">
        <v>0.18</v>
      </c>
      <c r="E22" s="86" t="s">
        <v>320</v>
      </c>
      <c r="F22" s="86">
        <v>16.32</v>
      </c>
      <c r="G22" s="86">
        <v>30.33</v>
      </c>
      <c r="H22" s="87" t="s">
        <v>321</v>
      </c>
      <c r="I22" s="88">
        <v>1728.79</v>
      </c>
      <c r="J22" s="86">
        <v>1649.31</v>
      </c>
      <c r="K22" s="86">
        <v>53.55</v>
      </c>
      <c r="L22" s="86" t="str">
        <f>IF(0.18*30.33=0," ",TEXT(,ROUND((0.18*30.33*4.75),2)))</f>
        <v>25.93</v>
      </c>
      <c r="M22" s="86">
        <v>65.3</v>
      </c>
      <c r="N22" s="86">
        <v>11.75</v>
      </c>
    </row>
    <row r="23" spans="1:20" ht="112.5" x14ac:dyDescent="0.2">
      <c r="A23" s="84">
        <v>2</v>
      </c>
      <c r="B23" s="85" t="s">
        <v>322</v>
      </c>
      <c r="C23" s="85" t="s">
        <v>323</v>
      </c>
      <c r="D23" s="84">
        <v>0.08</v>
      </c>
      <c r="E23" s="86" t="s">
        <v>324</v>
      </c>
      <c r="F23" s="86">
        <v>6.54</v>
      </c>
      <c r="G23" s="86">
        <v>12.56</v>
      </c>
      <c r="H23" s="87" t="s">
        <v>325</v>
      </c>
      <c r="I23" s="88">
        <v>503.74</v>
      </c>
      <c r="J23" s="86">
        <v>489.43</v>
      </c>
      <c r="K23" s="86">
        <v>9.5399999999999991</v>
      </c>
      <c r="L23" s="86" t="str">
        <f>IF(0.08*12.56=0," ",TEXT(,ROUND((0.08*12.56*4.75),2)))</f>
        <v>4.77</v>
      </c>
      <c r="M23" s="86">
        <v>43.6</v>
      </c>
      <c r="N23" s="86">
        <v>3.49</v>
      </c>
    </row>
    <row r="24" spans="1:20" ht="56.25" x14ac:dyDescent="0.2">
      <c r="A24" s="84">
        <v>3</v>
      </c>
      <c r="B24" s="85" t="s">
        <v>326</v>
      </c>
      <c r="C24" s="85" t="s">
        <v>327</v>
      </c>
      <c r="D24" s="84">
        <v>0.01</v>
      </c>
      <c r="E24" s="86" t="s">
        <v>328</v>
      </c>
      <c r="F24" s="86"/>
      <c r="G24" s="86"/>
      <c r="H24" s="87" t="s">
        <v>329</v>
      </c>
      <c r="I24" s="88">
        <v>223.11</v>
      </c>
      <c r="J24" s="86">
        <v>223.11</v>
      </c>
      <c r="K24" s="86"/>
      <c r="L24" s="86" t="str">
        <f>IF(0.01*0=0," ",TEXT(,ROUND((0.01*0*1),2)))</f>
        <v xml:space="preserve"> </v>
      </c>
      <c r="M24" s="86">
        <v>159</v>
      </c>
      <c r="N24" s="86">
        <v>1.59</v>
      </c>
    </row>
    <row r="25" spans="1:20" ht="157.5" x14ac:dyDescent="0.2">
      <c r="A25" s="89">
        <v>4</v>
      </c>
      <c r="B25" s="90" t="s">
        <v>330</v>
      </c>
      <c r="C25" s="90" t="s">
        <v>331</v>
      </c>
      <c r="D25" s="89">
        <v>1</v>
      </c>
      <c r="E25" s="91" t="s">
        <v>332</v>
      </c>
      <c r="F25" s="91" t="s">
        <v>333</v>
      </c>
      <c r="G25" s="91"/>
      <c r="H25" s="92" t="s">
        <v>334</v>
      </c>
      <c r="I25" s="93">
        <v>912.13</v>
      </c>
      <c r="J25" s="91">
        <v>866.19</v>
      </c>
      <c r="K25" s="91" t="s">
        <v>335</v>
      </c>
      <c r="L25" s="91" t="str">
        <f>IF(1*0=0," ",TEXT(,ROUND((1*0*3.67),2)))</f>
        <v xml:space="preserve"> </v>
      </c>
      <c r="M25" s="91" t="s">
        <v>336</v>
      </c>
      <c r="N25" s="91" t="s">
        <v>336</v>
      </c>
    </row>
    <row r="26" spans="1:20" ht="22.5" x14ac:dyDescent="0.2">
      <c r="A26" s="110" t="s">
        <v>337</v>
      </c>
      <c r="B26" s="111"/>
      <c r="C26" s="111"/>
      <c r="D26" s="111"/>
      <c r="E26" s="111"/>
      <c r="F26" s="111"/>
      <c r="G26" s="111"/>
      <c r="H26" s="111"/>
      <c r="I26" s="88">
        <v>3367.77</v>
      </c>
      <c r="J26" s="86">
        <v>3228.04</v>
      </c>
      <c r="K26" s="86" t="s">
        <v>338</v>
      </c>
      <c r="L26" s="86">
        <v>30.7</v>
      </c>
      <c r="M26" s="86"/>
      <c r="N26" s="86" t="s">
        <v>339</v>
      </c>
    </row>
    <row r="27" spans="1:20" x14ac:dyDescent="0.2">
      <c r="A27" s="110" t="s">
        <v>340</v>
      </c>
      <c r="B27" s="111"/>
      <c r="C27" s="111"/>
      <c r="D27" s="111"/>
      <c r="E27" s="111"/>
      <c r="F27" s="111"/>
      <c r="G27" s="111"/>
      <c r="H27" s="111"/>
      <c r="I27" s="88">
        <v>2341.2199999999998</v>
      </c>
      <c r="J27" s="86"/>
      <c r="K27" s="86"/>
      <c r="L27" s="86"/>
      <c r="M27" s="86"/>
      <c r="N27" s="86"/>
    </row>
    <row r="28" spans="1:20" x14ac:dyDescent="0.2">
      <c r="A28" s="110" t="s">
        <v>341</v>
      </c>
      <c r="B28" s="111"/>
      <c r="C28" s="111"/>
      <c r="D28" s="111"/>
      <c r="E28" s="111"/>
      <c r="F28" s="111"/>
      <c r="G28" s="111"/>
      <c r="H28" s="111"/>
      <c r="I28" s="88"/>
      <c r="J28" s="86"/>
      <c r="K28" s="86"/>
      <c r="L28" s="86"/>
      <c r="M28" s="86"/>
      <c r="N28" s="86"/>
    </row>
    <row r="29" spans="1:20" x14ac:dyDescent="0.2">
      <c r="A29" s="110" t="s">
        <v>342</v>
      </c>
      <c r="B29" s="111"/>
      <c r="C29" s="111"/>
      <c r="D29" s="111"/>
      <c r="E29" s="111"/>
      <c r="F29" s="111"/>
      <c r="G29" s="111"/>
      <c r="H29" s="111"/>
      <c r="I29" s="88">
        <v>1487.97</v>
      </c>
      <c r="J29" s="86"/>
      <c r="K29" s="86"/>
      <c r="L29" s="86"/>
      <c r="M29" s="86"/>
      <c r="N29" s="86"/>
    </row>
    <row r="30" spans="1:20" x14ac:dyDescent="0.2">
      <c r="A30" s="110" t="s">
        <v>343</v>
      </c>
      <c r="B30" s="111"/>
      <c r="C30" s="111"/>
      <c r="D30" s="111"/>
      <c r="E30" s="111"/>
      <c r="F30" s="111"/>
      <c r="G30" s="111"/>
      <c r="H30" s="111"/>
      <c r="I30" s="88">
        <v>853.25</v>
      </c>
      <c r="J30" s="86"/>
      <c r="K30" s="86"/>
      <c r="L30" s="86"/>
      <c r="M30" s="86"/>
      <c r="N30" s="86"/>
    </row>
    <row r="31" spans="1:20" x14ac:dyDescent="0.2">
      <c r="A31" s="110" t="s">
        <v>344</v>
      </c>
      <c r="B31" s="111"/>
      <c r="C31" s="111"/>
      <c r="D31" s="111"/>
      <c r="E31" s="111"/>
      <c r="F31" s="111"/>
      <c r="G31" s="111"/>
      <c r="H31" s="111"/>
      <c r="I31" s="88">
        <v>1432.31</v>
      </c>
      <c r="J31" s="86"/>
      <c r="K31" s="86"/>
      <c r="L31" s="86"/>
      <c r="M31" s="86"/>
      <c r="N31" s="86"/>
    </row>
    <row r="32" spans="1:20" x14ac:dyDescent="0.2">
      <c r="A32" s="110" t="s">
        <v>341</v>
      </c>
      <c r="B32" s="111"/>
      <c r="C32" s="111"/>
      <c r="D32" s="111"/>
      <c r="E32" s="111"/>
      <c r="F32" s="111"/>
      <c r="G32" s="111"/>
      <c r="H32" s="111"/>
      <c r="I32" s="88"/>
      <c r="J32" s="86"/>
      <c r="K32" s="86"/>
      <c r="L32" s="86"/>
      <c r="M32" s="86"/>
      <c r="N32" s="86"/>
    </row>
    <row r="33" spans="1:14" x14ac:dyDescent="0.2">
      <c r="A33" s="110" t="s">
        <v>345</v>
      </c>
      <c r="B33" s="111"/>
      <c r="C33" s="111"/>
      <c r="D33" s="111"/>
      <c r="E33" s="111"/>
      <c r="F33" s="111"/>
      <c r="G33" s="111"/>
      <c r="H33" s="111"/>
      <c r="I33" s="88">
        <v>944.74</v>
      </c>
      <c r="J33" s="86"/>
      <c r="K33" s="86"/>
      <c r="L33" s="86"/>
      <c r="M33" s="86"/>
      <c r="N33" s="86"/>
    </row>
    <row r="34" spans="1:14" x14ac:dyDescent="0.2">
      <c r="A34" s="110" t="s">
        <v>346</v>
      </c>
      <c r="B34" s="111"/>
      <c r="C34" s="111"/>
      <c r="D34" s="111"/>
      <c r="E34" s="111"/>
      <c r="F34" s="111"/>
      <c r="G34" s="111"/>
      <c r="H34" s="111"/>
      <c r="I34" s="88">
        <v>487.57</v>
      </c>
      <c r="J34" s="86"/>
      <c r="K34" s="86"/>
      <c r="L34" s="86"/>
      <c r="M34" s="86"/>
      <c r="N34" s="86"/>
    </row>
    <row r="35" spans="1:14" x14ac:dyDescent="0.2">
      <c r="A35" s="134" t="s">
        <v>347</v>
      </c>
      <c r="B35" s="109"/>
      <c r="C35" s="109"/>
      <c r="D35" s="109"/>
      <c r="E35" s="109"/>
      <c r="F35" s="109"/>
      <c r="G35" s="109"/>
      <c r="H35" s="109"/>
      <c r="I35" s="88"/>
      <c r="J35" s="86"/>
      <c r="K35" s="86"/>
      <c r="L35" s="86"/>
      <c r="M35" s="86"/>
      <c r="N35" s="86"/>
    </row>
    <row r="36" spans="1:14" x14ac:dyDescent="0.2">
      <c r="A36" s="110" t="s">
        <v>348</v>
      </c>
      <c r="B36" s="111"/>
      <c r="C36" s="111"/>
      <c r="D36" s="111"/>
      <c r="E36" s="111"/>
      <c r="F36" s="111"/>
      <c r="G36" s="111"/>
      <c r="H36" s="111"/>
      <c r="I36" s="88">
        <v>4888.3500000000004</v>
      </c>
      <c r="J36" s="86"/>
      <c r="K36" s="86"/>
      <c r="L36" s="86"/>
      <c r="M36" s="86"/>
      <c r="N36" s="86">
        <v>16.829999999999998</v>
      </c>
    </row>
    <row r="37" spans="1:14" ht="22.5" x14ac:dyDescent="0.2">
      <c r="A37" s="110" t="s">
        <v>349</v>
      </c>
      <c r="B37" s="111"/>
      <c r="C37" s="111"/>
      <c r="D37" s="111"/>
      <c r="E37" s="111"/>
      <c r="F37" s="111"/>
      <c r="G37" s="111"/>
      <c r="H37" s="111"/>
      <c r="I37" s="88">
        <v>2252.9499999999998</v>
      </c>
      <c r="J37" s="86"/>
      <c r="K37" s="86"/>
      <c r="L37" s="86"/>
      <c r="M37" s="86"/>
      <c r="N37" s="86" t="s">
        <v>336</v>
      </c>
    </row>
    <row r="38" spans="1:14" ht="22.5" x14ac:dyDescent="0.2">
      <c r="A38" s="110" t="s">
        <v>350</v>
      </c>
      <c r="B38" s="111"/>
      <c r="C38" s="111"/>
      <c r="D38" s="111"/>
      <c r="E38" s="111"/>
      <c r="F38" s="111"/>
      <c r="G38" s="111"/>
      <c r="H38" s="111"/>
      <c r="I38" s="88">
        <v>7141.3</v>
      </c>
      <c r="J38" s="86"/>
      <c r="K38" s="86"/>
      <c r="L38" s="86"/>
      <c r="M38" s="86"/>
      <c r="N38" s="86" t="s">
        <v>339</v>
      </c>
    </row>
    <row r="39" spans="1:14" x14ac:dyDescent="0.2">
      <c r="A39" s="110" t="s">
        <v>351</v>
      </c>
      <c r="B39" s="111"/>
      <c r="C39" s="111"/>
      <c r="D39" s="111"/>
      <c r="E39" s="111"/>
      <c r="F39" s="111"/>
      <c r="G39" s="111"/>
      <c r="H39" s="111"/>
      <c r="I39" s="88"/>
      <c r="J39" s="86"/>
      <c r="K39" s="86"/>
      <c r="L39" s="86"/>
      <c r="M39" s="86"/>
      <c r="N39" s="86"/>
    </row>
    <row r="40" spans="1:14" x14ac:dyDescent="0.2">
      <c r="A40" s="110" t="s">
        <v>352</v>
      </c>
      <c r="B40" s="111"/>
      <c r="C40" s="111"/>
      <c r="D40" s="111"/>
      <c r="E40" s="111"/>
      <c r="F40" s="111"/>
      <c r="G40" s="111"/>
      <c r="H40" s="111"/>
      <c r="I40" s="88">
        <v>30.7</v>
      </c>
      <c r="J40" s="86"/>
      <c r="K40" s="86"/>
      <c r="L40" s="86"/>
      <c r="M40" s="86"/>
      <c r="N40" s="86"/>
    </row>
    <row r="41" spans="1:14" x14ac:dyDescent="0.2">
      <c r="A41" s="110" t="s">
        <v>353</v>
      </c>
      <c r="B41" s="111"/>
      <c r="C41" s="111"/>
      <c r="D41" s="111"/>
      <c r="E41" s="111"/>
      <c r="F41" s="111"/>
      <c r="G41" s="111"/>
      <c r="H41" s="111"/>
      <c r="I41" s="88">
        <v>109.03</v>
      </c>
      <c r="J41" s="86"/>
      <c r="K41" s="86"/>
      <c r="L41" s="86"/>
      <c r="M41" s="86"/>
      <c r="N41" s="86"/>
    </row>
    <row r="42" spans="1:14" x14ac:dyDescent="0.2">
      <c r="A42" s="110" t="s">
        <v>354</v>
      </c>
      <c r="B42" s="111"/>
      <c r="C42" s="111"/>
      <c r="D42" s="111"/>
      <c r="E42" s="111"/>
      <c r="F42" s="111"/>
      <c r="G42" s="111"/>
      <c r="H42" s="111"/>
      <c r="I42" s="88">
        <v>3232.51</v>
      </c>
      <c r="J42" s="86"/>
      <c r="K42" s="86"/>
      <c r="L42" s="86"/>
      <c r="M42" s="86"/>
      <c r="N42" s="86"/>
    </row>
    <row r="43" spans="1:14" x14ac:dyDescent="0.2">
      <c r="A43" s="110" t="s">
        <v>355</v>
      </c>
      <c r="B43" s="111"/>
      <c r="C43" s="111"/>
      <c r="D43" s="111"/>
      <c r="E43" s="111"/>
      <c r="F43" s="111"/>
      <c r="G43" s="111"/>
      <c r="H43" s="111"/>
      <c r="I43" s="88">
        <v>2341.2199999999998</v>
      </c>
      <c r="J43" s="86"/>
      <c r="K43" s="86"/>
      <c r="L43" s="86"/>
      <c r="M43" s="86"/>
      <c r="N43" s="86"/>
    </row>
    <row r="44" spans="1:14" x14ac:dyDescent="0.2">
      <c r="A44" s="110" t="s">
        <v>356</v>
      </c>
      <c r="B44" s="111"/>
      <c r="C44" s="111"/>
      <c r="D44" s="111"/>
      <c r="E44" s="111"/>
      <c r="F44" s="111"/>
      <c r="G44" s="111"/>
      <c r="H44" s="111"/>
      <c r="I44" s="88">
        <v>1432.31</v>
      </c>
      <c r="J44" s="86"/>
      <c r="K44" s="86"/>
      <c r="L44" s="86"/>
      <c r="M44" s="86"/>
      <c r="N44" s="86"/>
    </row>
    <row r="45" spans="1:14" ht="22.5" x14ac:dyDescent="0.2">
      <c r="A45" s="135" t="s">
        <v>357</v>
      </c>
      <c r="B45" s="136"/>
      <c r="C45" s="136"/>
      <c r="D45" s="136"/>
      <c r="E45" s="136"/>
      <c r="F45" s="136"/>
      <c r="G45" s="136"/>
      <c r="H45" s="136"/>
      <c r="I45" s="93">
        <v>7141.3</v>
      </c>
      <c r="J45" s="91"/>
      <c r="K45" s="91"/>
      <c r="L45" s="91"/>
      <c r="M45" s="91"/>
      <c r="N45" s="91" t="s">
        <v>339</v>
      </c>
    </row>
    <row r="46" spans="1:14" ht="17.850000000000001" customHeight="1" x14ac:dyDescent="0.2">
      <c r="A46" s="108" t="s">
        <v>358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  <row r="47" spans="1:14" ht="180" x14ac:dyDescent="0.2">
      <c r="A47" s="84">
        <v>5</v>
      </c>
      <c r="B47" s="85" t="s">
        <v>359</v>
      </c>
      <c r="C47" s="85" t="s">
        <v>360</v>
      </c>
      <c r="D47" s="84">
        <v>7.0000000000000007E-2</v>
      </c>
      <c r="E47" s="86" t="s">
        <v>361</v>
      </c>
      <c r="F47" s="86" t="s">
        <v>362</v>
      </c>
      <c r="G47" s="86">
        <v>8009.94</v>
      </c>
      <c r="H47" s="87" t="s">
        <v>363</v>
      </c>
      <c r="I47" s="88">
        <v>4495.3999999999996</v>
      </c>
      <c r="J47" s="86">
        <v>1030.72</v>
      </c>
      <c r="K47" s="86" t="s">
        <v>364</v>
      </c>
      <c r="L47" s="86" t="str">
        <f>IF(0.07*8009.94=0," ",TEXT(,ROUND((0.07*8009.94*5.78),2)))</f>
        <v>3240.82</v>
      </c>
      <c r="M47" s="86" t="s">
        <v>365</v>
      </c>
      <c r="N47" s="86" t="s">
        <v>366</v>
      </c>
    </row>
    <row r="48" spans="1:14" ht="180" x14ac:dyDescent="0.2">
      <c r="A48" s="84">
        <v>6</v>
      </c>
      <c r="B48" s="85" t="s">
        <v>367</v>
      </c>
      <c r="C48" s="85" t="s">
        <v>368</v>
      </c>
      <c r="D48" s="84">
        <v>0.14000000000000001</v>
      </c>
      <c r="E48" s="86" t="s">
        <v>369</v>
      </c>
      <c r="F48" s="86" t="s">
        <v>362</v>
      </c>
      <c r="G48" s="86">
        <v>6240.25</v>
      </c>
      <c r="H48" s="87" t="s">
        <v>370</v>
      </c>
      <c r="I48" s="88">
        <v>7523.81</v>
      </c>
      <c r="J48" s="86">
        <v>2061.4499999999998</v>
      </c>
      <c r="K48" s="86" t="s">
        <v>371</v>
      </c>
      <c r="L48" s="86" t="str">
        <f>IF(0.14*6240.25=0," ",TEXT(,ROUND((0.14*6240.25*5.74),2)))</f>
        <v>5014.66</v>
      </c>
      <c r="M48" s="86" t="s">
        <v>365</v>
      </c>
      <c r="N48" s="86" t="s">
        <v>372</v>
      </c>
    </row>
    <row r="49" spans="1:14" ht="180" x14ac:dyDescent="0.2">
      <c r="A49" s="84">
        <v>7</v>
      </c>
      <c r="B49" s="85" t="s">
        <v>373</v>
      </c>
      <c r="C49" s="85" t="s">
        <v>374</v>
      </c>
      <c r="D49" s="84">
        <v>0.08</v>
      </c>
      <c r="E49" s="86" t="s">
        <v>375</v>
      </c>
      <c r="F49" s="86" t="s">
        <v>376</v>
      </c>
      <c r="G49" s="86">
        <v>5353.21</v>
      </c>
      <c r="H49" s="87" t="s">
        <v>377</v>
      </c>
      <c r="I49" s="88">
        <v>3687.24</v>
      </c>
      <c r="J49" s="86">
        <v>1065.8599999999999</v>
      </c>
      <c r="K49" s="86" t="s">
        <v>378</v>
      </c>
      <c r="L49" s="86" t="str">
        <f>IF(0.08*5353.21=0," ",TEXT(,ROUND((0.08*5353.21*5.7),2)))</f>
        <v>2441.06</v>
      </c>
      <c r="M49" s="86" t="s">
        <v>379</v>
      </c>
      <c r="N49" s="86" t="s">
        <v>380</v>
      </c>
    </row>
    <row r="50" spans="1:14" ht="180" x14ac:dyDescent="0.2">
      <c r="A50" s="84">
        <v>8</v>
      </c>
      <c r="B50" s="85" t="s">
        <v>381</v>
      </c>
      <c r="C50" s="85" t="s">
        <v>382</v>
      </c>
      <c r="D50" s="84">
        <v>0.03</v>
      </c>
      <c r="E50" s="86" t="s">
        <v>383</v>
      </c>
      <c r="F50" s="86" t="s">
        <v>384</v>
      </c>
      <c r="G50" s="86">
        <v>4156.74</v>
      </c>
      <c r="H50" s="87" t="s">
        <v>385</v>
      </c>
      <c r="I50" s="88">
        <v>1074.47</v>
      </c>
      <c r="J50" s="86">
        <v>336.94</v>
      </c>
      <c r="K50" s="86" t="s">
        <v>386</v>
      </c>
      <c r="L50" s="86" t="str">
        <f>IF(0.03*4156.74=0," ",TEXT(,ROUND((0.03*4156.74*5.47),2)))</f>
        <v>682.12</v>
      </c>
      <c r="M50" s="86" t="s">
        <v>387</v>
      </c>
      <c r="N50" s="86" t="s">
        <v>388</v>
      </c>
    </row>
    <row r="51" spans="1:14" ht="180" x14ac:dyDescent="0.2">
      <c r="A51" s="84">
        <v>9</v>
      </c>
      <c r="B51" s="85" t="s">
        <v>389</v>
      </c>
      <c r="C51" s="85" t="s">
        <v>390</v>
      </c>
      <c r="D51" s="84">
        <v>0.01</v>
      </c>
      <c r="E51" s="86" t="s">
        <v>391</v>
      </c>
      <c r="F51" s="86" t="s">
        <v>384</v>
      </c>
      <c r="G51" s="86">
        <v>3201.32</v>
      </c>
      <c r="H51" s="87" t="s">
        <v>392</v>
      </c>
      <c r="I51" s="88">
        <v>223.94</v>
      </c>
      <c r="J51" s="86">
        <v>112.31</v>
      </c>
      <c r="K51" s="86" t="s">
        <v>393</v>
      </c>
      <c r="L51" s="86" t="str">
        <f>IF(0.01*3201.32=0," ",TEXT(,ROUND((0.01*3201.32*2.91),2)))</f>
        <v>93.16</v>
      </c>
      <c r="M51" s="86" t="s">
        <v>387</v>
      </c>
      <c r="N51" s="86">
        <v>0.61</v>
      </c>
    </row>
    <row r="52" spans="1:14" ht="180" x14ac:dyDescent="0.2">
      <c r="A52" s="84">
        <v>10</v>
      </c>
      <c r="B52" s="85" t="s">
        <v>394</v>
      </c>
      <c r="C52" s="85" t="s">
        <v>395</v>
      </c>
      <c r="D52" s="84">
        <v>0.04</v>
      </c>
      <c r="E52" s="86" t="s">
        <v>396</v>
      </c>
      <c r="F52" s="86" t="s">
        <v>397</v>
      </c>
      <c r="G52" s="86">
        <v>3089.96</v>
      </c>
      <c r="H52" s="87" t="s">
        <v>398</v>
      </c>
      <c r="I52" s="88">
        <v>975.25</v>
      </c>
      <c r="J52" s="86">
        <v>240</v>
      </c>
      <c r="K52" s="86" t="s">
        <v>399</v>
      </c>
      <c r="L52" s="86" t="str">
        <f>IF(0.04*3089.96=0," ",TEXT(,ROUND((0.04*3089.96*5.73),2)))</f>
        <v>708.22</v>
      </c>
      <c r="M52" s="86" t="s">
        <v>400</v>
      </c>
      <c r="N52" s="86" t="s">
        <v>401</v>
      </c>
    </row>
    <row r="53" spans="1:14" ht="180" x14ac:dyDescent="0.2">
      <c r="A53" s="84">
        <v>11</v>
      </c>
      <c r="B53" s="85" t="s">
        <v>402</v>
      </c>
      <c r="C53" s="85" t="s">
        <v>403</v>
      </c>
      <c r="D53" s="84">
        <v>0.02</v>
      </c>
      <c r="E53" s="86" t="s">
        <v>404</v>
      </c>
      <c r="F53" s="86" t="s">
        <v>397</v>
      </c>
      <c r="G53" s="86">
        <v>2578.88</v>
      </c>
      <c r="H53" s="87" t="s">
        <v>405</v>
      </c>
      <c r="I53" s="88">
        <v>441.95</v>
      </c>
      <c r="J53" s="86">
        <v>120</v>
      </c>
      <c r="K53" s="86" t="s">
        <v>406</v>
      </c>
      <c r="L53" s="86" t="str">
        <f>IF(0.02*2578.88=0," ",TEXT(,ROUND((0.02*2578.88*5.98),2)))</f>
        <v>308.43</v>
      </c>
      <c r="M53" s="86" t="s">
        <v>400</v>
      </c>
      <c r="N53" s="86">
        <v>0.66</v>
      </c>
    </row>
    <row r="54" spans="1:14" ht="180" x14ac:dyDescent="0.2">
      <c r="A54" s="84">
        <v>12</v>
      </c>
      <c r="B54" s="85" t="s">
        <v>407</v>
      </c>
      <c r="C54" s="85" t="s">
        <v>408</v>
      </c>
      <c r="D54" s="84">
        <v>0.03</v>
      </c>
      <c r="E54" s="86" t="s">
        <v>409</v>
      </c>
      <c r="F54" s="86" t="s">
        <v>397</v>
      </c>
      <c r="G54" s="86">
        <v>1988.81</v>
      </c>
      <c r="H54" s="87" t="s">
        <v>410</v>
      </c>
      <c r="I54" s="88">
        <v>543.34</v>
      </c>
      <c r="J54" s="86">
        <v>180</v>
      </c>
      <c r="K54" s="86" t="s">
        <v>411</v>
      </c>
      <c r="L54" s="86" t="str">
        <f>IF(0.03*1988.81=0," ",TEXT(,ROUND((0.03*1988.81*5.75),2)))</f>
        <v>343.07</v>
      </c>
      <c r="M54" s="86" t="s">
        <v>400</v>
      </c>
      <c r="N54" s="86" t="s">
        <v>412</v>
      </c>
    </row>
    <row r="55" spans="1:14" ht="180" x14ac:dyDescent="0.2">
      <c r="A55" s="84">
        <v>13</v>
      </c>
      <c r="B55" s="85" t="s">
        <v>413</v>
      </c>
      <c r="C55" s="85" t="s">
        <v>414</v>
      </c>
      <c r="D55" s="84">
        <v>0.1</v>
      </c>
      <c r="E55" s="86" t="s">
        <v>415</v>
      </c>
      <c r="F55" s="86" t="s">
        <v>416</v>
      </c>
      <c r="G55" s="86">
        <v>7335.38</v>
      </c>
      <c r="H55" s="87" t="s">
        <v>417</v>
      </c>
      <c r="I55" s="88">
        <v>6298.21</v>
      </c>
      <c r="J55" s="86">
        <v>1060.21</v>
      </c>
      <c r="K55" s="86" t="s">
        <v>418</v>
      </c>
      <c r="L55" s="86" t="str">
        <f>IF(0.1*7335.38=0," ",TEXT(,ROUND((0.1*7335.38*6.88),2)))</f>
        <v>5046.74</v>
      </c>
      <c r="M55" s="86" t="s">
        <v>419</v>
      </c>
      <c r="N55" s="86" t="s">
        <v>420</v>
      </c>
    </row>
    <row r="56" spans="1:14" ht="180" x14ac:dyDescent="0.2">
      <c r="A56" s="84">
        <v>14</v>
      </c>
      <c r="B56" s="85" t="s">
        <v>421</v>
      </c>
      <c r="C56" s="85" t="s">
        <v>422</v>
      </c>
      <c r="D56" s="84">
        <v>0.05</v>
      </c>
      <c r="E56" s="86" t="s">
        <v>423</v>
      </c>
      <c r="F56" s="86" t="s">
        <v>424</v>
      </c>
      <c r="G56" s="86">
        <v>5001.6000000000004</v>
      </c>
      <c r="H56" s="87" t="s">
        <v>425</v>
      </c>
      <c r="I56" s="88">
        <v>2097.5700000000002</v>
      </c>
      <c r="J56" s="86">
        <v>337.31</v>
      </c>
      <c r="K56" s="86" t="s">
        <v>426</v>
      </c>
      <c r="L56" s="86" t="str">
        <f>IF(0.05*5001.6=0," ",TEXT(,ROUND((0.05*5001.6*6.88),2)))</f>
        <v>1720.55</v>
      </c>
      <c r="M56" s="86" t="s">
        <v>427</v>
      </c>
      <c r="N56" s="86" t="s">
        <v>428</v>
      </c>
    </row>
    <row r="57" spans="1:14" ht="180" x14ac:dyDescent="0.2">
      <c r="A57" s="84">
        <v>15</v>
      </c>
      <c r="B57" s="85" t="s">
        <v>429</v>
      </c>
      <c r="C57" s="85" t="s">
        <v>430</v>
      </c>
      <c r="D57" s="84">
        <v>0.39</v>
      </c>
      <c r="E57" s="86" t="s">
        <v>431</v>
      </c>
      <c r="F57" s="86">
        <v>55.64</v>
      </c>
      <c r="G57" s="86">
        <v>11.11</v>
      </c>
      <c r="H57" s="87" t="s">
        <v>432</v>
      </c>
      <c r="I57" s="88">
        <v>488.62</v>
      </c>
      <c r="J57" s="86">
        <v>430.28</v>
      </c>
      <c r="K57" s="86">
        <v>15.41</v>
      </c>
      <c r="L57" s="86" t="str">
        <f>IF(0.39*11.11=0," ",TEXT(,ROUND((0.39*11.11*9.91),2)))</f>
        <v>42.94</v>
      </c>
      <c r="M57" s="86">
        <v>5.01</v>
      </c>
      <c r="N57" s="86">
        <v>1.95</v>
      </c>
    </row>
    <row r="58" spans="1:14" ht="180" x14ac:dyDescent="0.2">
      <c r="A58" s="84">
        <v>16</v>
      </c>
      <c r="B58" s="85" t="s">
        <v>433</v>
      </c>
      <c r="C58" s="85" t="s">
        <v>434</v>
      </c>
      <c r="D58" s="84">
        <v>0.18</v>
      </c>
      <c r="E58" s="86" t="s">
        <v>435</v>
      </c>
      <c r="F58" s="86">
        <v>55.64</v>
      </c>
      <c r="G58" s="86">
        <v>4.28</v>
      </c>
      <c r="H58" s="87" t="s">
        <v>436</v>
      </c>
      <c r="I58" s="88">
        <v>211.41</v>
      </c>
      <c r="J58" s="86">
        <v>198.59</v>
      </c>
      <c r="K58" s="86">
        <v>7.11</v>
      </c>
      <c r="L58" s="86" t="str">
        <f>IF(0.18*4.28=0," ",TEXT(,ROUND((0.18*4.28*7.41),2)))</f>
        <v>5.71</v>
      </c>
      <c r="M58" s="86">
        <v>5.01</v>
      </c>
      <c r="N58" s="86">
        <v>0.9</v>
      </c>
    </row>
    <row r="59" spans="1:14" ht="67.5" x14ac:dyDescent="0.2">
      <c r="A59" s="84">
        <v>17</v>
      </c>
      <c r="B59" s="85" t="s">
        <v>437</v>
      </c>
      <c r="C59" s="85" t="s">
        <v>438</v>
      </c>
      <c r="D59" s="84">
        <v>150</v>
      </c>
      <c r="E59" s="86">
        <v>11.99</v>
      </c>
      <c r="F59" s="86"/>
      <c r="G59" s="86">
        <v>11.99</v>
      </c>
      <c r="H59" s="87" t="s">
        <v>439</v>
      </c>
      <c r="I59" s="88">
        <v>5901</v>
      </c>
      <c r="J59" s="86"/>
      <c r="K59" s="86"/>
      <c r="L59" s="86" t="str">
        <f>IF(150*11.99=0," ",TEXT(,ROUND((150*11.99*3.281),2)))</f>
        <v>5900.88</v>
      </c>
      <c r="M59" s="86"/>
      <c r="N59" s="86"/>
    </row>
    <row r="60" spans="1:14" ht="45" x14ac:dyDescent="0.2">
      <c r="A60" s="84">
        <v>18</v>
      </c>
      <c r="B60" s="85" t="s">
        <v>440</v>
      </c>
      <c r="C60" s="85" t="s">
        <v>441</v>
      </c>
      <c r="D60" s="84">
        <v>3</v>
      </c>
      <c r="E60" s="86">
        <v>147.16999999999999</v>
      </c>
      <c r="F60" s="86"/>
      <c r="G60" s="86">
        <v>147.16999999999999</v>
      </c>
      <c r="H60" s="87" t="s">
        <v>442</v>
      </c>
      <c r="I60" s="88">
        <v>2463.63</v>
      </c>
      <c r="J60" s="86"/>
      <c r="K60" s="86"/>
      <c r="L60" s="86" t="str">
        <f>IF(3*147.17=0," ",TEXT(,ROUND((3*147.17*5.58),2)))</f>
        <v>2463.63</v>
      </c>
      <c r="M60" s="86"/>
      <c r="N60" s="86"/>
    </row>
    <row r="61" spans="1:14" ht="45" x14ac:dyDescent="0.2">
      <c r="A61" s="84">
        <v>19</v>
      </c>
      <c r="B61" s="85" t="s">
        <v>440</v>
      </c>
      <c r="C61" s="85" t="s">
        <v>443</v>
      </c>
      <c r="D61" s="84">
        <v>1</v>
      </c>
      <c r="E61" s="86">
        <v>97.96</v>
      </c>
      <c r="F61" s="86"/>
      <c r="G61" s="86">
        <v>97.96</v>
      </c>
      <c r="H61" s="87" t="s">
        <v>442</v>
      </c>
      <c r="I61" s="88">
        <v>546.62</v>
      </c>
      <c r="J61" s="86"/>
      <c r="K61" s="86"/>
      <c r="L61" s="86" t="str">
        <f>IF(1*97.96=0," ",TEXT(,ROUND((1*97.96*5.58),2)))</f>
        <v>546.62</v>
      </c>
      <c r="M61" s="86"/>
      <c r="N61" s="86"/>
    </row>
    <row r="62" spans="1:14" ht="45" x14ac:dyDescent="0.2">
      <c r="A62" s="84">
        <v>20</v>
      </c>
      <c r="B62" s="85" t="s">
        <v>440</v>
      </c>
      <c r="C62" s="85" t="s">
        <v>444</v>
      </c>
      <c r="D62" s="84">
        <v>17</v>
      </c>
      <c r="E62" s="86">
        <v>58.78</v>
      </c>
      <c r="F62" s="86"/>
      <c r="G62" s="86">
        <v>58.78</v>
      </c>
      <c r="H62" s="87" t="s">
        <v>442</v>
      </c>
      <c r="I62" s="88">
        <v>5575.83</v>
      </c>
      <c r="J62" s="86"/>
      <c r="K62" s="86"/>
      <c r="L62" s="86" t="str">
        <f>IF(17*58.78=0," ",TEXT(,ROUND((17*58.78*5.58),2)))</f>
        <v>5575.87</v>
      </c>
      <c r="M62" s="86"/>
      <c r="N62" s="86"/>
    </row>
    <row r="63" spans="1:14" ht="45" x14ac:dyDescent="0.2">
      <c r="A63" s="84">
        <v>21</v>
      </c>
      <c r="B63" s="85" t="s">
        <v>440</v>
      </c>
      <c r="C63" s="85" t="s">
        <v>445</v>
      </c>
      <c r="D63" s="84">
        <v>5</v>
      </c>
      <c r="E63" s="86">
        <v>19.14</v>
      </c>
      <c r="F63" s="86"/>
      <c r="G63" s="86">
        <v>19.14</v>
      </c>
      <c r="H63" s="87" t="s">
        <v>442</v>
      </c>
      <c r="I63" s="88">
        <v>534</v>
      </c>
      <c r="J63" s="86"/>
      <c r="K63" s="86"/>
      <c r="L63" s="86" t="str">
        <f>IF(5*19.14=0," ",TEXT(,ROUND((5*19.14*5.58),2)))</f>
        <v>534.01</v>
      </c>
      <c r="M63" s="86"/>
      <c r="N63" s="86"/>
    </row>
    <row r="64" spans="1:14" ht="78.75" x14ac:dyDescent="0.2">
      <c r="A64" s="84">
        <v>22</v>
      </c>
      <c r="B64" s="85" t="s">
        <v>446</v>
      </c>
      <c r="C64" s="85" t="s">
        <v>447</v>
      </c>
      <c r="D64" s="84">
        <v>36</v>
      </c>
      <c r="E64" s="86">
        <v>37.83</v>
      </c>
      <c r="F64" s="86"/>
      <c r="G64" s="86">
        <v>37.83</v>
      </c>
      <c r="H64" s="87" t="s">
        <v>442</v>
      </c>
      <c r="I64" s="88">
        <v>7599.24</v>
      </c>
      <c r="J64" s="86"/>
      <c r="K64" s="86"/>
      <c r="L64" s="86" t="str">
        <f>IF(36*37.83=0," ",TEXT(,ROUND((36*37.83*5.58),2)))</f>
        <v>7599.29</v>
      </c>
      <c r="M64" s="86"/>
      <c r="N64" s="86"/>
    </row>
    <row r="65" spans="1:14" ht="56.25" x14ac:dyDescent="0.2">
      <c r="A65" s="84">
        <v>23</v>
      </c>
      <c r="B65" s="85" t="s">
        <v>448</v>
      </c>
      <c r="C65" s="85" t="s">
        <v>449</v>
      </c>
      <c r="D65" s="84">
        <v>1</v>
      </c>
      <c r="E65" s="86">
        <v>379.69</v>
      </c>
      <c r="F65" s="86"/>
      <c r="G65" s="86">
        <v>379.69</v>
      </c>
      <c r="H65" s="87" t="s">
        <v>442</v>
      </c>
      <c r="I65" s="88">
        <v>2118.67</v>
      </c>
      <c r="J65" s="86"/>
      <c r="K65" s="86"/>
      <c r="L65" s="86" t="str">
        <f>IF(1*379.69=0," ",TEXT(,ROUND((1*379.69*5.58),2)))</f>
        <v>2118.67</v>
      </c>
      <c r="M65" s="86"/>
      <c r="N65" s="86"/>
    </row>
    <row r="66" spans="1:14" ht="56.25" x14ac:dyDescent="0.2">
      <c r="A66" s="84">
        <v>24</v>
      </c>
      <c r="B66" s="85" t="s">
        <v>440</v>
      </c>
      <c r="C66" s="85" t="s">
        <v>450</v>
      </c>
      <c r="D66" s="84">
        <v>1</v>
      </c>
      <c r="E66" s="86">
        <v>135.93</v>
      </c>
      <c r="F66" s="86"/>
      <c r="G66" s="86">
        <v>135.93</v>
      </c>
      <c r="H66" s="87" t="s">
        <v>442</v>
      </c>
      <c r="I66" s="88">
        <v>758.49</v>
      </c>
      <c r="J66" s="86"/>
      <c r="K66" s="86"/>
      <c r="L66" s="86" t="str">
        <f>IF(1*135.93=0," ",TEXT(,ROUND((1*135.93*5.58),2)))</f>
        <v>758.49</v>
      </c>
      <c r="M66" s="86"/>
      <c r="N66" s="86"/>
    </row>
    <row r="67" spans="1:14" ht="157.5" x14ac:dyDescent="0.2">
      <c r="A67" s="84">
        <v>25</v>
      </c>
      <c r="B67" s="85" t="s">
        <v>451</v>
      </c>
      <c r="C67" s="85" t="s">
        <v>452</v>
      </c>
      <c r="D67" s="84">
        <v>1</v>
      </c>
      <c r="E67" s="86" t="s">
        <v>453</v>
      </c>
      <c r="F67" s="86" t="s">
        <v>454</v>
      </c>
      <c r="G67" s="86">
        <v>1032.5899999999999</v>
      </c>
      <c r="H67" s="87" t="s">
        <v>455</v>
      </c>
      <c r="I67" s="88">
        <v>8104.74</v>
      </c>
      <c r="J67" s="86">
        <v>685.38</v>
      </c>
      <c r="K67" s="86" t="s">
        <v>456</v>
      </c>
      <c r="L67" s="86" t="str">
        <f>IF(1*1032.59=0," ",TEXT(,ROUND((1*1032.59*7.05),2)))</f>
        <v>7279.76</v>
      </c>
      <c r="M67" s="86" t="s">
        <v>457</v>
      </c>
      <c r="N67" s="86" t="s">
        <v>457</v>
      </c>
    </row>
    <row r="68" spans="1:14" ht="45" x14ac:dyDescent="0.2">
      <c r="A68" s="84">
        <v>26</v>
      </c>
      <c r="B68" s="85" t="s">
        <v>458</v>
      </c>
      <c r="C68" s="85" t="s">
        <v>459</v>
      </c>
      <c r="D68" s="84">
        <v>1</v>
      </c>
      <c r="E68" s="86">
        <v>348.4</v>
      </c>
      <c r="F68" s="86"/>
      <c r="G68" s="86">
        <v>348.4</v>
      </c>
      <c r="H68" s="87" t="s">
        <v>442</v>
      </c>
      <c r="I68" s="88">
        <v>1944.07</v>
      </c>
      <c r="J68" s="86"/>
      <c r="K68" s="86"/>
      <c r="L68" s="86" t="str">
        <f>IF(1*348.4=0," ",TEXT(,ROUND((1*348.4*5.58),2)))</f>
        <v>1944.07</v>
      </c>
      <c r="M68" s="86"/>
      <c r="N68" s="86"/>
    </row>
    <row r="69" spans="1:14" ht="67.5" x14ac:dyDescent="0.2">
      <c r="A69" s="84">
        <v>27</v>
      </c>
      <c r="B69" s="85" t="s">
        <v>460</v>
      </c>
      <c r="C69" s="85" t="s">
        <v>461</v>
      </c>
      <c r="D69" s="84">
        <v>1</v>
      </c>
      <c r="E69" s="86">
        <v>6604.46</v>
      </c>
      <c r="F69" s="86"/>
      <c r="G69" s="86">
        <v>6604.46</v>
      </c>
      <c r="H69" s="87" t="s">
        <v>442</v>
      </c>
      <c r="I69" s="88">
        <v>36852.89</v>
      </c>
      <c r="J69" s="86"/>
      <c r="K69" s="86"/>
      <c r="L69" s="86" t="str">
        <f>IF(1*6604.46=0," ",TEXT(,ROUND((1*6604.46*5.58),2)))</f>
        <v>36852.89</v>
      </c>
      <c r="M69" s="86"/>
      <c r="N69" s="86"/>
    </row>
    <row r="70" spans="1:14" ht="56.25" x14ac:dyDescent="0.2">
      <c r="A70" s="84">
        <v>28</v>
      </c>
      <c r="B70" s="85" t="s">
        <v>440</v>
      </c>
      <c r="C70" s="85" t="s">
        <v>462</v>
      </c>
      <c r="D70" s="84">
        <v>7</v>
      </c>
      <c r="E70" s="86">
        <v>324.70999999999998</v>
      </c>
      <c r="F70" s="86"/>
      <c r="G70" s="86">
        <v>324.70999999999998</v>
      </c>
      <c r="H70" s="87" t="s">
        <v>442</v>
      </c>
      <c r="I70" s="88">
        <v>12683.16</v>
      </c>
      <c r="J70" s="86"/>
      <c r="K70" s="86"/>
      <c r="L70" s="86" t="str">
        <f>IF(7*324.71=0," ",TEXT(,ROUND((7*324.71*5.58),2)))</f>
        <v>12683.17</v>
      </c>
      <c r="M70" s="86"/>
      <c r="N70" s="86"/>
    </row>
    <row r="71" spans="1:14" ht="56.25" x14ac:dyDescent="0.2">
      <c r="A71" s="84">
        <v>29</v>
      </c>
      <c r="B71" s="85" t="s">
        <v>440</v>
      </c>
      <c r="C71" s="85" t="s">
        <v>463</v>
      </c>
      <c r="D71" s="84">
        <v>3</v>
      </c>
      <c r="E71" s="86">
        <v>370.27</v>
      </c>
      <c r="F71" s="86"/>
      <c r="G71" s="86">
        <v>370.27</v>
      </c>
      <c r="H71" s="87" t="s">
        <v>442</v>
      </c>
      <c r="I71" s="88">
        <v>6198.33</v>
      </c>
      <c r="J71" s="86"/>
      <c r="K71" s="86"/>
      <c r="L71" s="86" t="str">
        <f>IF(3*370.27=0," ",TEXT(,ROUND((3*370.27*5.58),2)))</f>
        <v>6198.32</v>
      </c>
      <c r="M71" s="86"/>
      <c r="N71" s="86"/>
    </row>
    <row r="72" spans="1:14" ht="45" x14ac:dyDescent="0.2">
      <c r="A72" s="84">
        <v>30</v>
      </c>
      <c r="B72" s="85" t="s">
        <v>458</v>
      </c>
      <c r="C72" s="85" t="s">
        <v>464</v>
      </c>
      <c r="D72" s="84">
        <v>1</v>
      </c>
      <c r="E72" s="86">
        <v>279.89999999999998</v>
      </c>
      <c r="F72" s="86"/>
      <c r="G72" s="86">
        <v>279.89999999999998</v>
      </c>
      <c r="H72" s="87" t="s">
        <v>442</v>
      </c>
      <c r="I72" s="88">
        <v>1561.84</v>
      </c>
      <c r="J72" s="86"/>
      <c r="K72" s="86"/>
      <c r="L72" s="86" t="str">
        <f>IF(1*279.9=0," ",TEXT(,ROUND((1*279.9*5.58),2)))</f>
        <v>1561.84</v>
      </c>
      <c r="M72" s="86"/>
      <c r="N72" s="86"/>
    </row>
    <row r="73" spans="1:14" ht="56.25" x14ac:dyDescent="0.2">
      <c r="A73" s="84">
        <v>31</v>
      </c>
      <c r="B73" s="85" t="s">
        <v>440</v>
      </c>
      <c r="C73" s="85" t="s">
        <v>465</v>
      </c>
      <c r="D73" s="84">
        <v>7</v>
      </c>
      <c r="E73" s="86">
        <v>235.56</v>
      </c>
      <c r="F73" s="86"/>
      <c r="G73" s="86">
        <v>235.56</v>
      </c>
      <c r="H73" s="87" t="s">
        <v>442</v>
      </c>
      <c r="I73" s="88">
        <v>9200.94</v>
      </c>
      <c r="J73" s="86"/>
      <c r="K73" s="86"/>
      <c r="L73" s="86" t="str">
        <f>IF(7*235.56=0," ",TEXT(,ROUND((7*235.56*5.58),2)))</f>
        <v>9200.97</v>
      </c>
      <c r="M73" s="86"/>
      <c r="N73" s="86"/>
    </row>
    <row r="74" spans="1:14" ht="56.25" x14ac:dyDescent="0.2">
      <c r="A74" s="84">
        <v>32</v>
      </c>
      <c r="B74" s="85" t="s">
        <v>440</v>
      </c>
      <c r="C74" s="85" t="s">
        <v>466</v>
      </c>
      <c r="D74" s="84">
        <v>3</v>
      </c>
      <c r="E74" s="86">
        <v>269.42</v>
      </c>
      <c r="F74" s="86"/>
      <c r="G74" s="86">
        <v>269.42</v>
      </c>
      <c r="H74" s="87" t="s">
        <v>442</v>
      </c>
      <c r="I74" s="88">
        <v>4510.08</v>
      </c>
      <c r="J74" s="86"/>
      <c r="K74" s="86"/>
      <c r="L74" s="86" t="str">
        <f>IF(3*269.42=0," ",TEXT(,ROUND((3*269.42*5.58),2)))</f>
        <v>4510.09</v>
      </c>
      <c r="M74" s="86"/>
      <c r="N74" s="86"/>
    </row>
    <row r="75" spans="1:14" ht="45" x14ac:dyDescent="0.2">
      <c r="A75" s="84">
        <v>33</v>
      </c>
      <c r="B75" s="85" t="s">
        <v>458</v>
      </c>
      <c r="C75" s="85" t="s">
        <v>467</v>
      </c>
      <c r="D75" s="84">
        <v>3</v>
      </c>
      <c r="E75" s="86">
        <v>203.82</v>
      </c>
      <c r="F75" s="86"/>
      <c r="G75" s="86">
        <v>203.82</v>
      </c>
      <c r="H75" s="87" t="s">
        <v>442</v>
      </c>
      <c r="I75" s="88">
        <v>3411.96</v>
      </c>
      <c r="J75" s="86"/>
      <c r="K75" s="86"/>
      <c r="L75" s="86" t="str">
        <f>IF(3*203.82=0," ",TEXT(,ROUND((3*203.82*5.58),2)))</f>
        <v>3411.95</v>
      </c>
      <c r="M75" s="86"/>
      <c r="N75" s="86"/>
    </row>
    <row r="76" spans="1:14" ht="56.25" x14ac:dyDescent="0.2">
      <c r="A76" s="84">
        <v>34</v>
      </c>
      <c r="B76" s="85" t="s">
        <v>440</v>
      </c>
      <c r="C76" s="85" t="s">
        <v>468</v>
      </c>
      <c r="D76" s="84">
        <v>1</v>
      </c>
      <c r="E76" s="86">
        <v>228.87</v>
      </c>
      <c r="F76" s="86"/>
      <c r="G76" s="86">
        <v>228.87</v>
      </c>
      <c r="H76" s="87" t="s">
        <v>442</v>
      </c>
      <c r="I76" s="88">
        <v>1277.1099999999999</v>
      </c>
      <c r="J76" s="86"/>
      <c r="K76" s="86"/>
      <c r="L76" s="86" t="str">
        <f>IF(1*228.87=0," ",TEXT(,ROUND((1*228.87*5.58),2)))</f>
        <v>1277.09</v>
      </c>
      <c r="M76" s="86"/>
      <c r="N76" s="86"/>
    </row>
    <row r="77" spans="1:14" ht="157.5" x14ac:dyDescent="0.2">
      <c r="A77" s="84">
        <v>35</v>
      </c>
      <c r="B77" s="85" t="s">
        <v>469</v>
      </c>
      <c r="C77" s="85" t="s">
        <v>470</v>
      </c>
      <c r="D77" s="84">
        <v>3</v>
      </c>
      <c r="E77" s="86" t="s">
        <v>471</v>
      </c>
      <c r="F77" s="86" t="s">
        <v>472</v>
      </c>
      <c r="G77" s="86">
        <v>83.08</v>
      </c>
      <c r="H77" s="87" t="s">
        <v>473</v>
      </c>
      <c r="I77" s="88">
        <v>2303.8200000000002</v>
      </c>
      <c r="J77" s="86">
        <v>896.13</v>
      </c>
      <c r="K77" s="86" t="s">
        <v>474</v>
      </c>
      <c r="L77" s="86" t="str">
        <f>IF(3*83.08=0," ",TEXT(,ROUND((3*83.08*4.24),2)))</f>
        <v>1056.78</v>
      </c>
      <c r="M77" s="86" t="s">
        <v>475</v>
      </c>
      <c r="N77" s="86" t="s">
        <v>476</v>
      </c>
    </row>
    <row r="78" spans="1:14" ht="146.25" x14ac:dyDescent="0.2">
      <c r="A78" s="84">
        <v>36</v>
      </c>
      <c r="B78" s="85" t="s">
        <v>477</v>
      </c>
      <c r="C78" s="85" t="s">
        <v>478</v>
      </c>
      <c r="D78" s="84">
        <v>30</v>
      </c>
      <c r="E78" s="86" t="s">
        <v>479</v>
      </c>
      <c r="F78" s="86"/>
      <c r="G78" s="86">
        <v>224.54</v>
      </c>
      <c r="H78" s="87" t="s">
        <v>480</v>
      </c>
      <c r="I78" s="88">
        <v>11947.8</v>
      </c>
      <c r="J78" s="86">
        <v>1237.2</v>
      </c>
      <c r="K78" s="86"/>
      <c r="L78" s="86" t="str">
        <f>IF(30*224.54=0," ",TEXT(,ROUND((30*224.54*1.59),2)))</f>
        <v>10710.56</v>
      </c>
      <c r="M78" s="86">
        <v>0.22</v>
      </c>
      <c r="N78" s="86">
        <v>6.6</v>
      </c>
    </row>
    <row r="79" spans="1:14" ht="112.5" x14ac:dyDescent="0.2">
      <c r="A79" s="84">
        <v>37</v>
      </c>
      <c r="B79" s="85" t="s">
        <v>481</v>
      </c>
      <c r="C79" s="85" t="s">
        <v>482</v>
      </c>
      <c r="D79" s="84">
        <v>-30</v>
      </c>
      <c r="E79" s="86">
        <v>223.7</v>
      </c>
      <c r="F79" s="86"/>
      <c r="G79" s="86"/>
      <c r="H79" s="87" t="s">
        <v>483</v>
      </c>
      <c r="I79" s="88">
        <v>-10657.2</v>
      </c>
      <c r="J79" s="86"/>
      <c r="K79" s="86"/>
      <c r="L79" s="86" t="str">
        <f>IF(-30*0=0," ",TEXT(,ROUND((-30*0*1.588),2)))</f>
        <v xml:space="preserve"> </v>
      </c>
      <c r="M79" s="86"/>
      <c r="N79" s="86"/>
    </row>
    <row r="80" spans="1:14" ht="67.5" x14ac:dyDescent="0.2">
      <c r="A80" s="84">
        <v>38</v>
      </c>
      <c r="B80" s="85" t="s">
        <v>484</v>
      </c>
      <c r="C80" s="85" t="s">
        <v>485</v>
      </c>
      <c r="D80" s="84">
        <v>30</v>
      </c>
      <c r="E80" s="86">
        <v>141.16</v>
      </c>
      <c r="F80" s="86"/>
      <c r="G80" s="86"/>
      <c r="H80" s="87" t="s">
        <v>486</v>
      </c>
      <c r="I80" s="88">
        <v>16219.2</v>
      </c>
      <c r="J80" s="86"/>
      <c r="K80" s="86"/>
      <c r="L80" s="86" t="str">
        <f>IF(30*0=0," ",TEXT(,ROUND((30*0*3.83),2)))</f>
        <v xml:space="preserve"> </v>
      </c>
      <c r="M80" s="86"/>
      <c r="N80" s="86"/>
    </row>
    <row r="81" spans="1:14" ht="146.25" x14ac:dyDescent="0.2">
      <c r="A81" s="84">
        <v>39</v>
      </c>
      <c r="B81" s="85" t="s">
        <v>487</v>
      </c>
      <c r="C81" s="85" t="s">
        <v>488</v>
      </c>
      <c r="D81" s="84">
        <v>10</v>
      </c>
      <c r="E81" s="86" t="s">
        <v>489</v>
      </c>
      <c r="F81" s="86"/>
      <c r="G81" s="86">
        <v>335.96</v>
      </c>
      <c r="H81" s="87" t="s">
        <v>490</v>
      </c>
      <c r="I81" s="88">
        <v>4078.1</v>
      </c>
      <c r="J81" s="86">
        <v>550.5</v>
      </c>
      <c r="K81" s="86"/>
      <c r="L81" s="86" t="str">
        <f>IF(10*335.96=0," ",TEXT(,ROUND((10*335.96*1.05),2)))</f>
        <v>3527.58</v>
      </c>
      <c r="M81" s="86">
        <v>0.31</v>
      </c>
      <c r="N81" s="86">
        <v>3.1</v>
      </c>
    </row>
    <row r="82" spans="1:14" ht="78.75" x14ac:dyDescent="0.2">
      <c r="A82" s="84">
        <v>40</v>
      </c>
      <c r="B82" s="85" t="s">
        <v>491</v>
      </c>
      <c r="C82" s="85" t="s">
        <v>492</v>
      </c>
      <c r="D82" s="84">
        <v>0.1</v>
      </c>
      <c r="E82" s="86" t="s">
        <v>493</v>
      </c>
      <c r="F82" s="86">
        <v>444.35</v>
      </c>
      <c r="G82" s="86">
        <v>1910.96</v>
      </c>
      <c r="H82" s="87" t="s">
        <v>494</v>
      </c>
      <c r="I82" s="88">
        <v>4012.77</v>
      </c>
      <c r="J82" s="86">
        <v>1034.95</v>
      </c>
      <c r="K82" s="86">
        <v>266.17</v>
      </c>
      <c r="L82" s="86" t="str">
        <f>IF(0.1*1910.96=0," ",TEXT(,ROUND((0.1*1910.96*14.19),2)))</f>
        <v>2711.65</v>
      </c>
      <c r="M82" s="86">
        <v>65.400000000000006</v>
      </c>
      <c r="N82" s="86">
        <v>6.54</v>
      </c>
    </row>
    <row r="83" spans="1:14" ht="146.25" x14ac:dyDescent="0.2">
      <c r="A83" s="84">
        <v>41</v>
      </c>
      <c r="B83" s="85" t="s">
        <v>495</v>
      </c>
      <c r="C83" s="85" t="s">
        <v>496</v>
      </c>
      <c r="D83" s="84">
        <v>0.2</v>
      </c>
      <c r="E83" s="86" t="s">
        <v>497</v>
      </c>
      <c r="F83" s="86" t="s">
        <v>498</v>
      </c>
      <c r="G83" s="86">
        <v>10296.69</v>
      </c>
      <c r="H83" s="87" t="s">
        <v>499</v>
      </c>
      <c r="I83" s="88">
        <v>16630.46</v>
      </c>
      <c r="J83" s="86">
        <v>528.63</v>
      </c>
      <c r="K83" s="86" t="s">
        <v>500</v>
      </c>
      <c r="L83" s="86" t="str">
        <f>IF(0.2*10296.69=0," ",TEXT(,ROUND((0.2*10296.69*7.68),2)))</f>
        <v>15815.72</v>
      </c>
      <c r="M83" s="86" t="s">
        <v>501</v>
      </c>
      <c r="N83" s="86" t="s">
        <v>502</v>
      </c>
    </row>
    <row r="84" spans="1:14" ht="67.5" x14ac:dyDescent="0.2">
      <c r="A84" s="84">
        <v>42</v>
      </c>
      <c r="B84" s="85" t="s">
        <v>503</v>
      </c>
      <c r="C84" s="85" t="s">
        <v>504</v>
      </c>
      <c r="D84" s="84">
        <v>-2</v>
      </c>
      <c r="E84" s="86">
        <v>1027.7</v>
      </c>
      <c r="F84" s="86"/>
      <c r="G84" s="86">
        <v>1027.7</v>
      </c>
      <c r="H84" s="87" t="s">
        <v>505</v>
      </c>
      <c r="I84" s="88">
        <v>-15810.14</v>
      </c>
      <c r="J84" s="86"/>
      <c r="K84" s="86"/>
      <c r="L84" s="86" t="str">
        <f>IF(-2*1027.7=0," ",TEXT(,ROUND((-2*1027.7*7.692),2)))</f>
        <v>-15810.14</v>
      </c>
      <c r="M84" s="86"/>
      <c r="N84" s="86"/>
    </row>
    <row r="85" spans="1:14" ht="56.25" x14ac:dyDescent="0.2">
      <c r="A85" s="84">
        <v>43</v>
      </c>
      <c r="B85" s="85" t="s">
        <v>458</v>
      </c>
      <c r="C85" s="85" t="s">
        <v>506</v>
      </c>
      <c r="D85" s="84">
        <v>2</v>
      </c>
      <c r="E85" s="86">
        <v>917.32</v>
      </c>
      <c r="F85" s="86"/>
      <c r="G85" s="86">
        <v>917.32</v>
      </c>
      <c r="H85" s="87" t="s">
        <v>442</v>
      </c>
      <c r="I85" s="88">
        <v>10237.299999999999</v>
      </c>
      <c r="J85" s="86"/>
      <c r="K85" s="86"/>
      <c r="L85" s="86" t="str">
        <f>IF(2*917.32=0," ",TEXT(,ROUND((2*917.32*5.58),2)))</f>
        <v>10237.29</v>
      </c>
      <c r="M85" s="86"/>
      <c r="N85" s="86"/>
    </row>
    <row r="86" spans="1:14" ht="146.25" x14ac:dyDescent="0.2">
      <c r="A86" s="84">
        <v>44</v>
      </c>
      <c r="B86" s="85" t="s">
        <v>507</v>
      </c>
      <c r="C86" s="85" t="s">
        <v>508</v>
      </c>
      <c r="D86" s="84">
        <v>0.1</v>
      </c>
      <c r="E86" s="86" t="s">
        <v>509</v>
      </c>
      <c r="F86" s="86" t="s">
        <v>510</v>
      </c>
      <c r="G86" s="86">
        <v>9388.1</v>
      </c>
      <c r="H86" s="87" t="s">
        <v>511</v>
      </c>
      <c r="I86" s="88">
        <v>4376.7</v>
      </c>
      <c r="J86" s="86">
        <v>212.65</v>
      </c>
      <c r="K86" s="86" t="s">
        <v>512</v>
      </c>
      <c r="L86" s="86" t="str">
        <f>IF(0.1*9388.1=0," ",TEXT(,ROUND((0.1*9388.1*4.31),2)))</f>
        <v>4046.27</v>
      </c>
      <c r="M86" s="86" t="s">
        <v>513</v>
      </c>
      <c r="N86" s="86" t="s">
        <v>514</v>
      </c>
    </row>
    <row r="87" spans="1:14" ht="67.5" x14ac:dyDescent="0.2">
      <c r="A87" s="84">
        <v>45</v>
      </c>
      <c r="B87" s="85" t="s">
        <v>515</v>
      </c>
      <c r="C87" s="85" t="s">
        <v>516</v>
      </c>
      <c r="D87" s="84">
        <v>-1</v>
      </c>
      <c r="E87" s="86">
        <v>937.67</v>
      </c>
      <c r="F87" s="86"/>
      <c r="G87" s="86">
        <v>937.67</v>
      </c>
      <c r="H87" s="87" t="s">
        <v>517</v>
      </c>
      <c r="I87" s="88">
        <v>-4040.42</v>
      </c>
      <c r="J87" s="86"/>
      <c r="K87" s="86"/>
      <c r="L87" s="86" t="str">
        <f>IF(-1*937.67=0," ",TEXT(,ROUND((-1*937.67*4.309),2)))</f>
        <v>-4040.42</v>
      </c>
      <c r="M87" s="86"/>
      <c r="N87" s="86"/>
    </row>
    <row r="88" spans="1:14" ht="56.25" x14ac:dyDescent="0.2">
      <c r="A88" s="84">
        <v>46</v>
      </c>
      <c r="B88" s="85" t="s">
        <v>458</v>
      </c>
      <c r="C88" s="85" t="s">
        <v>518</v>
      </c>
      <c r="D88" s="84">
        <v>1</v>
      </c>
      <c r="E88" s="86">
        <v>692.7</v>
      </c>
      <c r="F88" s="86"/>
      <c r="G88" s="86">
        <v>692.7</v>
      </c>
      <c r="H88" s="87" t="s">
        <v>442</v>
      </c>
      <c r="I88" s="88">
        <v>3865.27</v>
      </c>
      <c r="J88" s="86"/>
      <c r="K88" s="86"/>
      <c r="L88" s="86" t="str">
        <f>IF(1*692.7=0," ",TEXT(,ROUND((1*692.7*5.58),2)))</f>
        <v>3865.27</v>
      </c>
      <c r="M88" s="86"/>
      <c r="N88" s="86"/>
    </row>
    <row r="89" spans="1:14" ht="146.25" x14ac:dyDescent="0.2">
      <c r="A89" s="84">
        <v>47</v>
      </c>
      <c r="B89" s="85" t="s">
        <v>519</v>
      </c>
      <c r="C89" s="85" t="s">
        <v>520</v>
      </c>
      <c r="D89" s="84">
        <v>0.1</v>
      </c>
      <c r="E89" s="86" t="s">
        <v>521</v>
      </c>
      <c r="F89" s="86" t="s">
        <v>522</v>
      </c>
      <c r="G89" s="86">
        <v>6909.13</v>
      </c>
      <c r="H89" s="87" t="s">
        <v>523</v>
      </c>
      <c r="I89" s="88">
        <v>1152.3499999999999</v>
      </c>
      <c r="J89" s="86">
        <v>174.34</v>
      </c>
      <c r="K89" s="86" t="s">
        <v>524</v>
      </c>
      <c r="L89" s="86" t="str">
        <f>IF(0.1*6909.13=0," ",TEXT(,ROUND((0.1*6909.13*1.29),2)))</f>
        <v>891.28</v>
      </c>
      <c r="M89" s="86" t="s">
        <v>525</v>
      </c>
      <c r="N89" s="86">
        <v>0.99</v>
      </c>
    </row>
    <row r="90" spans="1:14" ht="157.5" x14ac:dyDescent="0.2">
      <c r="A90" s="84">
        <v>48</v>
      </c>
      <c r="B90" s="85" t="s">
        <v>526</v>
      </c>
      <c r="C90" s="85" t="s">
        <v>527</v>
      </c>
      <c r="D90" s="84">
        <v>1</v>
      </c>
      <c r="E90" s="86" t="s">
        <v>528</v>
      </c>
      <c r="F90" s="86">
        <v>1.0900000000000001</v>
      </c>
      <c r="G90" s="86">
        <v>1172.8399999999999</v>
      </c>
      <c r="H90" s="87" t="s">
        <v>529</v>
      </c>
      <c r="I90" s="88">
        <v>4072.94</v>
      </c>
      <c r="J90" s="86">
        <v>72.83</v>
      </c>
      <c r="K90" s="86">
        <v>12.45</v>
      </c>
      <c r="L90" s="86" t="str">
        <f>IF(1*1172.84=0," ",TEXT(,ROUND((1*1172.84*3.4),2)))</f>
        <v>3987.66</v>
      </c>
      <c r="M90" s="86">
        <v>0.41</v>
      </c>
      <c r="N90" s="86">
        <v>0.41</v>
      </c>
    </row>
    <row r="91" spans="1:14" ht="67.5" x14ac:dyDescent="0.2">
      <c r="A91" s="84">
        <v>49</v>
      </c>
      <c r="B91" s="85" t="s">
        <v>530</v>
      </c>
      <c r="C91" s="85" t="s">
        <v>531</v>
      </c>
      <c r="D91" s="84">
        <v>-1</v>
      </c>
      <c r="E91" s="86">
        <v>1172</v>
      </c>
      <c r="F91" s="86"/>
      <c r="G91" s="86">
        <v>1172</v>
      </c>
      <c r="H91" s="87" t="s">
        <v>532</v>
      </c>
      <c r="I91" s="88">
        <v>-3982.46</v>
      </c>
      <c r="J91" s="86"/>
      <c r="K91" s="86"/>
      <c r="L91" s="86" t="str">
        <f>IF(-1*1172=0," ",TEXT(,ROUND((-1*1172*3.398),2)))</f>
        <v>-3982.46</v>
      </c>
      <c r="M91" s="86"/>
      <c r="N91" s="86"/>
    </row>
    <row r="92" spans="1:14" ht="56.25" x14ac:dyDescent="0.2">
      <c r="A92" s="84">
        <v>50</v>
      </c>
      <c r="B92" s="85" t="s">
        <v>440</v>
      </c>
      <c r="C92" s="85" t="s">
        <v>533</v>
      </c>
      <c r="D92" s="84">
        <v>1</v>
      </c>
      <c r="E92" s="86">
        <v>1118.4000000000001</v>
      </c>
      <c r="F92" s="86"/>
      <c r="G92" s="86">
        <v>1118.4000000000001</v>
      </c>
      <c r="H92" s="87" t="s">
        <v>442</v>
      </c>
      <c r="I92" s="88">
        <v>6240.67</v>
      </c>
      <c r="J92" s="86"/>
      <c r="K92" s="86"/>
      <c r="L92" s="86" t="str">
        <f>IF(1*1118.4=0," ",TEXT(,ROUND((1*1118.4*5.58),2)))</f>
        <v>6240.67</v>
      </c>
      <c r="M92" s="86"/>
      <c r="N92" s="86"/>
    </row>
    <row r="93" spans="1:14" ht="157.5" x14ac:dyDescent="0.2">
      <c r="A93" s="84">
        <v>51</v>
      </c>
      <c r="B93" s="85" t="s">
        <v>330</v>
      </c>
      <c r="C93" s="85" t="s">
        <v>534</v>
      </c>
      <c r="D93" s="84">
        <v>5</v>
      </c>
      <c r="E93" s="86" t="s">
        <v>535</v>
      </c>
      <c r="F93" s="86" t="s">
        <v>536</v>
      </c>
      <c r="G93" s="86">
        <v>2558.94</v>
      </c>
      <c r="H93" s="87" t="s">
        <v>334</v>
      </c>
      <c r="I93" s="88">
        <v>60125.9</v>
      </c>
      <c r="J93" s="86">
        <v>12451.5</v>
      </c>
      <c r="K93" s="86" t="s">
        <v>537</v>
      </c>
      <c r="L93" s="86" t="str">
        <f>IF(5*2558.94=0," ",TEXT(,ROUND((5*2558.94*3.67),2)))</f>
        <v>46956.55</v>
      </c>
      <c r="M93" s="86" t="s">
        <v>538</v>
      </c>
      <c r="N93" s="86" t="s">
        <v>539</v>
      </c>
    </row>
    <row r="94" spans="1:14" ht="78.75" x14ac:dyDescent="0.2">
      <c r="A94" s="84">
        <v>52</v>
      </c>
      <c r="B94" s="85" t="s">
        <v>540</v>
      </c>
      <c r="C94" s="85" t="s">
        <v>541</v>
      </c>
      <c r="D94" s="84">
        <v>-5</v>
      </c>
      <c r="E94" s="86">
        <v>2453.8000000000002</v>
      </c>
      <c r="F94" s="86"/>
      <c r="G94" s="86"/>
      <c r="H94" s="87" t="s">
        <v>542</v>
      </c>
      <c r="I94" s="88">
        <v>-44192.95</v>
      </c>
      <c r="J94" s="86"/>
      <c r="K94" s="86"/>
      <c r="L94" s="86" t="str">
        <f>IF(-5*0=0," ",TEXT(,ROUND((-5*0*3.602),2)))</f>
        <v xml:space="preserve"> </v>
      </c>
      <c r="M94" s="86"/>
      <c r="N94" s="86"/>
    </row>
    <row r="95" spans="1:14" ht="90" x14ac:dyDescent="0.2">
      <c r="A95" s="84">
        <v>53</v>
      </c>
      <c r="B95" s="85" t="s">
        <v>543</v>
      </c>
      <c r="C95" s="85" t="s">
        <v>544</v>
      </c>
      <c r="D95" s="84">
        <v>-5</v>
      </c>
      <c r="E95" s="86">
        <v>28</v>
      </c>
      <c r="F95" s="86"/>
      <c r="G95" s="86">
        <v>28</v>
      </c>
      <c r="H95" s="87" t="s">
        <v>545</v>
      </c>
      <c r="I95" s="88">
        <v>-695.65</v>
      </c>
      <c r="J95" s="86"/>
      <c r="K95" s="86"/>
      <c r="L95" s="86" t="str">
        <f>IF(-5*28=0," ",TEXT(,ROUND((-5*28*4.969),2)))</f>
        <v>-695.66</v>
      </c>
      <c r="M95" s="86"/>
      <c r="N95" s="86"/>
    </row>
    <row r="96" spans="1:14" ht="90" x14ac:dyDescent="0.2">
      <c r="A96" s="84">
        <v>54</v>
      </c>
      <c r="B96" s="85" t="s">
        <v>546</v>
      </c>
      <c r="C96" s="85" t="s">
        <v>547</v>
      </c>
      <c r="D96" s="84">
        <v>-5</v>
      </c>
      <c r="E96" s="86">
        <v>23</v>
      </c>
      <c r="F96" s="86"/>
      <c r="G96" s="86">
        <v>23</v>
      </c>
      <c r="H96" s="87" t="s">
        <v>548</v>
      </c>
      <c r="I96" s="88">
        <v>-751.05</v>
      </c>
      <c r="J96" s="86"/>
      <c r="K96" s="86"/>
      <c r="L96" s="86" t="str">
        <f>IF(-5*23=0," ",TEXT(,ROUND((-5*23*6.531),2)))</f>
        <v>-751.07</v>
      </c>
      <c r="M96" s="86"/>
      <c r="N96" s="86"/>
    </row>
    <row r="97" spans="1:14" ht="67.5" x14ac:dyDescent="0.2">
      <c r="A97" s="84">
        <v>55</v>
      </c>
      <c r="B97" s="85" t="s">
        <v>549</v>
      </c>
      <c r="C97" s="85" t="s">
        <v>550</v>
      </c>
      <c r="D97" s="84">
        <v>1</v>
      </c>
      <c r="E97" s="86">
        <v>2338.1799999999998</v>
      </c>
      <c r="F97" s="86"/>
      <c r="G97" s="86"/>
      <c r="H97" s="87" t="s">
        <v>551</v>
      </c>
      <c r="I97" s="88">
        <v>13311.26</v>
      </c>
      <c r="J97" s="86"/>
      <c r="K97" s="86"/>
      <c r="L97" s="86" t="str">
        <f>IF(1*0=0," ",TEXT(,ROUND((1*0*5.693),2)))</f>
        <v xml:space="preserve"> </v>
      </c>
      <c r="M97" s="86"/>
      <c r="N97" s="86"/>
    </row>
    <row r="98" spans="1:14" ht="45" x14ac:dyDescent="0.2">
      <c r="A98" s="84">
        <v>56</v>
      </c>
      <c r="B98" s="85" t="s">
        <v>552</v>
      </c>
      <c r="C98" s="85" t="s">
        <v>553</v>
      </c>
      <c r="D98" s="84">
        <v>2</v>
      </c>
      <c r="E98" s="86">
        <v>9212.77</v>
      </c>
      <c r="F98" s="86"/>
      <c r="G98" s="86">
        <v>9212.77</v>
      </c>
      <c r="H98" s="87" t="s">
        <v>442</v>
      </c>
      <c r="I98" s="88">
        <v>102814.52</v>
      </c>
      <c r="J98" s="86"/>
      <c r="K98" s="86"/>
      <c r="L98" s="86" t="str">
        <f>IF(2*9212.77=0," ",TEXT(,ROUND((2*9212.77*5.58),2)))</f>
        <v>102814.51</v>
      </c>
      <c r="M98" s="86"/>
      <c r="N98" s="86"/>
    </row>
    <row r="99" spans="1:14" ht="45" x14ac:dyDescent="0.2">
      <c r="A99" s="84">
        <v>57</v>
      </c>
      <c r="B99" s="85" t="s">
        <v>552</v>
      </c>
      <c r="C99" s="85" t="s">
        <v>554</v>
      </c>
      <c r="D99" s="84">
        <v>1</v>
      </c>
      <c r="E99" s="86">
        <v>5452.65</v>
      </c>
      <c r="F99" s="86"/>
      <c r="G99" s="86">
        <v>5452.65</v>
      </c>
      <c r="H99" s="87" t="s">
        <v>442</v>
      </c>
      <c r="I99" s="88">
        <v>30425.79</v>
      </c>
      <c r="J99" s="86"/>
      <c r="K99" s="86"/>
      <c r="L99" s="86" t="str">
        <f>IF(1*5452.65=0," ",TEXT(,ROUND((1*5452.65*5.58),2)))</f>
        <v>30425.79</v>
      </c>
      <c r="M99" s="86"/>
      <c r="N99" s="86"/>
    </row>
    <row r="100" spans="1:14" ht="90" x14ac:dyDescent="0.2">
      <c r="A100" s="84">
        <v>58</v>
      </c>
      <c r="B100" s="85" t="s">
        <v>555</v>
      </c>
      <c r="C100" s="85" t="s">
        <v>556</v>
      </c>
      <c r="D100" s="84">
        <v>6</v>
      </c>
      <c r="E100" s="86">
        <v>23.4</v>
      </c>
      <c r="F100" s="86"/>
      <c r="G100" s="86">
        <v>23.4</v>
      </c>
      <c r="H100" s="87" t="s">
        <v>557</v>
      </c>
      <c r="I100" s="88">
        <v>1132.74</v>
      </c>
      <c r="J100" s="86"/>
      <c r="K100" s="86"/>
      <c r="L100" s="86" t="str">
        <f>IF(6*23.4=0," ",TEXT(,ROUND((6*23.4*8.068),2)))</f>
        <v>1132.75</v>
      </c>
      <c r="M100" s="86"/>
      <c r="N100" s="86"/>
    </row>
    <row r="101" spans="1:14" ht="45" x14ac:dyDescent="0.2">
      <c r="A101" s="84">
        <v>59</v>
      </c>
      <c r="B101" s="85" t="s">
        <v>440</v>
      </c>
      <c r="C101" s="85" t="s">
        <v>558</v>
      </c>
      <c r="D101" s="84">
        <v>1</v>
      </c>
      <c r="E101" s="86">
        <v>568.62</v>
      </c>
      <c r="F101" s="86"/>
      <c r="G101" s="86">
        <v>568.62</v>
      </c>
      <c r="H101" s="87" t="s">
        <v>442</v>
      </c>
      <c r="I101" s="88">
        <v>3172.9</v>
      </c>
      <c r="J101" s="86"/>
      <c r="K101" s="86"/>
      <c r="L101" s="86" t="str">
        <f>IF(1*568.62=0," ",TEXT(,ROUND((1*568.62*5.58),2)))</f>
        <v>3172.9</v>
      </c>
      <c r="M101" s="86"/>
      <c r="N101" s="86"/>
    </row>
    <row r="102" spans="1:14" ht="180" x14ac:dyDescent="0.2">
      <c r="A102" s="84">
        <v>60</v>
      </c>
      <c r="B102" s="85" t="s">
        <v>559</v>
      </c>
      <c r="C102" s="85" t="s">
        <v>560</v>
      </c>
      <c r="D102" s="84">
        <v>4</v>
      </c>
      <c r="E102" s="86" t="s">
        <v>561</v>
      </c>
      <c r="F102" s="86">
        <v>0.85</v>
      </c>
      <c r="G102" s="86">
        <v>20.02</v>
      </c>
      <c r="H102" s="87" t="s">
        <v>562</v>
      </c>
      <c r="I102" s="88">
        <v>1600.68</v>
      </c>
      <c r="J102" s="86">
        <v>789.6</v>
      </c>
      <c r="K102" s="86">
        <v>34.32</v>
      </c>
      <c r="L102" s="86" t="str">
        <f>IF(4*20.02=0," ",TEXT(,ROUND((4*20.02*9.7),2)))</f>
        <v>776.78</v>
      </c>
      <c r="M102" s="86">
        <v>1.21</v>
      </c>
      <c r="N102" s="86">
        <v>4.84</v>
      </c>
    </row>
    <row r="103" spans="1:14" ht="67.5" x14ac:dyDescent="0.2">
      <c r="A103" s="84">
        <v>61</v>
      </c>
      <c r="B103" s="85" t="s">
        <v>563</v>
      </c>
      <c r="C103" s="85" t="s">
        <v>564</v>
      </c>
      <c r="D103" s="84">
        <v>4</v>
      </c>
      <c r="E103" s="86" t="s">
        <v>565</v>
      </c>
      <c r="F103" s="86"/>
      <c r="G103" s="86">
        <v>1.31</v>
      </c>
      <c r="H103" s="87" t="s">
        <v>566</v>
      </c>
      <c r="I103" s="88">
        <v>696.32</v>
      </c>
      <c r="J103" s="86">
        <v>672.48</v>
      </c>
      <c r="K103" s="86"/>
      <c r="L103" s="86" t="str">
        <f>IF(4*1.31=0," ",TEXT(,ROUND((4*1.31*4.55),2)))</f>
        <v>23.84</v>
      </c>
      <c r="M103" s="86">
        <v>1.03</v>
      </c>
      <c r="N103" s="86">
        <v>4.12</v>
      </c>
    </row>
    <row r="104" spans="1:14" ht="67.5" x14ac:dyDescent="0.2">
      <c r="A104" s="84">
        <v>62</v>
      </c>
      <c r="B104" s="85" t="s">
        <v>567</v>
      </c>
      <c r="C104" s="85" t="s">
        <v>568</v>
      </c>
      <c r="D104" s="84">
        <v>4</v>
      </c>
      <c r="E104" s="86">
        <v>1006.9</v>
      </c>
      <c r="F104" s="86"/>
      <c r="G104" s="86"/>
      <c r="H104" s="87" t="s">
        <v>486</v>
      </c>
      <c r="I104" s="88">
        <v>15425.72</v>
      </c>
      <c r="J104" s="86"/>
      <c r="K104" s="86"/>
      <c r="L104" s="86" t="str">
        <f>IF(4*0=0," ",TEXT(,ROUND((4*0*3.83),2)))</f>
        <v xml:space="preserve"> </v>
      </c>
      <c r="M104" s="86"/>
      <c r="N104" s="86"/>
    </row>
    <row r="105" spans="1:14" ht="180" x14ac:dyDescent="0.2">
      <c r="A105" s="84">
        <v>63</v>
      </c>
      <c r="B105" s="85" t="s">
        <v>569</v>
      </c>
      <c r="C105" s="85" t="s">
        <v>570</v>
      </c>
      <c r="D105" s="84">
        <v>1</v>
      </c>
      <c r="E105" s="86" t="s">
        <v>571</v>
      </c>
      <c r="F105" s="86" t="s">
        <v>572</v>
      </c>
      <c r="G105" s="86">
        <v>16947.71</v>
      </c>
      <c r="H105" s="87" t="s">
        <v>573</v>
      </c>
      <c r="I105" s="88">
        <v>43362.38</v>
      </c>
      <c r="J105" s="86">
        <v>2498.62</v>
      </c>
      <c r="K105" s="86" t="s">
        <v>574</v>
      </c>
      <c r="L105" s="86" t="str">
        <f>IF(1*16947.71=0," ",TEXT(,ROUND((1*16947.71*2.35),2)))</f>
        <v>39827.12</v>
      </c>
      <c r="M105" s="86" t="s">
        <v>575</v>
      </c>
      <c r="N105" s="86" t="s">
        <v>575</v>
      </c>
    </row>
    <row r="106" spans="1:14" ht="67.5" x14ac:dyDescent="0.2">
      <c r="A106" s="84">
        <v>64</v>
      </c>
      <c r="B106" s="85" t="s">
        <v>576</v>
      </c>
      <c r="C106" s="85" t="s">
        <v>577</v>
      </c>
      <c r="D106" s="84">
        <v>-1</v>
      </c>
      <c r="E106" s="86">
        <v>16518</v>
      </c>
      <c r="F106" s="86"/>
      <c r="G106" s="86"/>
      <c r="H106" s="87" t="s">
        <v>578</v>
      </c>
      <c r="I106" s="88">
        <v>-31086.880000000001</v>
      </c>
      <c r="J106" s="86"/>
      <c r="K106" s="86"/>
      <c r="L106" s="86" t="str">
        <f>IF(-1*0=0," ",TEXT(,ROUND((-1*0*1.882),2)))</f>
        <v xml:space="preserve"> </v>
      </c>
      <c r="M106" s="86"/>
      <c r="N106" s="86"/>
    </row>
    <row r="107" spans="1:14" ht="90" x14ac:dyDescent="0.2">
      <c r="A107" s="84">
        <v>65</v>
      </c>
      <c r="B107" s="85" t="s">
        <v>579</v>
      </c>
      <c r="C107" s="85" t="s">
        <v>580</v>
      </c>
      <c r="D107" s="84">
        <v>-1</v>
      </c>
      <c r="E107" s="86">
        <v>45</v>
      </c>
      <c r="F107" s="86"/>
      <c r="G107" s="86">
        <v>45</v>
      </c>
      <c r="H107" s="87" t="s">
        <v>581</v>
      </c>
      <c r="I107" s="88">
        <v>-252.27</v>
      </c>
      <c r="J107" s="86"/>
      <c r="K107" s="86"/>
      <c r="L107" s="86" t="str">
        <f>IF(-1*45=0," ",TEXT(,ROUND((-1*45*5.606),2)))</f>
        <v>-252.27</v>
      </c>
      <c r="M107" s="86"/>
      <c r="N107" s="86"/>
    </row>
    <row r="108" spans="1:14" ht="90" x14ac:dyDescent="0.2">
      <c r="A108" s="84">
        <v>66</v>
      </c>
      <c r="B108" s="85" t="s">
        <v>582</v>
      </c>
      <c r="C108" s="85" t="s">
        <v>583</v>
      </c>
      <c r="D108" s="84">
        <v>-1</v>
      </c>
      <c r="E108" s="86">
        <v>61</v>
      </c>
      <c r="F108" s="86"/>
      <c r="G108" s="86">
        <v>61</v>
      </c>
      <c r="H108" s="87" t="s">
        <v>584</v>
      </c>
      <c r="I108" s="88">
        <v>-454.21</v>
      </c>
      <c r="J108" s="86"/>
      <c r="K108" s="86"/>
      <c r="L108" s="86" t="str">
        <f>IF(-1*61=0," ",TEXT(,ROUND((-1*61*7.446),2)))</f>
        <v>-454.21</v>
      </c>
      <c r="M108" s="86"/>
      <c r="N108" s="86"/>
    </row>
    <row r="109" spans="1:14" ht="90" x14ac:dyDescent="0.2">
      <c r="A109" s="84">
        <v>67</v>
      </c>
      <c r="B109" s="85" t="s">
        <v>585</v>
      </c>
      <c r="C109" s="85" t="s">
        <v>586</v>
      </c>
      <c r="D109" s="84">
        <v>-2</v>
      </c>
      <c r="E109" s="86">
        <v>75</v>
      </c>
      <c r="F109" s="86"/>
      <c r="G109" s="86">
        <v>75</v>
      </c>
      <c r="H109" s="87" t="s">
        <v>587</v>
      </c>
      <c r="I109" s="88">
        <v>-1179.1600000000001</v>
      </c>
      <c r="J109" s="86"/>
      <c r="K109" s="86"/>
      <c r="L109" s="86" t="str">
        <f>IF(-2*75=0," ",TEXT(,ROUND((-2*75*7.861),2)))</f>
        <v>-1179.15</v>
      </c>
      <c r="M109" s="86"/>
      <c r="N109" s="86"/>
    </row>
    <row r="110" spans="1:14" ht="78.75" x14ac:dyDescent="0.2">
      <c r="A110" s="84">
        <v>68</v>
      </c>
      <c r="B110" s="85" t="s">
        <v>588</v>
      </c>
      <c r="C110" s="85" t="s">
        <v>589</v>
      </c>
      <c r="D110" s="84">
        <v>1</v>
      </c>
      <c r="E110" s="86">
        <v>55665.39</v>
      </c>
      <c r="F110" s="86"/>
      <c r="G110" s="86"/>
      <c r="H110" s="87" t="s">
        <v>486</v>
      </c>
      <c r="I110" s="88">
        <v>213198.44</v>
      </c>
      <c r="J110" s="86"/>
      <c r="K110" s="86"/>
      <c r="L110" s="86" t="str">
        <f>IF(1*0=0," ",TEXT(,ROUND((1*0*3.83),2)))</f>
        <v xml:space="preserve"> </v>
      </c>
      <c r="M110" s="86"/>
      <c r="N110" s="86"/>
    </row>
    <row r="111" spans="1:14" ht="90" x14ac:dyDescent="0.2">
      <c r="A111" s="89">
        <v>69</v>
      </c>
      <c r="B111" s="90" t="s">
        <v>590</v>
      </c>
      <c r="C111" s="90" t="s">
        <v>591</v>
      </c>
      <c r="D111" s="89">
        <v>4</v>
      </c>
      <c r="E111" s="91">
        <v>25</v>
      </c>
      <c r="F111" s="91"/>
      <c r="G111" s="91">
        <v>25</v>
      </c>
      <c r="H111" s="92" t="s">
        <v>592</v>
      </c>
      <c r="I111" s="93">
        <v>835.72</v>
      </c>
      <c r="J111" s="91"/>
      <c r="K111" s="91"/>
      <c r="L111" s="91" t="str">
        <f>IF(4*25=0," ",TEXT(,ROUND((4*25*8.357),2)))</f>
        <v>835.7</v>
      </c>
      <c r="M111" s="91"/>
      <c r="N111" s="91"/>
    </row>
    <row r="112" spans="1:14" ht="22.5" x14ac:dyDescent="0.2">
      <c r="A112" s="110" t="s">
        <v>337</v>
      </c>
      <c r="B112" s="111"/>
      <c r="C112" s="111"/>
      <c r="D112" s="111"/>
      <c r="E112" s="111"/>
      <c r="F112" s="111"/>
      <c r="G112" s="111"/>
      <c r="H112" s="111"/>
      <c r="I112" s="88">
        <v>597441.17000000004</v>
      </c>
      <c r="J112" s="86">
        <v>28978.48</v>
      </c>
      <c r="K112" s="86" t="s">
        <v>593</v>
      </c>
      <c r="L112" s="86">
        <v>391956.5</v>
      </c>
      <c r="M112" s="86"/>
      <c r="N112" s="86" t="s">
        <v>594</v>
      </c>
    </row>
    <row r="113" spans="1:14" x14ac:dyDescent="0.2">
      <c r="A113" s="110" t="s">
        <v>340</v>
      </c>
      <c r="B113" s="111"/>
      <c r="C113" s="111"/>
      <c r="D113" s="111"/>
      <c r="E113" s="111"/>
      <c r="F113" s="111"/>
      <c r="G113" s="111"/>
      <c r="H113" s="111"/>
      <c r="I113" s="88">
        <v>27927.29</v>
      </c>
      <c r="J113" s="86"/>
      <c r="K113" s="86"/>
      <c r="L113" s="86"/>
      <c r="M113" s="86"/>
      <c r="N113" s="86"/>
    </row>
    <row r="114" spans="1:14" x14ac:dyDescent="0.2">
      <c r="A114" s="110" t="s">
        <v>341</v>
      </c>
      <c r="B114" s="111"/>
      <c r="C114" s="111"/>
      <c r="D114" s="111"/>
      <c r="E114" s="111"/>
      <c r="F114" s="111"/>
      <c r="G114" s="111"/>
      <c r="H114" s="111"/>
      <c r="I114" s="88"/>
      <c r="J114" s="86"/>
      <c r="K114" s="86"/>
      <c r="L114" s="86"/>
      <c r="M114" s="86"/>
      <c r="N114" s="86"/>
    </row>
    <row r="115" spans="1:14" x14ac:dyDescent="0.2">
      <c r="A115" s="110" t="s">
        <v>595</v>
      </c>
      <c r="B115" s="111"/>
      <c r="C115" s="111"/>
      <c r="D115" s="111"/>
      <c r="E115" s="111"/>
      <c r="F115" s="111"/>
      <c r="G115" s="111"/>
      <c r="H115" s="111"/>
      <c r="I115" s="88">
        <v>1161.05</v>
      </c>
      <c r="J115" s="86"/>
      <c r="K115" s="86"/>
      <c r="L115" s="86"/>
      <c r="M115" s="86"/>
      <c r="N115" s="86"/>
    </row>
    <row r="116" spans="1:14" x14ac:dyDescent="0.2">
      <c r="A116" s="110" t="s">
        <v>596</v>
      </c>
      <c r="B116" s="111"/>
      <c r="C116" s="111"/>
      <c r="D116" s="111"/>
      <c r="E116" s="111"/>
      <c r="F116" s="111"/>
      <c r="G116" s="111"/>
      <c r="H116" s="111"/>
      <c r="I116" s="88">
        <v>639.58000000000004</v>
      </c>
      <c r="J116" s="86"/>
      <c r="K116" s="86"/>
      <c r="L116" s="86"/>
      <c r="M116" s="86"/>
      <c r="N116" s="86"/>
    </row>
    <row r="117" spans="1:14" x14ac:dyDescent="0.2">
      <c r="A117" s="110" t="s">
        <v>597</v>
      </c>
      <c r="B117" s="111"/>
      <c r="C117" s="111"/>
      <c r="D117" s="111"/>
      <c r="E117" s="111"/>
      <c r="F117" s="111"/>
      <c r="G117" s="111"/>
      <c r="H117" s="111"/>
      <c r="I117" s="88">
        <v>26126.66</v>
      </c>
      <c r="J117" s="86"/>
      <c r="K117" s="86"/>
      <c r="L117" s="86"/>
      <c r="M117" s="86"/>
      <c r="N117" s="86"/>
    </row>
    <row r="118" spans="1:14" x14ac:dyDescent="0.2">
      <c r="A118" s="110" t="s">
        <v>344</v>
      </c>
      <c r="B118" s="111"/>
      <c r="C118" s="111"/>
      <c r="D118" s="111"/>
      <c r="E118" s="111"/>
      <c r="F118" s="111"/>
      <c r="G118" s="111"/>
      <c r="H118" s="111"/>
      <c r="I118" s="88">
        <v>16159.68</v>
      </c>
      <c r="J118" s="86"/>
      <c r="K118" s="86"/>
      <c r="L118" s="86"/>
      <c r="M118" s="86"/>
      <c r="N118" s="86"/>
    </row>
    <row r="119" spans="1:14" x14ac:dyDescent="0.2">
      <c r="A119" s="110" t="s">
        <v>341</v>
      </c>
      <c r="B119" s="111"/>
      <c r="C119" s="111"/>
      <c r="D119" s="111"/>
      <c r="E119" s="111"/>
      <c r="F119" s="111"/>
      <c r="G119" s="111"/>
      <c r="H119" s="111"/>
      <c r="I119" s="88"/>
      <c r="J119" s="86"/>
      <c r="K119" s="86"/>
      <c r="L119" s="86"/>
      <c r="M119" s="86"/>
      <c r="N119" s="86"/>
    </row>
    <row r="120" spans="1:14" x14ac:dyDescent="0.2">
      <c r="A120" s="110" t="s">
        <v>598</v>
      </c>
      <c r="B120" s="111"/>
      <c r="C120" s="111"/>
      <c r="D120" s="111"/>
      <c r="E120" s="111"/>
      <c r="F120" s="111"/>
      <c r="G120" s="111"/>
      <c r="H120" s="111"/>
      <c r="I120" s="88">
        <v>819.57</v>
      </c>
      <c r="J120" s="86"/>
      <c r="K120" s="86"/>
      <c r="L120" s="86"/>
      <c r="M120" s="86"/>
      <c r="N120" s="86"/>
    </row>
    <row r="121" spans="1:14" x14ac:dyDescent="0.2">
      <c r="A121" s="110" t="s">
        <v>599</v>
      </c>
      <c r="B121" s="111"/>
      <c r="C121" s="111"/>
      <c r="D121" s="111"/>
      <c r="E121" s="111"/>
      <c r="F121" s="111"/>
      <c r="G121" s="111"/>
      <c r="H121" s="111"/>
      <c r="I121" s="88">
        <v>410.59</v>
      </c>
      <c r="J121" s="86"/>
      <c r="K121" s="86"/>
      <c r="L121" s="86"/>
      <c r="M121" s="86"/>
      <c r="N121" s="86"/>
    </row>
    <row r="122" spans="1:14" x14ac:dyDescent="0.2">
      <c r="A122" s="110" t="s">
        <v>600</v>
      </c>
      <c r="B122" s="111"/>
      <c r="C122" s="111"/>
      <c r="D122" s="111"/>
      <c r="E122" s="111"/>
      <c r="F122" s="111"/>
      <c r="G122" s="111"/>
      <c r="H122" s="111"/>
      <c r="I122" s="88">
        <v>14929.52</v>
      </c>
      <c r="J122" s="86"/>
      <c r="K122" s="86"/>
      <c r="L122" s="86"/>
      <c r="M122" s="86"/>
      <c r="N122" s="86"/>
    </row>
    <row r="123" spans="1:14" x14ac:dyDescent="0.2">
      <c r="A123" s="134" t="s">
        <v>601</v>
      </c>
      <c r="B123" s="109"/>
      <c r="C123" s="109"/>
      <c r="D123" s="109"/>
      <c r="E123" s="109"/>
      <c r="F123" s="109"/>
      <c r="G123" s="109"/>
      <c r="H123" s="109"/>
      <c r="I123" s="88"/>
      <c r="J123" s="86"/>
      <c r="K123" s="86"/>
      <c r="L123" s="86"/>
      <c r="M123" s="86"/>
      <c r="N123" s="86"/>
    </row>
    <row r="124" spans="1:14" ht="22.5" x14ac:dyDescent="0.2">
      <c r="A124" s="110" t="s">
        <v>602</v>
      </c>
      <c r="B124" s="111"/>
      <c r="C124" s="111"/>
      <c r="D124" s="111"/>
      <c r="E124" s="111"/>
      <c r="F124" s="111"/>
      <c r="G124" s="111"/>
      <c r="H124" s="111"/>
      <c r="I124" s="88">
        <v>459969.99</v>
      </c>
      <c r="J124" s="86"/>
      <c r="K124" s="86"/>
      <c r="L124" s="86"/>
      <c r="M124" s="86"/>
      <c r="N124" s="86" t="s">
        <v>603</v>
      </c>
    </row>
    <row r="125" spans="1:14" x14ac:dyDescent="0.2">
      <c r="A125" s="110" t="s">
        <v>604</v>
      </c>
      <c r="B125" s="111"/>
      <c r="C125" s="111"/>
      <c r="D125" s="111"/>
      <c r="E125" s="111"/>
      <c r="F125" s="111"/>
      <c r="G125" s="111"/>
      <c r="H125" s="111"/>
      <c r="I125" s="88">
        <v>9340.56</v>
      </c>
      <c r="J125" s="86"/>
      <c r="K125" s="86"/>
      <c r="L125" s="86"/>
      <c r="M125" s="86"/>
      <c r="N125" s="86">
        <v>15.5</v>
      </c>
    </row>
    <row r="126" spans="1:14" x14ac:dyDescent="0.2">
      <c r="A126" s="110" t="s">
        <v>605</v>
      </c>
      <c r="B126" s="111"/>
      <c r="C126" s="111"/>
      <c r="D126" s="111"/>
      <c r="E126" s="111"/>
      <c r="F126" s="111"/>
      <c r="G126" s="111"/>
      <c r="H126" s="111"/>
      <c r="I126" s="88">
        <v>172217.59</v>
      </c>
      <c r="J126" s="86"/>
      <c r="K126" s="86"/>
      <c r="L126" s="86"/>
      <c r="M126" s="86"/>
      <c r="N126" s="86"/>
    </row>
    <row r="127" spans="1:14" ht="22.5" x14ac:dyDescent="0.2">
      <c r="A127" s="110" t="s">
        <v>350</v>
      </c>
      <c r="B127" s="111"/>
      <c r="C127" s="111"/>
      <c r="D127" s="111"/>
      <c r="E127" s="111"/>
      <c r="F127" s="111"/>
      <c r="G127" s="111"/>
      <c r="H127" s="111"/>
      <c r="I127" s="88">
        <v>641528.14</v>
      </c>
      <c r="J127" s="86"/>
      <c r="K127" s="86"/>
      <c r="L127" s="86"/>
      <c r="M127" s="86"/>
      <c r="N127" s="86" t="s">
        <v>594</v>
      </c>
    </row>
    <row r="128" spans="1:14" x14ac:dyDescent="0.2">
      <c r="A128" s="110" t="s">
        <v>351</v>
      </c>
      <c r="B128" s="111"/>
      <c r="C128" s="111"/>
      <c r="D128" s="111"/>
      <c r="E128" s="111"/>
      <c r="F128" s="111"/>
      <c r="G128" s="111"/>
      <c r="H128" s="111"/>
      <c r="I128" s="88"/>
      <c r="J128" s="86"/>
      <c r="K128" s="86"/>
      <c r="L128" s="86"/>
      <c r="M128" s="86"/>
      <c r="N128" s="86"/>
    </row>
    <row r="129" spans="1:14" x14ac:dyDescent="0.2">
      <c r="A129" s="110" t="s">
        <v>352</v>
      </c>
      <c r="B129" s="111"/>
      <c r="C129" s="111"/>
      <c r="D129" s="111"/>
      <c r="E129" s="111"/>
      <c r="F129" s="111"/>
      <c r="G129" s="111"/>
      <c r="H129" s="111"/>
      <c r="I129" s="88">
        <v>391956.5</v>
      </c>
      <c r="J129" s="86"/>
      <c r="K129" s="86"/>
      <c r="L129" s="86"/>
      <c r="M129" s="86"/>
      <c r="N129" s="86"/>
    </row>
    <row r="130" spans="1:14" x14ac:dyDescent="0.2">
      <c r="A130" s="110" t="s">
        <v>353</v>
      </c>
      <c r="B130" s="111"/>
      <c r="C130" s="111"/>
      <c r="D130" s="111"/>
      <c r="E130" s="111"/>
      <c r="F130" s="111"/>
      <c r="G130" s="111"/>
      <c r="H130" s="111"/>
      <c r="I130" s="88">
        <v>4288.6000000000004</v>
      </c>
      <c r="J130" s="86"/>
      <c r="K130" s="86"/>
      <c r="L130" s="86"/>
      <c r="M130" s="86"/>
      <c r="N130" s="86"/>
    </row>
    <row r="131" spans="1:14" x14ac:dyDescent="0.2">
      <c r="A131" s="110" t="s">
        <v>354</v>
      </c>
      <c r="B131" s="111"/>
      <c r="C131" s="111"/>
      <c r="D131" s="111"/>
      <c r="E131" s="111"/>
      <c r="F131" s="111"/>
      <c r="G131" s="111"/>
      <c r="H131" s="111"/>
      <c r="I131" s="88">
        <v>29156.89</v>
      </c>
      <c r="J131" s="86"/>
      <c r="K131" s="86"/>
      <c r="L131" s="86"/>
      <c r="M131" s="86"/>
      <c r="N131" s="86"/>
    </row>
    <row r="132" spans="1:14" x14ac:dyDescent="0.2">
      <c r="A132" s="110" t="s">
        <v>606</v>
      </c>
      <c r="B132" s="111"/>
      <c r="C132" s="111"/>
      <c r="D132" s="111"/>
      <c r="E132" s="111"/>
      <c r="F132" s="111"/>
      <c r="G132" s="111"/>
      <c r="H132" s="111"/>
      <c r="I132" s="88">
        <v>172217.59</v>
      </c>
      <c r="J132" s="86"/>
      <c r="K132" s="86"/>
      <c r="L132" s="86"/>
      <c r="M132" s="86"/>
      <c r="N132" s="86"/>
    </row>
    <row r="133" spans="1:14" x14ac:dyDescent="0.2">
      <c r="A133" s="110" t="s">
        <v>355</v>
      </c>
      <c r="B133" s="111"/>
      <c r="C133" s="111"/>
      <c r="D133" s="111"/>
      <c r="E133" s="111"/>
      <c r="F133" s="111"/>
      <c r="G133" s="111"/>
      <c r="H133" s="111"/>
      <c r="I133" s="88">
        <v>27927.29</v>
      </c>
      <c r="J133" s="86"/>
      <c r="K133" s="86"/>
      <c r="L133" s="86"/>
      <c r="M133" s="86"/>
      <c r="N133" s="86"/>
    </row>
    <row r="134" spans="1:14" x14ac:dyDescent="0.2">
      <c r="A134" s="110" t="s">
        <v>356</v>
      </c>
      <c r="B134" s="111"/>
      <c r="C134" s="111"/>
      <c r="D134" s="111"/>
      <c r="E134" s="111"/>
      <c r="F134" s="111"/>
      <c r="G134" s="111"/>
      <c r="H134" s="111"/>
      <c r="I134" s="88">
        <v>16159.68</v>
      </c>
      <c r="J134" s="86"/>
      <c r="K134" s="86"/>
      <c r="L134" s="86"/>
      <c r="M134" s="86"/>
      <c r="N134" s="86"/>
    </row>
    <row r="135" spans="1:14" ht="22.5" x14ac:dyDescent="0.2">
      <c r="A135" s="135" t="s">
        <v>607</v>
      </c>
      <c r="B135" s="136"/>
      <c r="C135" s="136"/>
      <c r="D135" s="136"/>
      <c r="E135" s="136"/>
      <c r="F135" s="136"/>
      <c r="G135" s="136"/>
      <c r="H135" s="136"/>
      <c r="I135" s="93">
        <v>641528.14</v>
      </c>
      <c r="J135" s="91"/>
      <c r="K135" s="91"/>
      <c r="L135" s="91"/>
      <c r="M135" s="91"/>
      <c r="N135" s="91" t="s">
        <v>594</v>
      </c>
    </row>
    <row r="136" spans="1:14" ht="17.850000000000001" customHeight="1" x14ac:dyDescent="0.2">
      <c r="A136" s="108" t="s">
        <v>608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</row>
    <row r="137" spans="1:14" ht="67.5" x14ac:dyDescent="0.2">
      <c r="A137" s="84">
        <v>70</v>
      </c>
      <c r="B137" s="85" t="s">
        <v>609</v>
      </c>
      <c r="C137" s="85" t="s">
        <v>610</v>
      </c>
      <c r="D137" s="84">
        <v>1</v>
      </c>
      <c r="E137" s="86" t="s">
        <v>611</v>
      </c>
      <c r="F137" s="86"/>
      <c r="G137" s="86">
        <v>1.0900000000000001</v>
      </c>
      <c r="H137" s="87" t="s">
        <v>612</v>
      </c>
      <c r="I137" s="88">
        <v>88.04</v>
      </c>
      <c r="J137" s="86">
        <v>84.88</v>
      </c>
      <c r="K137" s="86"/>
      <c r="L137" s="86" t="str">
        <f>IF(1*1.09=0," ",TEXT(,ROUND((1*1.09*2.9),2)))</f>
        <v>3.16</v>
      </c>
      <c r="M137" s="86">
        <v>0.52</v>
      </c>
      <c r="N137" s="86">
        <v>0.52</v>
      </c>
    </row>
    <row r="138" spans="1:14" ht="67.5" x14ac:dyDescent="0.2">
      <c r="A138" s="84">
        <v>71</v>
      </c>
      <c r="B138" s="85" t="s">
        <v>613</v>
      </c>
      <c r="C138" s="85" t="s">
        <v>614</v>
      </c>
      <c r="D138" s="84">
        <v>1</v>
      </c>
      <c r="E138" s="86">
        <v>2676.24</v>
      </c>
      <c r="F138" s="86"/>
      <c r="G138" s="86"/>
      <c r="H138" s="87" t="s">
        <v>486</v>
      </c>
      <c r="I138" s="88">
        <v>10250</v>
      </c>
      <c r="J138" s="86"/>
      <c r="K138" s="86"/>
      <c r="L138" s="86" t="str">
        <f>IF(1*0=0," ",TEXT(,ROUND((1*0*3.83),2)))</f>
        <v xml:space="preserve"> </v>
      </c>
      <c r="M138" s="86"/>
      <c r="N138" s="86"/>
    </row>
    <row r="139" spans="1:14" ht="67.5" x14ac:dyDescent="0.2">
      <c r="A139" s="84">
        <v>72</v>
      </c>
      <c r="B139" s="85" t="s">
        <v>609</v>
      </c>
      <c r="C139" s="85" t="s">
        <v>610</v>
      </c>
      <c r="D139" s="84">
        <v>5</v>
      </c>
      <c r="E139" s="86" t="s">
        <v>611</v>
      </c>
      <c r="F139" s="86"/>
      <c r="G139" s="86">
        <v>1.0900000000000001</v>
      </c>
      <c r="H139" s="87" t="s">
        <v>612</v>
      </c>
      <c r="I139" s="88">
        <v>440.2</v>
      </c>
      <c r="J139" s="86">
        <v>424.4</v>
      </c>
      <c r="K139" s="86"/>
      <c r="L139" s="86" t="str">
        <f>IF(5*1.09=0," ",TEXT(,ROUND((5*1.09*2.9),2)))</f>
        <v>15.81</v>
      </c>
      <c r="M139" s="86">
        <v>0.52</v>
      </c>
      <c r="N139" s="86">
        <v>2.6</v>
      </c>
    </row>
    <row r="140" spans="1:14" ht="67.5" x14ac:dyDescent="0.2">
      <c r="A140" s="84">
        <v>73</v>
      </c>
      <c r="B140" s="85" t="s">
        <v>613</v>
      </c>
      <c r="C140" s="85" t="s">
        <v>615</v>
      </c>
      <c r="D140" s="84">
        <v>1</v>
      </c>
      <c r="E140" s="86">
        <v>144.13</v>
      </c>
      <c r="F140" s="86"/>
      <c r="G140" s="86"/>
      <c r="H140" s="87" t="s">
        <v>486</v>
      </c>
      <c r="I140" s="88">
        <v>552.02</v>
      </c>
      <c r="J140" s="86"/>
      <c r="K140" s="86"/>
      <c r="L140" s="86" t="str">
        <f>IF(1*0=0," ",TEXT(,ROUND((1*0*3.83),2)))</f>
        <v xml:space="preserve"> </v>
      </c>
      <c r="M140" s="86"/>
      <c r="N140" s="86"/>
    </row>
    <row r="141" spans="1:14" ht="67.5" x14ac:dyDescent="0.2">
      <c r="A141" s="84">
        <v>74</v>
      </c>
      <c r="B141" s="85" t="s">
        <v>613</v>
      </c>
      <c r="C141" s="85" t="s">
        <v>616</v>
      </c>
      <c r="D141" s="84">
        <v>3</v>
      </c>
      <c r="E141" s="86">
        <v>169.71</v>
      </c>
      <c r="F141" s="86"/>
      <c r="G141" s="86"/>
      <c r="H141" s="87" t="s">
        <v>486</v>
      </c>
      <c r="I141" s="88">
        <v>1949.97</v>
      </c>
      <c r="J141" s="86"/>
      <c r="K141" s="86"/>
      <c r="L141" s="86" t="str">
        <f>IF(3*0=0," ",TEXT(,ROUND((3*0*3.83),2)))</f>
        <v xml:space="preserve"> </v>
      </c>
      <c r="M141" s="86"/>
      <c r="N141" s="86"/>
    </row>
    <row r="142" spans="1:14" ht="67.5" x14ac:dyDescent="0.2">
      <c r="A142" s="84">
        <v>75</v>
      </c>
      <c r="B142" s="85" t="s">
        <v>613</v>
      </c>
      <c r="C142" s="85" t="s">
        <v>617</v>
      </c>
      <c r="D142" s="84">
        <v>1</v>
      </c>
      <c r="E142" s="86">
        <v>200.52</v>
      </c>
      <c r="F142" s="86"/>
      <c r="G142" s="86"/>
      <c r="H142" s="87" t="s">
        <v>486</v>
      </c>
      <c r="I142" s="88">
        <v>767.99</v>
      </c>
      <c r="J142" s="86"/>
      <c r="K142" s="86"/>
      <c r="L142" s="86" t="str">
        <f>IF(1*0=0," ",TEXT(,ROUND((1*0*3.83),2)))</f>
        <v xml:space="preserve"> </v>
      </c>
      <c r="M142" s="86"/>
      <c r="N142" s="86"/>
    </row>
    <row r="143" spans="1:14" ht="45" x14ac:dyDescent="0.2">
      <c r="A143" s="84">
        <v>76</v>
      </c>
      <c r="B143" s="85" t="s">
        <v>613</v>
      </c>
      <c r="C143" s="85" t="s">
        <v>618</v>
      </c>
      <c r="D143" s="84">
        <v>3</v>
      </c>
      <c r="E143" s="86">
        <v>105.38</v>
      </c>
      <c r="F143" s="86"/>
      <c r="G143" s="86">
        <v>105.38</v>
      </c>
      <c r="H143" s="87" t="s">
        <v>442</v>
      </c>
      <c r="I143" s="88">
        <v>1764.06</v>
      </c>
      <c r="J143" s="86"/>
      <c r="K143" s="86"/>
      <c r="L143" s="86" t="str">
        <f>IF(3*105.38=0," ",TEXT(,ROUND((3*105.38*5.58),2)))</f>
        <v>1764.06</v>
      </c>
      <c r="M143" s="86"/>
      <c r="N143" s="86"/>
    </row>
    <row r="144" spans="1:14" ht="45" x14ac:dyDescent="0.2">
      <c r="A144" s="84">
        <v>77</v>
      </c>
      <c r="B144" s="85" t="s">
        <v>613</v>
      </c>
      <c r="C144" s="85" t="s">
        <v>619</v>
      </c>
      <c r="D144" s="84">
        <v>1</v>
      </c>
      <c r="E144" s="86">
        <v>109.32</v>
      </c>
      <c r="F144" s="86"/>
      <c r="G144" s="86">
        <v>109.32</v>
      </c>
      <c r="H144" s="87" t="s">
        <v>442</v>
      </c>
      <c r="I144" s="88">
        <v>610.01</v>
      </c>
      <c r="J144" s="86"/>
      <c r="K144" s="86"/>
      <c r="L144" s="86" t="str">
        <f>IF(1*109.32=0," ",TEXT(,ROUND((1*109.32*5.58),2)))</f>
        <v>610.01</v>
      </c>
      <c r="M144" s="86"/>
      <c r="N144" s="86"/>
    </row>
    <row r="145" spans="1:14" ht="78.75" x14ac:dyDescent="0.2">
      <c r="A145" s="84">
        <v>78</v>
      </c>
      <c r="B145" s="85" t="s">
        <v>491</v>
      </c>
      <c r="C145" s="85" t="s">
        <v>620</v>
      </c>
      <c r="D145" s="84">
        <v>0.04</v>
      </c>
      <c r="E145" s="86" t="s">
        <v>493</v>
      </c>
      <c r="F145" s="86">
        <v>444.35</v>
      </c>
      <c r="G145" s="86">
        <v>1910.96</v>
      </c>
      <c r="H145" s="87" t="s">
        <v>494</v>
      </c>
      <c r="I145" s="88">
        <v>1605.11</v>
      </c>
      <c r="J145" s="86">
        <v>413.98</v>
      </c>
      <c r="K145" s="86">
        <v>106.47</v>
      </c>
      <c r="L145" s="86" t="str">
        <f>IF(0.04*1910.96=0," ",TEXT(,ROUND((0.04*1910.96*14.19),2)))</f>
        <v>1084.66</v>
      </c>
      <c r="M145" s="86">
        <v>65.400000000000006</v>
      </c>
      <c r="N145" s="86">
        <v>2.62</v>
      </c>
    </row>
    <row r="146" spans="1:14" ht="67.5" x14ac:dyDescent="0.2">
      <c r="A146" s="84">
        <v>79</v>
      </c>
      <c r="B146" s="85" t="s">
        <v>621</v>
      </c>
      <c r="C146" s="85" t="s">
        <v>622</v>
      </c>
      <c r="D146" s="84">
        <v>-4</v>
      </c>
      <c r="E146" s="86">
        <v>9.4</v>
      </c>
      <c r="F146" s="86"/>
      <c r="G146" s="86">
        <v>9.4</v>
      </c>
      <c r="H146" s="87" t="s">
        <v>623</v>
      </c>
      <c r="I146" s="88">
        <v>-415.84</v>
      </c>
      <c r="J146" s="86"/>
      <c r="K146" s="86"/>
      <c r="L146" s="86" t="str">
        <f>IF(-4*9.4=0," ",TEXT(,ROUND((-4*9.4*11.06),2)))</f>
        <v>-415.86</v>
      </c>
      <c r="M146" s="86"/>
      <c r="N146" s="86"/>
    </row>
    <row r="147" spans="1:14" ht="45" x14ac:dyDescent="0.2">
      <c r="A147" s="84">
        <v>80</v>
      </c>
      <c r="B147" s="85" t="s">
        <v>613</v>
      </c>
      <c r="C147" s="85" t="s">
        <v>624</v>
      </c>
      <c r="D147" s="84">
        <v>4</v>
      </c>
      <c r="E147" s="86">
        <v>39.43</v>
      </c>
      <c r="F147" s="86"/>
      <c r="G147" s="86">
        <v>39.43</v>
      </c>
      <c r="H147" s="87" t="s">
        <v>442</v>
      </c>
      <c r="I147" s="88">
        <v>880.08</v>
      </c>
      <c r="J147" s="86"/>
      <c r="K147" s="86"/>
      <c r="L147" s="86" t="str">
        <f>IF(4*39.43=0," ",TEXT(,ROUND((4*39.43*5.58),2)))</f>
        <v>880.08</v>
      </c>
      <c r="M147" s="86"/>
      <c r="N147" s="86"/>
    </row>
    <row r="148" spans="1:14" ht="90" x14ac:dyDescent="0.2">
      <c r="A148" s="84">
        <v>81</v>
      </c>
      <c r="B148" s="85" t="s">
        <v>625</v>
      </c>
      <c r="C148" s="85" t="s">
        <v>626</v>
      </c>
      <c r="D148" s="84">
        <v>1</v>
      </c>
      <c r="E148" s="86" t="s">
        <v>627</v>
      </c>
      <c r="F148" s="86">
        <v>1.74</v>
      </c>
      <c r="G148" s="86">
        <v>2.5299999999999998</v>
      </c>
      <c r="H148" s="87" t="s">
        <v>628</v>
      </c>
      <c r="I148" s="88">
        <v>727.26</v>
      </c>
      <c r="J148" s="86">
        <v>696.33</v>
      </c>
      <c r="K148" s="86">
        <v>15.57</v>
      </c>
      <c r="L148" s="86" t="str">
        <f>IF(1*2.53=0," ",TEXT(,ROUND((1*2.53*6.07),2)))</f>
        <v>15.36</v>
      </c>
      <c r="M148" s="86">
        <v>4.4000000000000004</v>
      </c>
      <c r="N148" s="86">
        <v>4.4000000000000004</v>
      </c>
    </row>
    <row r="149" spans="1:14" ht="67.5" x14ac:dyDescent="0.2">
      <c r="A149" s="84">
        <v>82</v>
      </c>
      <c r="B149" s="85" t="s">
        <v>629</v>
      </c>
      <c r="C149" s="85" t="s">
        <v>630</v>
      </c>
      <c r="D149" s="84">
        <v>1</v>
      </c>
      <c r="E149" s="86">
        <v>5165.75</v>
      </c>
      <c r="F149" s="86"/>
      <c r="G149" s="86">
        <v>5165.75</v>
      </c>
      <c r="H149" s="87" t="s">
        <v>442</v>
      </c>
      <c r="I149" s="88">
        <v>28824.89</v>
      </c>
      <c r="J149" s="86"/>
      <c r="K149" s="86"/>
      <c r="L149" s="86" t="str">
        <f>IF(1*5165.75=0," ",TEXT(,ROUND((1*5165.75*5.58),2)))</f>
        <v>28824.89</v>
      </c>
      <c r="M149" s="86"/>
      <c r="N149" s="86"/>
    </row>
    <row r="150" spans="1:14" ht="67.5" x14ac:dyDescent="0.2">
      <c r="A150" s="84">
        <v>83</v>
      </c>
      <c r="B150" s="85" t="s">
        <v>631</v>
      </c>
      <c r="C150" s="85" t="s">
        <v>632</v>
      </c>
      <c r="D150" s="84">
        <v>1</v>
      </c>
      <c r="E150" s="86">
        <v>12245.1</v>
      </c>
      <c r="F150" s="86"/>
      <c r="G150" s="86"/>
      <c r="H150" s="87" t="s">
        <v>486</v>
      </c>
      <c r="I150" s="88">
        <v>46898.73</v>
      </c>
      <c r="J150" s="86"/>
      <c r="K150" s="86"/>
      <c r="L150" s="86" t="str">
        <f>IF(1*0=0," ",TEXT(,ROUND((1*0*3.83),2)))</f>
        <v xml:space="preserve"> </v>
      </c>
      <c r="M150" s="86"/>
      <c r="N150" s="86"/>
    </row>
    <row r="151" spans="1:14" ht="90" x14ac:dyDescent="0.2">
      <c r="A151" s="84">
        <v>84</v>
      </c>
      <c r="B151" s="85" t="s">
        <v>633</v>
      </c>
      <c r="C151" s="85" t="s">
        <v>634</v>
      </c>
      <c r="D151" s="84">
        <v>2</v>
      </c>
      <c r="E151" s="86">
        <v>21.47</v>
      </c>
      <c r="F151" s="86"/>
      <c r="G151" s="86">
        <v>21.47</v>
      </c>
      <c r="H151" s="87" t="s">
        <v>635</v>
      </c>
      <c r="I151" s="88">
        <v>258.02</v>
      </c>
      <c r="J151" s="86"/>
      <c r="K151" s="86"/>
      <c r="L151" s="86" t="str">
        <f>IF(2*21.47=0," ",TEXT(,ROUND((2*21.47*6.009),2)))</f>
        <v>258.03</v>
      </c>
      <c r="M151" s="86"/>
      <c r="N151" s="86"/>
    </row>
    <row r="152" spans="1:14" ht="90" x14ac:dyDescent="0.2">
      <c r="A152" s="84">
        <v>85</v>
      </c>
      <c r="B152" s="85" t="s">
        <v>636</v>
      </c>
      <c r="C152" s="85" t="s">
        <v>637</v>
      </c>
      <c r="D152" s="84">
        <v>1</v>
      </c>
      <c r="E152" s="86" t="s">
        <v>638</v>
      </c>
      <c r="F152" s="86">
        <v>2.62</v>
      </c>
      <c r="G152" s="86">
        <v>3.77</v>
      </c>
      <c r="H152" s="87" t="s">
        <v>628</v>
      </c>
      <c r="I152" s="88">
        <v>742.66</v>
      </c>
      <c r="J152" s="86">
        <v>696.33</v>
      </c>
      <c r="K152" s="86">
        <v>23.45</v>
      </c>
      <c r="L152" s="86" t="str">
        <f>IF(1*3.77=0," ",TEXT(,ROUND((1*3.77*6.07),2)))</f>
        <v>22.88</v>
      </c>
      <c r="M152" s="86">
        <v>4.4000000000000004</v>
      </c>
      <c r="N152" s="86">
        <v>4.4000000000000004</v>
      </c>
    </row>
    <row r="153" spans="1:14" ht="78.75" x14ac:dyDescent="0.2">
      <c r="A153" s="84">
        <v>86</v>
      </c>
      <c r="B153" s="85" t="s">
        <v>460</v>
      </c>
      <c r="C153" s="85" t="s">
        <v>639</v>
      </c>
      <c r="D153" s="84">
        <v>1</v>
      </c>
      <c r="E153" s="86">
        <v>12311.31</v>
      </c>
      <c r="F153" s="86"/>
      <c r="G153" s="86">
        <v>12311.31</v>
      </c>
      <c r="H153" s="87" t="s">
        <v>442</v>
      </c>
      <c r="I153" s="88">
        <v>68697.11</v>
      </c>
      <c r="J153" s="86"/>
      <c r="K153" s="86"/>
      <c r="L153" s="86" t="str">
        <f>IF(1*12311.31=0," ",TEXT(,ROUND((1*12311.31*5.58),2)))</f>
        <v>68697.11</v>
      </c>
      <c r="M153" s="86"/>
      <c r="N153" s="86"/>
    </row>
    <row r="154" spans="1:14" ht="90" x14ac:dyDescent="0.2">
      <c r="A154" s="84">
        <v>87</v>
      </c>
      <c r="B154" s="85" t="s">
        <v>555</v>
      </c>
      <c r="C154" s="85" t="s">
        <v>556</v>
      </c>
      <c r="D154" s="84">
        <v>2</v>
      </c>
      <c r="E154" s="86">
        <v>23.4</v>
      </c>
      <c r="F154" s="86"/>
      <c r="G154" s="86">
        <v>23.4</v>
      </c>
      <c r="H154" s="87" t="s">
        <v>557</v>
      </c>
      <c r="I154" s="88">
        <v>377.58</v>
      </c>
      <c r="J154" s="86"/>
      <c r="K154" s="86"/>
      <c r="L154" s="86" t="str">
        <f>IF(2*23.4=0," ",TEXT(,ROUND((2*23.4*8.068),2)))</f>
        <v>377.58</v>
      </c>
      <c r="M154" s="86"/>
      <c r="N154" s="86"/>
    </row>
    <row r="155" spans="1:14" ht="67.5" x14ac:dyDescent="0.2">
      <c r="A155" s="84">
        <v>88</v>
      </c>
      <c r="B155" s="85" t="s">
        <v>460</v>
      </c>
      <c r="C155" s="85" t="s">
        <v>640</v>
      </c>
      <c r="D155" s="84">
        <v>1</v>
      </c>
      <c r="E155" s="86">
        <v>11716.02</v>
      </c>
      <c r="F155" s="86"/>
      <c r="G155" s="86"/>
      <c r="H155" s="87" t="s">
        <v>486</v>
      </c>
      <c r="I155" s="88">
        <v>44872.36</v>
      </c>
      <c r="J155" s="86"/>
      <c r="K155" s="86"/>
      <c r="L155" s="86" t="str">
        <f>IF(1*0=0," ",TEXT(,ROUND((1*0*3.83),2)))</f>
        <v xml:space="preserve"> </v>
      </c>
      <c r="M155" s="86"/>
      <c r="N155" s="86"/>
    </row>
    <row r="156" spans="1:14" ht="67.5" x14ac:dyDescent="0.2">
      <c r="A156" s="84">
        <v>89</v>
      </c>
      <c r="B156" s="85" t="s">
        <v>641</v>
      </c>
      <c r="C156" s="85" t="s">
        <v>642</v>
      </c>
      <c r="D156" s="84">
        <v>1</v>
      </c>
      <c r="E156" s="86" t="s">
        <v>643</v>
      </c>
      <c r="F156" s="86" t="s">
        <v>644</v>
      </c>
      <c r="G156" s="86">
        <v>3</v>
      </c>
      <c r="H156" s="87" t="s">
        <v>645</v>
      </c>
      <c r="I156" s="88">
        <v>723.66</v>
      </c>
      <c r="J156" s="86">
        <v>386.74</v>
      </c>
      <c r="K156" s="86" t="s">
        <v>646</v>
      </c>
      <c r="L156" s="86" t="str">
        <f>IF(1*3=0," ",TEXT(,ROUND((1*3*4.2),2)))</f>
        <v>12.6</v>
      </c>
      <c r="M156" s="86" t="s">
        <v>647</v>
      </c>
      <c r="N156" s="86" t="s">
        <v>647</v>
      </c>
    </row>
    <row r="157" spans="1:14" ht="67.5" x14ac:dyDescent="0.2">
      <c r="A157" s="84">
        <v>90</v>
      </c>
      <c r="B157" s="85" t="s">
        <v>648</v>
      </c>
      <c r="C157" s="85" t="s">
        <v>649</v>
      </c>
      <c r="D157" s="84">
        <v>1</v>
      </c>
      <c r="E157" s="86">
        <v>7096.61</v>
      </c>
      <c r="F157" s="86"/>
      <c r="G157" s="86"/>
      <c r="H157" s="87" t="s">
        <v>486</v>
      </c>
      <c r="I157" s="88">
        <v>27180.02</v>
      </c>
      <c r="J157" s="86"/>
      <c r="K157" s="86"/>
      <c r="L157" s="86" t="str">
        <f>IF(1*0=0," ",TEXT(,ROUND((1*0*3.83),2)))</f>
        <v xml:space="preserve"> </v>
      </c>
      <c r="M157" s="86"/>
      <c r="N157" s="86"/>
    </row>
    <row r="158" spans="1:14" ht="17.850000000000001" customHeight="1" x14ac:dyDescent="0.2">
      <c r="A158" s="137" t="s">
        <v>650</v>
      </c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</row>
    <row r="159" spans="1:14" ht="67.5" x14ac:dyDescent="0.2">
      <c r="A159" s="84">
        <v>91</v>
      </c>
      <c r="B159" s="85" t="s">
        <v>609</v>
      </c>
      <c r="C159" s="85" t="s">
        <v>610</v>
      </c>
      <c r="D159" s="84">
        <v>1</v>
      </c>
      <c r="E159" s="86" t="s">
        <v>611</v>
      </c>
      <c r="F159" s="86"/>
      <c r="G159" s="86">
        <v>1.0900000000000001</v>
      </c>
      <c r="H159" s="87" t="s">
        <v>612</v>
      </c>
      <c r="I159" s="88">
        <v>88.04</v>
      </c>
      <c r="J159" s="86">
        <v>84.88</v>
      </c>
      <c r="K159" s="86"/>
      <c r="L159" s="86" t="str">
        <f>IF(1*1.09=0," ",TEXT(,ROUND((1*1.09*2.9),2)))</f>
        <v>3.16</v>
      </c>
      <c r="M159" s="86">
        <v>0.52</v>
      </c>
      <c r="N159" s="86">
        <v>0.52</v>
      </c>
    </row>
    <row r="160" spans="1:14" ht="101.25" x14ac:dyDescent="0.2">
      <c r="A160" s="84">
        <v>92</v>
      </c>
      <c r="B160" s="85" t="s">
        <v>651</v>
      </c>
      <c r="C160" s="85" t="s">
        <v>652</v>
      </c>
      <c r="D160" s="84">
        <v>1</v>
      </c>
      <c r="E160" s="86">
        <v>2853.79</v>
      </c>
      <c r="F160" s="86"/>
      <c r="G160" s="86"/>
      <c r="H160" s="87" t="s">
        <v>486</v>
      </c>
      <c r="I160" s="88">
        <v>10930.02</v>
      </c>
      <c r="J160" s="86"/>
      <c r="K160" s="86"/>
      <c r="L160" s="86" t="str">
        <f>IF(1*0=0," ",TEXT(,ROUND((1*0*3.83),2)))</f>
        <v xml:space="preserve"> </v>
      </c>
      <c r="M160" s="86"/>
      <c r="N160" s="86"/>
    </row>
    <row r="161" spans="1:14" ht="123.75" x14ac:dyDescent="0.2">
      <c r="A161" s="84">
        <v>93</v>
      </c>
      <c r="B161" s="85" t="s">
        <v>653</v>
      </c>
      <c r="C161" s="85" t="s">
        <v>654</v>
      </c>
      <c r="D161" s="84">
        <v>2</v>
      </c>
      <c r="E161" s="86" t="s">
        <v>655</v>
      </c>
      <c r="F161" s="86">
        <v>9.59</v>
      </c>
      <c r="G161" s="86">
        <v>11.23</v>
      </c>
      <c r="H161" s="87" t="s">
        <v>656</v>
      </c>
      <c r="I161" s="88">
        <v>1207.1600000000001</v>
      </c>
      <c r="J161" s="86">
        <v>888.62</v>
      </c>
      <c r="K161" s="86">
        <v>219.04</v>
      </c>
      <c r="L161" s="86" t="str">
        <f>IF(2*11.23=0," ",TEXT(,ROUND((2*11.23*4.43),2)))</f>
        <v>99.5</v>
      </c>
      <c r="M161" s="86">
        <v>3.09</v>
      </c>
      <c r="N161" s="86">
        <v>6.18</v>
      </c>
    </row>
    <row r="162" spans="1:14" ht="67.5" x14ac:dyDescent="0.2">
      <c r="A162" s="84">
        <v>94</v>
      </c>
      <c r="B162" s="85" t="s">
        <v>651</v>
      </c>
      <c r="C162" s="85" t="s">
        <v>657</v>
      </c>
      <c r="D162" s="84">
        <v>2</v>
      </c>
      <c r="E162" s="86">
        <v>5054.83</v>
      </c>
      <c r="F162" s="86"/>
      <c r="G162" s="86"/>
      <c r="H162" s="87" t="s">
        <v>486</v>
      </c>
      <c r="I162" s="88">
        <v>38720</v>
      </c>
      <c r="J162" s="86"/>
      <c r="K162" s="86"/>
      <c r="L162" s="86" t="str">
        <f>IF(2*0=0," ",TEXT(,ROUND((2*0*3.83),2)))</f>
        <v xml:space="preserve"> </v>
      </c>
      <c r="M162" s="86"/>
      <c r="N162" s="86"/>
    </row>
    <row r="163" spans="1:14" ht="90" x14ac:dyDescent="0.2">
      <c r="A163" s="84">
        <v>95</v>
      </c>
      <c r="B163" s="85" t="s">
        <v>555</v>
      </c>
      <c r="C163" s="85" t="s">
        <v>556</v>
      </c>
      <c r="D163" s="84">
        <v>4</v>
      </c>
      <c r="E163" s="86">
        <v>23.4</v>
      </c>
      <c r="F163" s="86"/>
      <c r="G163" s="86">
        <v>23.4</v>
      </c>
      <c r="H163" s="87" t="s">
        <v>557</v>
      </c>
      <c r="I163" s="88">
        <v>755.16</v>
      </c>
      <c r="J163" s="86"/>
      <c r="K163" s="86"/>
      <c r="L163" s="86" t="str">
        <f>IF(4*23.4=0," ",TEXT(,ROUND((4*23.4*8.068),2)))</f>
        <v>755.16</v>
      </c>
      <c r="M163" s="86"/>
      <c r="N163" s="86"/>
    </row>
    <row r="164" spans="1:14" ht="123.75" x14ac:dyDescent="0.2">
      <c r="A164" s="84">
        <v>96</v>
      </c>
      <c r="B164" s="85" t="s">
        <v>658</v>
      </c>
      <c r="C164" s="85" t="s">
        <v>659</v>
      </c>
      <c r="D164" s="84">
        <v>1</v>
      </c>
      <c r="E164" s="86" t="s">
        <v>660</v>
      </c>
      <c r="F164" s="86"/>
      <c r="G164" s="86">
        <v>5.49</v>
      </c>
      <c r="H164" s="87" t="s">
        <v>656</v>
      </c>
      <c r="I164" s="88">
        <v>172.37</v>
      </c>
      <c r="J164" s="86">
        <v>148.05000000000001</v>
      </c>
      <c r="K164" s="86"/>
      <c r="L164" s="86" t="str">
        <f>IF(1*5.49=0," ",TEXT(,ROUND((1*5.49*4.43),2)))</f>
        <v>24.32</v>
      </c>
      <c r="M164" s="86">
        <v>1.03</v>
      </c>
      <c r="N164" s="86">
        <v>1.03</v>
      </c>
    </row>
    <row r="165" spans="1:14" ht="67.5" x14ac:dyDescent="0.2">
      <c r="A165" s="84">
        <v>97</v>
      </c>
      <c r="B165" s="85" t="s">
        <v>651</v>
      </c>
      <c r="C165" s="85" t="s">
        <v>661</v>
      </c>
      <c r="D165" s="84">
        <v>1</v>
      </c>
      <c r="E165" s="86">
        <v>3751.96</v>
      </c>
      <c r="F165" s="86"/>
      <c r="G165" s="86"/>
      <c r="H165" s="87" t="s">
        <v>486</v>
      </c>
      <c r="I165" s="88">
        <v>14370.01</v>
      </c>
      <c r="J165" s="86"/>
      <c r="K165" s="86"/>
      <c r="L165" s="86" t="str">
        <f>IF(1*0=0," ",TEXT(,ROUND((1*0*3.83),2)))</f>
        <v xml:space="preserve"> </v>
      </c>
      <c r="M165" s="86"/>
      <c r="N165" s="86"/>
    </row>
    <row r="166" spans="1:14" ht="90" x14ac:dyDescent="0.2">
      <c r="A166" s="84">
        <v>98</v>
      </c>
      <c r="B166" s="85" t="s">
        <v>662</v>
      </c>
      <c r="C166" s="85" t="s">
        <v>663</v>
      </c>
      <c r="D166" s="84">
        <v>2</v>
      </c>
      <c r="E166" s="86">
        <v>18.190000000000001</v>
      </c>
      <c r="F166" s="86"/>
      <c r="G166" s="86"/>
      <c r="H166" s="87" t="s">
        <v>664</v>
      </c>
      <c r="I166" s="88">
        <v>180.48</v>
      </c>
      <c r="J166" s="86"/>
      <c r="K166" s="86"/>
      <c r="L166" s="86" t="str">
        <f>IF(2*0=0," ",TEXT(,ROUND((2*0*4.961),2)))</f>
        <v xml:space="preserve"> </v>
      </c>
      <c r="M166" s="86"/>
      <c r="N166" s="86"/>
    </row>
    <row r="167" spans="1:14" ht="67.5" x14ac:dyDescent="0.2">
      <c r="A167" s="84">
        <v>99</v>
      </c>
      <c r="B167" s="85" t="s">
        <v>563</v>
      </c>
      <c r="C167" s="85" t="s">
        <v>665</v>
      </c>
      <c r="D167" s="84">
        <v>5</v>
      </c>
      <c r="E167" s="86" t="s">
        <v>565</v>
      </c>
      <c r="F167" s="86"/>
      <c r="G167" s="86">
        <v>1.31</v>
      </c>
      <c r="H167" s="87" t="s">
        <v>566</v>
      </c>
      <c r="I167" s="88">
        <v>870.4</v>
      </c>
      <c r="J167" s="86">
        <v>840.6</v>
      </c>
      <c r="K167" s="86"/>
      <c r="L167" s="86" t="str">
        <f>IF(5*1.31=0," ",TEXT(,ROUND((5*1.31*4.55),2)))</f>
        <v>29.8</v>
      </c>
      <c r="M167" s="86">
        <v>1.03</v>
      </c>
      <c r="N167" s="86">
        <v>5.15</v>
      </c>
    </row>
    <row r="168" spans="1:14" ht="67.5" x14ac:dyDescent="0.2">
      <c r="A168" s="84">
        <v>100</v>
      </c>
      <c r="B168" s="85" t="s">
        <v>651</v>
      </c>
      <c r="C168" s="85" t="s">
        <v>666</v>
      </c>
      <c r="D168" s="84">
        <v>2</v>
      </c>
      <c r="E168" s="86">
        <v>913.84</v>
      </c>
      <c r="F168" s="86"/>
      <c r="G168" s="86"/>
      <c r="H168" s="87" t="s">
        <v>486</v>
      </c>
      <c r="I168" s="88">
        <v>7000.02</v>
      </c>
      <c r="J168" s="86"/>
      <c r="K168" s="86"/>
      <c r="L168" s="86" t="str">
        <f>IF(2*0=0," ",TEXT(,ROUND((2*0*3.83),2)))</f>
        <v xml:space="preserve"> </v>
      </c>
      <c r="M168" s="86"/>
      <c r="N168" s="86"/>
    </row>
    <row r="169" spans="1:14" ht="67.5" x14ac:dyDescent="0.2">
      <c r="A169" s="84">
        <v>101</v>
      </c>
      <c r="B169" s="85" t="s">
        <v>651</v>
      </c>
      <c r="C169" s="85" t="s">
        <v>667</v>
      </c>
      <c r="D169" s="84">
        <v>2</v>
      </c>
      <c r="E169" s="86">
        <v>214.1</v>
      </c>
      <c r="F169" s="86"/>
      <c r="G169" s="86"/>
      <c r="H169" s="87" t="s">
        <v>486</v>
      </c>
      <c r="I169" s="88">
        <v>1640</v>
      </c>
      <c r="J169" s="86"/>
      <c r="K169" s="86"/>
      <c r="L169" s="86" t="str">
        <f>IF(2*0=0," ",TEXT(,ROUND((2*0*3.83),2)))</f>
        <v xml:space="preserve"> </v>
      </c>
      <c r="M169" s="86"/>
      <c r="N169" s="86"/>
    </row>
    <row r="170" spans="1:14" ht="67.5" x14ac:dyDescent="0.2">
      <c r="A170" s="84">
        <v>102</v>
      </c>
      <c r="B170" s="85" t="s">
        <v>651</v>
      </c>
      <c r="C170" s="85" t="s">
        <v>668</v>
      </c>
      <c r="D170" s="84">
        <v>2</v>
      </c>
      <c r="E170" s="86">
        <v>386.42</v>
      </c>
      <c r="F170" s="86"/>
      <c r="G170" s="86"/>
      <c r="H170" s="87" t="s">
        <v>486</v>
      </c>
      <c r="I170" s="88">
        <v>2959.98</v>
      </c>
      <c r="J170" s="86"/>
      <c r="K170" s="86"/>
      <c r="L170" s="86" t="str">
        <f>IF(2*0=0," ",TEXT(,ROUND((2*0*3.83),2)))</f>
        <v xml:space="preserve"> </v>
      </c>
      <c r="M170" s="86"/>
      <c r="N170" s="86"/>
    </row>
    <row r="171" spans="1:14" ht="45" x14ac:dyDescent="0.2">
      <c r="A171" s="84">
        <v>103</v>
      </c>
      <c r="B171" s="85" t="s">
        <v>651</v>
      </c>
      <c r="C171" s="85" t="s">
        <v>669</v>
      </c>
      <c r="D171" s="84">
        <v>3</v>
      </c>
      <c r="E171" s="86">
        <v>57.35</v>
      </c>
      <c r="F171" s="86"/>
      <c r="G171" s="86">
        <v>57.35</v>
      </c>
      <c r="H171" s="87" t="s">
        <v>442</v>
      </c>
      <c r="I171" s="88">
        <v>960.03</v>
      </c>
      <c r="J171" s="86"/>
      <c r="K171" s="86"/>
      <c r="L171" s="86" t="str">
        <f>IF(3*57.35=0," ",TEXT(,ROUND((3*57.35*5.58),2)))</f>
        <v>960.04</v>
      </c>
      <c r="M171" s="86"/>
      <c r="N171" s="86"/>
    </row>
    <row r="172" spans="1:14" ht="45" x14ac:dyDescent="0.2">
      <c r="A172" s="84">
        <v>104</v>
      </c>
      <c r="B172" s="85" t="s">
        <v>440</v>
      </c>
      <c r="C172" s="85" t="s">
        <v>670</v>
      </c>
      <c r="D172" s="84">
        <v>1</v>
      </c>
      <c r="E172" s="86">
        <v>86.11</v>
      </c>
      <c r="F172" s="86"/>
      <c r="G172" s="86">
        <v>86.11</v>
      </c>
      <c r="H172" s="87" t="s">
        <v>442</v>
      </c>
      <c r="I172" s="88">
        <v>480.49</v>
      </c>
      <c r="J172" s="86"/>
      <c r="K172" s="86"/>
      <c r="L172" s="86" t="str">
        <f>IF(1*86.11=0," ",TEXT(,ROUND((1*86.11*5.58),2)))</f>
        <v>480.49</v>
      </c>
      <c r="M172" s="86"/>
      <c r="N172" s="86"/>
    </row>
    <row r="173" spans="1:14" ht="67.5" x14ac:dyDescent="0.2">
      <c r="A173" s="84">
        <v>105</v>
      </c>
      <c r="B173" s="85" t="s">
        <v>641</v>
      </c>
      <c r="C173" s="85" t="s">
        <v>642</v>
      </c>
      <c r="D173" s="84">
        <v>1</v>
      </c>
      <c r="E173" s="86" t="s">
        <v>643</v>
      </c>
      <c r="F173" s="86" t="s">
        <v>644</v>
      </c>
      <c r="G173" s="86">
        <v>3</v>
      </c>
      <c r="H173" s="87" t="s">
        <v>645</v>
      </c>
      <c r="I173" s="88">
        <v>723.66</v>
      </c>
      <c r="J173" s="86">
        <v>386.74</v>
      </c>
      <c r="K173" s="86" t="s">
        <v>646</v>
      </c>
      <c r="L173" s="86" t="str">
        <f>IF(1*3=0," ",TEXT(,ROUND((1*3*4.2),2)))</f>
        <v>12.6</v>
      </c>
      <c r="M173" s="86" t="s">
        <v>647</v>
      </c>
      <c r="N173" s="86" t="s">
        <v>647</v>
      </c>
    </row>
    <row r="174" spans="1:14" ht="67.5" x14ac:dyDescent="0.2">
      <c r="A174" s="89">
        <v>106</v>
      </c>
      <c r="B174" s="90" t="s">
        <v>648</v>
      </c>
      <c r="C174" s="90" t="s">
        <v>671</v>
      </c>
      <c r="D174" s="89">
        <v>1</v>
      </c>
      <c r="E174" s="91">
        <v>1174.93</v>
      </c>
      <c r="F174" s="91"/>
      <c r="G174" s="91"/>
      <c r="H174" s="92" t="s">
        <v>486</v>
      </c>
      <c r="I174" s="93">
        <v>4499.9799999999996</v>
      </c>
      <c r="J174" s="91"/>
      <c r="K174" s="91"/>
      <c r="L174" s="91" t="str">
        <f>IF(1*0=0," ",TEXT(,ROUND((1*0*3.83),2)))</f>
        <v xml:space="preserve"> </v>
      </c>
      <c r="M174" s="91"/>
      <c r="N174" s="91"/>
    </row>
    <row r="175" spans="1:14" ht="22.5" x14ac:dyDescent="0.2">
      <c r="A175" s="110" t="s">
        <v>337</v>
      </c>
      <c r="B175" s="111"/>
      <c r="C175" s="111"/>
      <c r="D175" s="111"/>
      <c r="E175" s="111"/>
      <c r="F175" s="111"/>
      <c r="G175" s="111"/>
      <c r="H175" s="111"/>
      <c r="I175" s="88">
        <v>323351.73</v>
      </c>
      <c r="J175" s="86">
        <v>5051.55</v>
      </c>
      <c r="K175" s="86" t="s">
        <v>672</v>
      </c>
      <c r="L175" s="86">
        <v>104515.43</v>
      </c>
      <c r="M175" s="86"/>
      <c r="N175" s="86" t="s">
        <v>673</v>
      </c>
    </row>
    <row r="176" spans="1:14" x14ac:dyDescent="0.2">
      <c r="A176" s="110" t="s">
        <v>340</v>
      </c>
      <c r="B176" s="111"/>
      <c r="C176" s="111"/>
      <c r="D176" s="111"/>
      <c r="E176" s="111"/>
      <c r="F176" s="111"/>
      <c r="G176" s="111"/>
      <c r="H176" s="111"/>
      <c r="I176" s="88">
        <v>3619.82</v>
      </c>
      <c r="J176" s="86"/>
      <c r="K176" s="86"/>
      <c r="L176" s="86"/>
      <c r="M176" s="86"/>
      <c r="N176" s="86"/>
    </row>
    <row r="177" spans="1:14" x14ac:dyDescent="0.2">
      <c r="A177" s="110" t="s">
        <v>341</v>
      </c>
      <c r="B177" s="111"/>
      <c r="C177" s="111"/>
      <c r="D177" s="111"/>
      <c r="E177" s="111"/>
      <c r="F177" s="111"/>
      <c r="G177" s="111"/>
      <c r="H177" s="111"/>
      <c r="I177" s="88"/>
      <c r="J177" s="86"/>
      <c r="K177" s="86"/>
      <c r="L177" s="86"/>
      <c r="M177" s="86"/>
      <c r="N177" s="86"/>
    </row>
    <row r="178" spans="1:14" x14ac:dyDescent="0.2">
      <c r="A178" s="110" t="s">
        <v>674</v>
      </c>
      <c r="B178" s="111"/>
      <c r="C178" s="111"/>
      <c r="D178" s="111"/>
      <c r="E178" s="111"/>
      <c r="F178" s="111"/>
      <c r="G178" s="111"/>
      <c r="H178" s="111"/>
      <c r="I178" s="88">
        <v>2909.09</v>
      </c>
      <c r="J178" s="86"/>
      <c r="K178" s="86"/>
      <c r="L178" s="86"/>
      <c r="M178" s="86"/>
      <c r="N178" s="86"/>
    </row>
    <row r="179" spans="1:14" x14ac:dyDescent="0.2">
      <c r="A179" s="110" t="s">
        <v>675</v>
      </c>
      <c r="B179" s="111"/>
      <c r="C179" s="111"/>
      <c r="D179" s="111"/>
      <c r="E179" s="111"/>
      <c r="F179" s="111"/>
      <c r="G179" s="111"/>
      <c r="H179" s="111"/>
      <c r="I179" s="88">
        <v>710.73</v>
      </c>
      <c r="J179" s="86"/>
      <c r="K179" s="86"/>
      <c r="L179" s="86"/>
      <c r="M179" s="86"/>
      <c r="N179" s="86"/>
    </row>
    <row r="180" spans="1:14" x14ac:dyDescent="0.2">
      <c r="A180" s="110" t="s">
        <v>344</v>
      </c>
      <c r="B180" s="111"/>
      <c r="C180" s="111"/>
      <c r="D180" s="111"/>
      <c r="E180" s="111"/>
      <c r="F180" s="111"/>
      <c r="G180" s="111"/>
      <c r="H180" s="111"/>
      <c r="I180" s="88">
        <v>2509.7399999999998</v>
      </c>
      <c r="J180" s="86"/>
      <c r="K180" s="86"/>
      <c r="L180" s="86"/>
      <c r="M180" s="86"/>
      <c r="N180" s="86"/>
    </row>
    <row r="181" spans="1:14" x14ac:dyDescent="0.2">
      <c r="A181" s="110" t="s">
        <v>341</v>
      </c>
      <c r="B181" s="111"/>
      <c r="C181" s="111"/>
      <c r="D181" s="111"/>
      <c r="E181" s="111"/>
      <c r="F181" s="111"/>
      <c r="G181" s="111"/>
      <c r="H181" s="111"/>
      <c r="I181" s="88"/>
      <c r="J181" s="86"/>
      <c r="K181" s="86"/>
      <c r="L181" s="86"/>
      <c r="M181" s="86"/>
      <c r="N181" s="86"/>
    </row>
    <row r="182" spans="1:14" x14ac:dyDescent="0.2">
      <c r="A182" s="110" t="s">
        <v>676</v>
      </c>
      <c r="B182" s="111"/>
      <c r="C182" s="111"/>
      <c r="D182" s="111"/>
      <c r="E182" s="111"/>
      <c r="F182" s="111"/>
      <c r="G182" s="111"/>
      <c r="H182" s="111"/>
      <c r="I182" s="88">
        <v>2053.4699999999998</v>
      </c>
      <c r="J182" s="86"/>
      <c r="K182" s="86"/>
      <c r="L182" s="86"/>
      <c r="M182" s="86"/>
      <c r="N182" s="86"/>
    </row>
    <row r="183" spans="1:14" x14ac:dyDescent="0.2">
      <c r="A183" s="110" t="s">
        <v>677</v>
      </c>
      <c r="B183" s="111"/>
      <c r="C183" s="111"/>
      <c r="D183" s="111"/>
      <c r="E183" s="111"/>
      <c r="F183" s="111"/>
      <c r="G183" s="111"/>
      <c r="H183" s="111"/>
      <c r="I183" s="88">
        <v>456.27</v>
      </c>
      <c r="J183" s="86"/>
      <c r="K183" s="86"/>
      <c r="L183" s="86"/>
      <c r="M183" s="86"/>
      <c r="N183" s="86"/>
    </row>
    <row r="184" spans="1:14" x14ac:dyDescent="0.2">
      <c r="A184" s="134" t="s">
        <v>678</v>
      </c>
      <c r="B184" s="109"/>
      <c r="C184" s="109"/>
      <c r="D184" s="109"/>
      <c r="E184" s="109"/>
      <c r="F184" s="109"/>
      <c r="G184" s="109"/>
      <c r="H184" s="109"/>
      <c r="I184" s="88"/>
      <c r="J184" s="86"/>
      <c r="K184" s="86"/>
      <c r="L184" s="86"/>
      <c r="M184" s="86"/>
      <c r="N184" s="86"/>
    </row>
    <row r="185" spans="1:14" x14ac:dyDescent="0.2">
      <c r="A185" s="110" t="s">
        <v>602</v>
      </c>
      <c r="B185" s="111"/>
      <c r="C185" s="111"/>
      <c r="D185" s="111"/>
      <c r="E185" s="111"/>
      <c r="F185" s="111"/>
      <c r="G185" s="111"/>
      <c r="H185" s="111"/>
      <c r="I185" s="88">
        <v>103191.59</v>
      </c>
      <c r="J185" s="86"/>
      <c r="K185" s="86"/>
      <c r="L185" s="86"/>
      <c r="M185" s="86"/>
      <c r="N185" s="86"/>
    </row>
    <row r="186" spans="1:14" ht="22.5" x14ac:dyDescent="0.2">
      <c r="A186" s="110" t="s">
        <v>604</v>
      </c>
      <c r="B186" s="111"/>
      <c r="C186" s="111"/>
      <c r="D186" s="111"/>
      <c r="E186" s="111"/>
      <c r="F186" s="111"/>
      <c r="G186" s="111"/>
      <c r="H186" s="111"/>
      <c r="I186" s="88">
        <v>13518.12</v>
      </c>
      <c r="J186" s="86"/>
      <c r="K186" s="86"/>
      <c r="L186" s="86"/>
      <c r="M186" s="86"/>
      <c r="N186" s="86" t="s">
        <v>673</v>
      </c>
    </row>
    <row r="187" spans="1:14" x14ac:dyDescent="0.2">
      <c r="A187" s="110" t="s">
        <v>605</v>
      </c>
      <c r="B187" s="111"/>
      <c r="C187" s="111"/>
      <c r="D187" s="111"/>
      <c r="E187" s="111"/>
      <c r="F187" s="111"/>
      <c r="G187" s="111"/>
      <c r="H187" s="111"/>
      <c r="I187" s="88">
        <v>212771.58</v>
      </c>
      <c r="J187" s="86"/>
      <c r="K187" s="86"/>
      <c r="L187" s="86"/>
      <c r="M187" s="86"/>
      <c r="N187" s="86"/>
    </row>
    <row r="188" spans="1:14" ht="22.5" x14ac:dyDescent="0.2">
      <c r="A188" s="110" t="s">
        <v>350</v>
      </c>
      <c r="B188" s="111"/>
      <c r="C188" s="111"/>
      <c r="D188" s="111"/>
      <c r="E188" s="111"/>
      <c r="F188" s="111"/>
      <c r="G188" s="111"/>
      <c r="H188" s="111"/>
      <c r="I188" s="88">
        <v>329481.28999999998</v>
      </c>
      <c r="J188" s="86"/>
      <c r="K188" s="86"/>
      <c r="L188" s="86"/>
      <c r="M188" s="86"/>
      <c r="N188" s="86" t="s">
        <v>673</v>
      </c>
    </row>
    <row r="189" spans="1:14" x14ac:dyDescent="0.2">
      <c r="A189" s="110" t="s">
        <v>351</v>
      </c>
      <c r="B189" s="111"/>
      <c r="C189" s="111"/>
      <c r="D189" s="111"/>
      <c r="E189" s="111"/>
      <c r="F189" s="111"/>
      <c r="G189" s="111"/>
      <c r="H189" s="111"/>
      <c r="I189" s="88"/>
      <c r="J189" s="86"/>
      <c r="K189" s="86"/>
      <c r="L189" s="86"/>
      <c r="M189" s="86"/>
      <c r="N189" s="86"/>
    </row>
    <row r="190" spans="1:14" x14ac:dyDescent="0.2">
      <c r="A190" s="110" t="s">
        <v>352</v>
      </c>
      <c r="B190" s="111"/>
      <c r="C190" s="111"/>
      <c r="D190" s="111"/>
      <c r="E190" s="111"/>
      <c r="F190" s="111"/>
      <c r="G190" s="111"/>
      <c r="H190" s="111"/>
      <c r="I190" s="88">
        <v>104515.43</v>
      </c>
      <c r="J190" s="86"/>
      <c r="K190" s="86"/>
      <c r="L190" s="86"/>
      <c r="M190" s="86"/>
      <c r="N190" s="86"/>
    </row>
    <row r="191" spans="1:14" x14ac:dyDescent="0.2">
      <c r="A191" s="110" t="s">
        <v>353</v>
      </c>
      <c r="B191" s="111"/>
      <c r="C191" s="111"/>
      <c r="D191" s="111"/>
      <c r="E191" s="111"/>
      <c r="F191" s="111"/>
      <c r="G191" s="111"/>
      <c r="H191" s="111"/>
      <c r="I191" s="88">
        <v>1013.17</v>
      </c>
      <c r="J191" s="86"/>
      <c r="K191" s="86"/>
      <c r="L191" s="86"/>
      <c r="M191" s="86"/>
      <c r="N191" s="86"/>
    </row>
    <row r="192" spans="1:14" x14ac:dyDescent="0.2">
      <c r="A192" s="110" t="s">
        <v>354</v>
      </c>
      <c r="B192" s="111"/>
      <c r="C192" s="111"/>
      <c r="D192" s="111"/>
      <c r="E192" s="111"/>
      <c r="F192" s="111"/>
      <c r="G192" s="111"/>
      <c r="H192" s="111"/>
      <c r="I192" s="88">
        <v>5155.51</v>
      </c>
      <c r="J192" s="86"/>
      <c r="K192" s="86"/>
      <c r="L192" s="86"/>
      <c r="M192" s="86"/>
      <c r="N192" s="86"/>
    </row>
    <row r="193" spans="1:14" x14ac:dyDescent="0.2">
      <c r="A193" s="110" t="s">
        <v>606</v>
      </c>
      <c r="B193" s="111"/>
      <c r="C193" s="111"/>
      <c r="D193" s="111"/>
      <c r="E193" s="111"/>
      <c r="F193" s="111"/>
      <c r="G193" s="111"/>
      <c r="H193" s="111"/>
      <c r="I193" s="88">
        <v>212771.58</v>
      </c>
      <c r="J193" s="86"/>
      <c r="K193" s="86"/>
      <c r="L193" s="86"/>
      <c r="M193" s="86"/>
      <c r="N193" s="86"/>
    </row>
    <row r="194" spans="1:14" x14ac:dyDescent="0.2">
      <c r="A194" s="110" t="s">
        <v>355</v>
      </c>
      <c r="B194" s="111"/>
      <c r="C194" s="111"/>
      <c r="D194" s="111"/>
      <c r="E194" s="111"/>
      <c r="F194" s="111"/>
      <c r="G194" s="111"/>
      <c r="H194" s="111"/>
      <c r="I194" s="88">
        <v>3619.82</v>
      </c>
      <c r="J194" s="86"/>
      <c r="K194" s="86"/>
      <c r="L194" s="86"/>
      <c r="M194" s="86"/>
      <c r="N194" s="86"/>
    </row>
    <row r="195" spans="1:14" x14ac:dyDescent="0.2">
      <c r="A195" s="110" t="s">
        <v>356</v>
      </c>
      <c r="B195" s="111"/>
      <c r="C195" s="111"/>
      <c r="D195" s="111"/>
      <c r="E195" s="111"/>
      <c r="F195" s="111"/>
      <c r="G195" s="111"/>
      <c r="H195" s="111"/>
      <c r="I195" s="88">
        <v>2509.7399999999998</v>
      </c>
      <c r="J195" s="86"/>
      <c r="K195" s="86"/>
      <c r="L195" s="86"/>
      <c r="M195" s="86"/>
      <c r="N195" s="86"/>
    </row>
    <row r="196" spans="1:14" ht="22.5" x14ac:dyDescent="0.2">
      <c r="A196" s="135" t="s">
        <v>679</v>
      </c>
      <c r="B196" s="136"/>
      <c r="C196" s="136"/>
      <c r="D196" s="136"/>
      <c r="E196" s="136"/>
      <c r="F196" s="136"/>
      <c r="G196" s="136"/>
      <c r="H196" s="136"/>
      <c r="I196" s="93">
        <v>329481.28999999998</v>
      </c>
      <c r="J196" s="91"/>
      <c r="K196" s="91"/>
      <c r="L196" s="91"/>
      <c r="M196" s="91"/>
      <c r="N196" s="91" t="s">
        <v>673</v>
      </c>
    </row>
    <row r="197" spans="1:14" ht="17.850000000000001" customHeight="1" x14ac:dyDescent="0.2">
      <c r="A197" s="108" t="s">
        <v>680</v>
      </c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</row>
    <row r="198" spans="1:14" ht="168.75" x14ac:dyDescent="0.2">
      <c r="A198" s="84">
        <v>107</v>
      </c>
      <c r="B198" s="85" t="s">
        <v>681</v>
      </c>
      <c r="C198" s="85" t="s">
        <v>682</v>
      </c>
      <c r="D198" s="84">
        <v>0.13200000000000001</v>
      </c>
      <c r="E198" s="86" t="s">
        <v>683</v>
      </c>
      <c r="F198" s="86" t="s">
        <v>684</v>
      </c>
      <c r="G198" s="86">
        <v>202.72</v>
      </c>
      <c r="H198" s="87" t="s">
        <v>685</v>
      </c>
      <c r="I198" s="88">
        <v>272.29000000000002</v>
      </c>
      <c r="J198" s="86">
        <v>141.21</v>
      </c>
      <c r="K198" s="86" t="s">
        <v>686</v>
      </c>
      <c r="L198" s="86" t="str">
        <f>IF(0.132*202.72=0," ",TEXT(,ROUND((0.132*202.72*4.27),2)))</f>
        <v>114.26</v>
      </c>
      <c r="M198" s="86" t="s">
        <v>687</v>
      </c>
      <c r="N198" s="86">
        <v>0.7</v>
      </c>
    </row>
    <row r="199" spans="1:14" ht="213.75" x14ac:dyDescent="0.2">
      <c r="A199" s="84">
        <v>108</v>
      </c>
      <c r="B199" s="85" t="s">
        <v>688</v>
      </c>
      <c r="C199" s="85" t="s">
        <v>689</v>
      </c>
      <c r="D199" s="84">
        <v>0.13200000000000001</v>
      </c>
      <c r="E199" s="86" t="s">
        <v>690</v>
      </c>
      <c r="F199" s="86" t="s">
        <v>691</v>
      </c>
      <c r="G199" s="86">
        <v>401.56</v>
      </c>
      <c r="H199" s="87" t="s">
        <v>692</v>
      </c>
      <c r="I199" s="88">
        <v>404.27</v>
      </c>
      <c r="J199" s="86">
        <v>121.94</v>
      </c>
      <c r="K199" s="86" t="s">
        <v>693</v>
      </c>
      <c r="L199" s="86" t="str">
        <f>IF(0.132*401.56=0," ",TEXT(,ROUND((0.132*401.56*4.58),2)))</f>
        <v>242.77</v>
      </c>
      <c r="M199" s="86" t="s">
        <v>694</v>
      </c>
      <c r="N199" s="86">
        <v>0.76</v>
      </c>
    </row>
    <row r="200" spans="1:14" ht="180" x14ac:dyDescent="0.2">
      <c r="A200" s="84">
        <v>109</v>
      </c>
      <c r="B200" s="85" t="s">
        <v>695</v>
      </c>
      <c r="C200" s="85" t="s">
        <v>696</v>
      </c>
      <c r="D200" s="84">
        <v>1.2</v>
      </c>
      <c r="E200" s="86" t="s">
        <v>697</v>
      </c>
      <c r="F200" s="86">
        <v>71.44</v>
      </c>
      <c r="G200" s="86">
        <v>1320.96</v>
      </c>
      <c r="H200" s="87" t="s">
        <v>698</v>
      </c>
      <c r="I200" s="88">
        <v>10616.57</v>
      </c>
      <c r="J200" s="86">
        <v>4176.53</v>
      </c>
      <c r="K200" s="86">
        <v>971.27</v>
      </c>
      <c r="L200" s="86" t="str">
        <f>IF(1.2*1320.96=0," ",TEXT(,ROUND((1.2*1320.96*3.45),2)))</f>
        <v>5468.77</v>
      </c>
      <c r="M200" s="86">
        <v>18.850000000000001</v>
      </c>
      <c r="N200" s="86">
        <v>22.62</v>
      </c>
    </row>
    <row r="201" spans="1:14" ht="67.5" x14ac:dyDescent="0.2">
      <c r="A201" s="84">
        <v>110</v>
      </c>
      <c r="B201" s="85" t="s">
        <v>699</v>
      </c>
      <c r="C201" s="85" t="s">
        <v>700</v>
      </c>
      <c r="D201" s="84">
        <v>-1.8480000000000001</v>
      </c>
      <c r="E201" s="86">
        <v>542.4</v>
      </c>
      <c r="F201" s="86"/>
      <c r="G201" s="86">
        <v>542.4</v>
      </c>
      <c r="H201" s="87" t="s">
        <v>701</v>
      </c>
      <c r="I201" s="88">
        <v>-3431.07</v>
      </c>
      <c r="J201" s="86"/>
      <c r="K201" s="86"/>
      <c r="L201" s="86" t="str">
        <f>IF(-1.848*542.4=0," ",TEXT(,ROUND((-1.848*542.4*3.423),2)))</f>
        <v>-3431.06</v>
      </c>
      <c r="M201" s="86"/>
      <c r="N201" s="86"/>
    </row>
    <row r="202" spans="1:14" ht="45" x14ac:dyDescent="0.2">
      <c r="A202" s="89">
        <v>111</v>
      </c>
      <c r="B202" s="90" t="s">
        <v>702</v>
      </c>
      <c r="C202" s="90" t="s">
        <v>703</v>
      </c>
      <c r="D202" s="89">
        <v>1.8480000000000001</v>
      </c>
      <c r="E202" s="91">
        <v>633.61</v>
      </c>
      <c r="F202" s="91"/>
      <c r="G202" s="91">
        <v>633.61</v>
      </c>
      <c r="H202" s="92" t="s">
        <v>442</v>
      </c>
      <c r="I202" s="93">
        <v>6533.68</v>
      </c>
      <c r="J202" s="91"/>
      <c r="K202" s="91"/>
      <c r="L202" s="91" t="str">
        <f>IF(1.848*633.61=0," ",TEXT(,ROUND((1.848*633.61*5.58),2)))</f>
        <v>6533.68</v>
      </c>
      <c r="M202" s="91"/>
      <c r="N202" s="91"/>
    </row>
    <row r="203" spans="1:14" ht="22.5" x14ac:dyDescent="0.2">
      <c r="A203" s="110" t="s">
        <v>337</v>
      </c>
      <c r="B203" s="111"/>
      <c r="C203" s="111"/>
      <c r="D203" s="111"/>
      <c r="E203" s="111"/>
      <c r="F203" s="111"/>
      <c r="G203" s="111"/>
      <c r="H203" s="111"/>
      <c r="I203" s="88">
        <v>14395.74</v>
      </c>
      <c r="J203" s="86">
        <v>4439.68</v>
      </c>
      <c r="K203" s="86" t="s">
        <v>704</v>
      </c>
      <c r="L203" s="86">
        <v>8928.41</v>
      </c>
      <c r="M203" s="86"/>
      <c r="N203" s="86">
        <v>24.08</v>
      </c>
    </row>
    <row r="204" spans="1:14" x14ac:dyDescent="0.2">
      <c r="A204" s="110" t="s">
        <v>340</v>
      </c>
      <c r="B204" s="111"/>
      <c r="C204" s="111"/>
      <c r="D204" s="111"/>
      <c r="E204" s="111"/>
      <c r="F204" s="111"/>
      <c r="G204" s="111"/>
      <c r="H204" s="111"/>
      <c r="I204" s="88">
        <v>3398.03</v>
      </c>
      <c r="J204" s="86"/>
      <c r="K204" s="86"/>
      <c r="L204" s="86"/>
      <c r="M204" s="86"/>
      <c r="N204" s="86"/>
    </row>
    <row r="205" spans="1:14" x14ac:dyDescent="0.2">
      <c r="A205" s="110" t="s">
        <v>341</v>
      </c>
      <c r="B205" s="111"/>
      <c r="C205" s="111"/>
      <c r="D205" s="111"/>
      <c r="E205" s="111"/>
      <c r="F205" s="111"/>
      <c r="G205" s="111"/>
      <c r="H205" s="111"/>
      <c r="I205" s="88"/>
      <c r="J205" s="86"/>
      <c r="K205" s="86"/>
      <c r="L205" s="86"/>
      <c r="M205" s="86"/>
      <c r="N205" s="86"/>
    </row>
    <row r="206" spans="1:14" x14ac:dyDescent="0.2">
      <c r="A206" s="110" t="s">
        <v>705</v>
      </c>
      <c r="B206" s="111"/>
      <c r="C206" s="111"/>
      <c r="D206" s="111"/>
      <c r="E206" s="111"/>
      <c r="F206" s="111"/>
      <c r="G206" s="111"/>
      <c r="H206" s="111"/>
      <c r="I206" s="88">
        <v>182.1</v>
      </c>
      <c r="J206" s="86"/>
      <c r="K206" s="86"/>
      <c r="L206" s="86"/>
      <c r="M206" s="86"/>
      <c r="N206" s="86"/>
    </row>
    <row r="207" spans="1:14" x14ac:dyDescent="0.2">
      <c r="A207" s="110" t="s">
        <v>706</v>
      </c>
      <c r="B207" s="111"/>
      <c r="C207" s="111"/>
      <c r="D207" s="111"/>
      <c r="E207" s="111"/>
      <c r="F207" s="111"/>
      <c r="G207" s="111"/>
      <c r="H207" s="111"/>
      <c r="I207" s="88">
        <v>3215.93</v>
      </c>
      <c r="J207" s="86"/>
      <c r="K207" s="86"/>
      <c r="L207" s="86"/>
      <c r="M207" s="86"/>
      <c r="N207" s="86"/>
    </row>
    <row r="208" spans="1:14" x14ac:dyDescent="0.2">
      <c r="A208" s="110" t="s">
        <v>344</v>
      </c>
      <c r="B208" s="111"/>
      <c r="C208" s="111"/>
      <c r="D208" s="111"/>
      <c r="E208" s="111"/>
      <c r="F208" s="111"/>
      <c r="G208" s="111"/>
      <c r="H208" s="111"/>
      <c r="I208" s="88">
        <v>2131.41</v>
      </c>
      <c r="J208" s="86"/>
      <c r="K208" s="86"/>
      <c r="L208" s="86"/>
      <c r="M208" s="86"/>
      <c r="N208" s="86"/>
    </row>
    <row r="209" spans="1:14" x14ac:dyDescent="0.2">
      <c r="A209" s="110" t="s">
        <v>341</v>
      </c>
      <c r="B209" s="111"/>
      <c r="C209" s="111"/>
      <c r="D209" s="111"/>
      <c r="E209" s="111"/>
      <c r="F209" s="111"/>
      <c r="G209" s="111"/>
      <c r="H209" s="111"/>
      <c r="I209" s="88"/>
      <c r="J209" s="86"/>
      <c r="K209" s="86"/>
      <c r="L209" s="86"/>
      <c r="M209" s="86"/>
      <c r="N209" s="86"/>
    </row>
    <row r="210" spans="1:14" x14ac:dyDescent="0.2">
      <c r="A210" s="110" t="s">
        <v>707</v>
      </c>
      <c r="B210" s="111"/>
      <c r="C210" s="111"/>
      <c r="D210" s="111"/>
      <c r="E210" s="111"/>
      <c r="F210" s="111"/>
      <c r="G210" s="111"/>
      <c r="H210" s="111"/>
      <c r="I210" s="88">
        <v>2131.41</v>
      </c>
      <c r="J210" s="86"/>
      <c r="K210" s="86"/>
      <c r="L210" s="86"/>
      <c r="M210" s="86"/>
      <c r="N210" s="86"/>
    </row>
    <row r="211" spans="1:14" x14ac:dyDescent="0.2">
      <c r="A211" s="134" t="s">
        <v>708</v>
      </c>
      <c r="B211" s="109"/>
      <c r="C211" s="109"/>
      <c r="D211" s="109"/>
      <c r="E211" s="109"/>
      <c r="F211" s="109"/>
      <c r="G211" s="109"/>
      <c r="H211" s="109"/>
      <c r="I211" s="88"/>
      <c r="J211" s="86"/>
      <c r="K211" s="86"/>
      <c r="L211" s="86"/>
      <c r="M211" s="86"/>
      <c r="N211" s="86"/>
    </row>
    <row r="212" spans="1:14" x14ac:dyDescent="0.2">
      <c r="A212" s="110" t="s">
        <v>709</v>
      </c>
      <c r="B212" s="111"/>
      <c r="C212" s="111"/>
      <c r="D212" s="111"/>
      <c r="E212" s="111"/>
      <c r="F212" s="111"/>
      <c r="G212" s="111"/>
      <c r="H212" s="111"/>
      <c r="I212" s="88">
        <v>985.34</v>
      </c>
      <c r="J212" s="86"/>
      <c r="K212" s="86"/>
      <c r="L212" s="86"/>
      <c r="M212" s="86"/>
      <c r="N212" s="86">
        <v>1.46</v>
      </c>
    </row>
    <row r="213" spans="1:14" x14ac:dyDescent="0.2">
      <c r="A213" s="110" t="s">
        <v>710</v>
      </c>
      <c r="B213" s="111"/>
      <c r="C213" s="111"/>
      <c r="D213" s="111"/>
      <c r="E213" s="111"/>
      <c r="F213" s="111"/>
      <c r="G213" s="111"/>
      <c r="H213" s="111"/>
      <c r="I213" s="88">
        <v>15837.23</v>
      </c>
      <c r="J213" s="86"/>
      <c r="K213" s="86"/>
      <c r="L213" s="86"/>
      <c r="M213" s="86"/>
      <c r="N213" s="86">
        <v>22.62</v>
      </c>
    </row>
    <row r="214" spans="1:14" x14ac:dyDescent="0.2">
      <c r="A214" s="110" t="s">
        <v>711</v>
      </c>
      <c r="B214" s="111"/>
      <c r="C214" s="111"/>
      <c r="D214" s="111"/>
      <c r="E214" s="111"/>
      <c r="F214" s="111"/>
      <c r="G214" s="111"/>
      <c r="H214" s="111"/>
      <c r="I214" s="88">
        <v>3102.61</v>
      </c>
      <c r="J214" s="86"/>
      <c r="K214" s="86"/>
      <c r="L214" s="86"/>
      <c r="M214" s="86"/>
      <c r="N214" s="86"/>
    </row>
    <row r="215" spans="1:14" x14ac:dyDescent="0.2">
      <c r="A215" s="110" t="s">
        <v>350</v>
      </c>
      <c r="B215" s="111"/>
      <c r="C215" s="111"/>
      <c r="D215" s="111"/>
      <c r="E215" s="111"/>
      <c r="F215" s="111"/>
      <c r="G215" s="111"/>
      <c r="H215" s="111"/>
      <c r="I215" s="88">
        <v>19925.18</v>
      </c>
      <c r="J215" s="86"/>
      <c r="K215" s="86"/>
      <c r="L215" s="86"/>
      <c r="M215" s="86"/>
      <c r="N215" s="86">
        <v>24.08</v>
      </c>
    </row>
    <row r="216" spans="1:14" x14ac:dyDescent="0.2">
      <c r="A216" s="110" t="s">
        <v>351</v>
      </c>
      <c r="B216" s="111"/>
      <c r="C216" s="111"/>
      <c r="D216" s="111"/>
      <c r="E216" s="111"/>
      <c r="F216" s="111"/>
      <c r="G216" s="111"/>
      <c r="H216" s="111"/>
      <c r="I216" s="88"/>
      <c r="J216" s="86"/>
      <c r="K216" s="86"/>
      <c r="L216" s="86"/>
      <c r="M216" s="86"/>
      <c r="N216" s="86"/>
    </row>
    <row r="217" spans="1:14" x14ac:dyDescent="0.2">
      <c r="A217" s="110" t="s">
        <v>352</v>
      </c>
      <c r="B217" s="111"/>
      <c r="C217" s="111"/>
      <c r="D217" s="111"/>
      <c r="E217" s="111"/>
      <c r="F217" s="111"/>
      <c r="G217" s="111"/>
      <c r="H217" s="111"/>
      <c r="I217" s="88">
        <v>8928.41</v>
      </c>
      <c r="J217" s="86"/>
      <c r="K217" s="86"/>
      <c r="L217" s="86"/>
      <c r="M217" s="86"/>
      <c r="N217" s="86"/>
    </row>
    <row r="218" spans="1:14" x14ac:dyDescent="0.2">
      <c r="A218" s="110" t="s">
        <v>353</v>
      </c>
      <c r="B218" s="111"/>
      <c r="C218" s="111"/>
      <c r="D218" s="111"/>
      <c r="E218" s="111"/>
      <c r="F218" s="111"/>
      <c r="G218" s="111"/>
      <c r="H218" s="111"/>
      <c r="I218" s="88">
        <v>1027.6500000000001</v>
      </c>
      <c r="J218" s="86"/>
      <c r="K218" s="86"/>
      <c r="L218" s="86"/>
      <c r="M218" s="86"/>
      <c r="N218" s="86"/>
    </row>
    <row r="219" spans="1:14" x14ac:dyDescent="0.2">
      <c r="A219" s="110" t="s">
        <v>354</v>
      </c>
      <c r="B219" s="111"/>
      <c r="C219" s="111"/>
      <c r="D219" s="111"/>
      <c r="E219" s="111"/>
      <c r="F219" s="111"/>
      <c r="G219" s="111"/>
      <c r="H219" s="111"/>
      <c r="I219" s="88">
        <v>4440.4399999999996</v>
      </c>
      <c r="J219" s="86"/>
      <c r="K219" s="86"/>
      <c r="L219" s="86"/>
      <c r="M219" s="86"/>
      <c r="N219" s="86"/>
    </row>
    <row r="220" spans="1:14" x14ac:dyDescent="0.2">
      <c r="A220" s="110" t="s">
        <v>355</v>
      </c>
      <c r="B220" s="111"/>
      <c r="C220" s="111"/>
      <c r="D220" s="111"/>
      <c r="E220" s="111"/>
      <c r="F220" s="111"/>
      <c r="G220" s="111"/>
      <c r="H220" s="111"/>
      <c r="I220" s="88">
        <v>3398.03</v>
      </c>
      <c r="J220" s="86"/>
      <c r="K220" s="86"/>
      <c r="L220" s="86"/>
      <c r="M220" s="86"/>
      <c r="N220" s="86"/>
    </row>
    <row r="221" spans="1:14" x14ac:dyDescent="0.2">
      <c r="A221" s="110" t="s">
        <v>356</v>
      </c>
      <c r="B221" s="111"/>
      <c r="C221" s="111"/>
      <c r="D221" s="111"/>
      <c r="E221" s="111"/>
      <c r="F221" s="111"/>
      <c r="G221" s="111"/>
      <c r="H221" s="111"/>
      <c r="I221" s="88">
        <v>2131.41</v>
      </c>
      <c r="J221" s="86"/>
      <c r="K221" s="86"/>
      <c r="L221" s="86"/>
      <c r="M221" s="86"/>
      <c r="N221" s="86"/>
    </row>
    <row r="222" spans="1:14" x14ac:dyDescent="0.2">
      <c r="A222" s="135" t="s">
        <v>712</v>
      </c>
      <c r="B222" s="136"/>
      <c r="C222" s="136"/>
      <c r="D222" s="136"/>
      <c r="E222" s="136"/>
      <c r="F222" s="136"/>
      <c r="G222" s="136"/>
      <c r="H222" s="136"/>
      <c r="I222" s="93">
        <v>19925.18</v>
      </c>
      <c r="J222" s="91"/>
      <c r="K222" s="91"/>
      <c r="L222" s="91"/>
      <c r="M222" s="91"/>
      <c r="N222" s="91">
        <v>24.08</v>
      </c>
    </row>
    <row r="223" spans="1:14" ht="17.850000000000001" customHeight="1" x14ac:dyDescent="0.2">
      <c r="A223" s="108" t="s">
        <v>713</v>
      </c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</row>
    <row r="224" spans="1:14" ht="78.75" x14ac:dyDescent="0.2">
      <c r="A224" s="84">
        <v>112</v>
      </c>
      <c r="B224" s="85" t="s">
        <v>714</v>
      </c>
      <c r="C224" s="85" t="s">
        <v>715</v>
      </c>
      <c r="D224" s="84">
        <v>0.99</v>
      </c>
      <c r="E224" s="86" t="s">
        <v>716</v>
      </c>
      <c r="F224" s="86" t="s">
        <v>717</v>
      </c>
      <c r="G224" s="86">
        <v>64.52</v>
      </c>
      <c r="H224" s="87" t="s">
        <v>718</v>
      </c>
      <c r="I224" s="88">
        <v>3137.96</v>
      </c>
      <c r="J224" s="86">
        <v>2473.77</v>
      </c>
      <c r="K224" s="86" t="s">
        <v>719</v>
      </c>
      <c r="L224" s="86" t="str">
        <f>IF(0.99*64.52=0," ",TEXT(,ROUND((0.99*64.52*4.29),2)))</f>
        <v>274.02</v>
      </c>
      <c r="M224" s="86" t="s">
        <v>720</v>
      </c>
      <c r="N224" s="86" t="s">
        <v>721</v>
      </c>
    </row>
    <row r="225" spans="1:14" ht="67.5" x14ac:dyDescent="0.2">
      <c r="A225" s="84">
        <v>113</v>
      </c>
      <c r="B225" s="85" t="s">
        <v>722</v>
      </c>
      <c r="C225" s="85" t="s">
        <v>723</v>
      </c>
      <c r="D225" s="84">
        <v>99</v>
      </c>
      <c r="E225" s="86">
        <v>2.15</v>
      </c>
      <c r="F225" s="86"/>
      <c r="G225" s="86">
        <v>2.15</v>
      </c>
      <c r="H225" s="87" t="s">
        <v>724</v>
      </c>
      <c r="I225" s="88">
        <v>262.35000000000002</v>
      </c>
      <c r="J225" s="86"/>
      <c r="K225" s="86"/>
      <c r="L225" s="86" t="str">
        <f>IF(99*2.15=0," ",TEXT(,ROUND((99*2.15*1.234),2)))</f>
        <v>262.66</v>
      </c>
      <c r="M225" s="86"/>
      <c r="N225" s="86"/>
    </row>
    <row r="226" spans="1:14" ht="56.25" x14ac:dyDescent="0.2">
      <c r="A226" s="84">
        <v>114</v>
      </c>
      <c r="B226" s="85" t="s">
        <v>725</v>
      </c>
      <c r="C226" s="85" t="s">
        <v>726</v>
      </c>
      <c r="D226" s="84">
        <v>0.08</v>
      </c>
      <c r="E226" s="86" t="s">
        <v>727</v>
      </c>
      <c r="F226" s="86" t="s">
        <v>728</v>
      </c>
      <c r="G226" s="86">
        <v>51.53</v>
      </c>
      <c r="H226" s="87" t="s">
        <v>729</v>
      </c>
      <c r="I226" s="88">
        <v>221.17</v>
      </c>
      <c r="J226" s="86">
        <v>203.87</v>
      </c>
      <c r="K226" s="86" t="s">
        <v>730</v>
      </c>
      <c r="L226" s="86" t="str">
        <f>IF(0.08*51.53=0," ",TEXT(,ROUND((0.08*51.53*1.58),2)))</f>
        <v>6.51</v>
      </c>
      <c r="M226" s="86" t="s">
        <v>731</v>
      </c>
      <c r="N226" s="86">
        <v>1.3</v>
      </c>
    </row>
    <row r="227" spans="1:14" ht="67.5" x14ac:dyDescent="0.2">
      <c r="A227" s="84">
        <v>115</v>
      </c>
      <c r="B227" s="85" t="s">
        <v>732</v>
      </c>
      <c r="C227" s="85" t="s">
        <v>733</v>
      </c>
      <c r="D227" s="84">
        <v>0.08</v>
      </c>
      <c r="E227" s="86">
        <v>680</v>
      </c>
      <c r="F227" s="86"/>
      <c r="G227" s="86">
        <v>680</v>
      </c>
      <c r="H227" s="87" t="s">
        <v>734</v>
      </c>
      <c r="I227" s="88">
        <v>361.71</v>
      </c>
      <c r="J227" s="86"/>
      <c r="K227" s="86"/>
      <c r="L227" s="86" t="str">
        <f>IF(0.08*680=0," ",TEXT(,ROUND((0.08*680*6.649),2)))</f>
        <v>361.71</v>
      </c>
      <c r="M227" s="86"/>
      <c r="N227" s="86"/>
    </row>
    <row r="228" spans="1:14" ht="56.25" x14ac:dyDescent="0.2">
      <c r="A228" s="84">
        <v>116</v>
      </c>
      <c r="B228" s="85" t="s">
        <v>735</v>
      </c>
      <c r="C228" s="85" t="s">
        <v>736</v>
      </c>
      <c r="D228" s="84">
        <v>1.96</v>
      </c>
      <c r="E228" s="86" t="s">
        <v>737</v>
      </c>
      <c r="F228" s="86" t="s">
        <v>738</v>
      </c>
      <c r="G228" s="86">
        <v>12.82</v>
      </c>
      <c r="H228" s="87" t="s">
        <v>739</v>
      </c>
      <c r="I228" s="88">
        <v>996.42</v>
      </c>
      <c r="J228" s="86">
        <v>854.74</v>
      </c>
      <c r="K228" s="86" t="s">
        <v>740</v>
      </c>
      <c r="L228" s="86" t="str">
        <f>IF(1.96*12.82=0," ",TEXT(,ROUND((1.96*12.82*3.93),2)))</f>
        <v>98.75</v>
      </c>
      <c r="M228" s="86" t="s">
        <v>741</v>
      </c>
      <c r="N228" s="86" t="s">
        <v>742</v>
      </c>
    </row>
    <row r="229" spans="1:14" ht="146.25" x14ac:dyDescent="0.2">
      <c r="A229" s="84">
        <v>117</v>
      </c>
      <c r="B229" s="85" t="s">
        <v>743</v>
      </c>
      <c r="C229" s="85" t="s">
        <v>744</v>
      </c>
      <c r="D229" s="84" t="s">
        <v>745</v>
      </c>
      <c r="E229" s="86">
        <v>4832.12</v>
      </c>
      <c r="F229" s="86"/>
      <c r="G229" s="86">
        <v>4832.12</v>
      </c>
      <c r="H229" s="87" t="s">
        <v>746</v>
      </c>
      <c r="I229" s="88">
        <v>1685.95</v>
      </c>
      <c r="J229" s="86"/>
      <c r="K229" s="86"/>
      <c r="L229" s="86" t="str">
        <f>IF(0.04182*4832.12=0," ",TEXT(,ROUND((0.04182*4832.12*8.343),2)))</f>
        <v>1685.95</v>
      </c>
      <c r="M229" s="86"/>
      <c r="N229" s="86"/>
    </row>
    <row r="230" spans="1:14" ht="146.25" x14ac:dyDescent="0.2">
      <c r="A230" s="84">
        <v>118</v>
      </c>
      <c r="B230" s="85" t="s">
        <v>747</v>
      </c>
      <c r="C230" s="85" t="s">
        <v>748</v>
      </c>
      <c r="D230" s="84" t="s">
        <v>749</v>
      </c>
      <c r="E230" s="86">
        <v>6557.53</v>
      </c>
      <c r="F230" s="86"/>
      <c r="G230" s="86">
        <v>6557.53</v>
      </c>
      <c r="H230" s="87" t="s">
        <v>750</v>
      </c>
      <c r="I230" s="88">
        <v>1073.4000000000001</v>
      </c>
      <c r="J230" s="86"/>
      <c r="K230" s="86"/>
      <c r="L230" s="86" t="str">
        <f>IF(0.0204*6557.53=0," ",TEXT(,ROUND((0.0204*6557.53*8.024),2)))</f>
        <v>1073.4</v>
      </c>
      <c r="M230" s="86"/>
      <c r="N230" s="86"/>
    </row>
    <row r="231" spans="1:14" ht="78.75" x14ac:dyDescent="0.2">
      <c r="A231" s="84">
        <v>119</v>
      </c>
      <c r="B231" s="85" t="s">
        <v>751</v>
      </c>
      <c r="C231" s="85" t="s">
        <v>752</v>
      </c>
      <c r="D231" s="84" t="s">
        <v>753</v>
      </c>
      <c r="E231" s="86">
        <v>4799.29</v>
      </c>
      <c r="F231" s="86"/>
      <c r="G231" s="86">
        <v>4799.29</v>
      </c>
      <c r="H231" s="87" t="s">
        <v>442</v>
      </c>
      <c r="I231" s="88">
        <v>819.47</v>
      </c>
      <c r="J231" s="86"/>
      <c r="K231" s="86"/>
      <c r="L231" s="86" t="str">
        <f>IF(0.0306*4799.29=0," ",TEXT(,ROUND((0.0306*4799.29*5.58),2)))</f>
        <v>819.47</v>
      </c>
      <c r="M231" s="86"/>
      <c r="N231" s="86"/>
    </row>
    <row r="232" spans="1:14" ht="45" x14ac:dyDescent="0.2">
      <c r="A232" s="84">
        <v>120</v>
      </c>
      <c r="B232" s="85" t="s">
        <v>754</v>
      </c>
      <c r="C232" s="85" t="s">
        <v>755</v>
      </c>
      <c r="D232" s="84" t="s">
        <v>756</v>
      </c>
      <c r="E232" s="86">
        <v>3.57</v>
      </c>
      <c r="F232" s="86"/>
      <c r="G232" s="86">
        <v>3.57</v>
      </c>
      <c r="H232" s="87" t="s">
        <v>442</v>
      </c>
      <c r="I232" s="88">
        <v>3535.4</v>
      </c>
      <c r="J232" s="86"/>
      <c r="K232" s="86"/>
      <c r="L232" s="86" t="str">
        <f>IF(177.48*3.57=0," ",TEXT(,ROUND((177.48*3.57*5.58),2)))</f>
        <v>3535.51</v>
      </c>
      <c r="M232" s="86"/>
      <c r="N232" s="86"/>
    </row>
    <row r="233" spans="1:14" ht="56.25" x14ac:dyDescent="0.2">
      <c r="A233" s="84">
        <v>121</v>
      </c>
      <c r="B233" s="85" t="s">
        <v>757</v>
      </c>
      <c r="C233" s="85" t="s">
        <v>758</v>
      </c>
      <c r="D233" s="84" t="s">
        <v>753</v>
      </c>
      <c r="E233" s="86">
        <v>780.77</v>
      </c>
      <c r="F233" s="86"/>
      <c r="G233" s="86">
        <v>780.77</v>
      </c>
      <c r="H233" s="87" t="s">
        <v>442</v>
      </c>
      <c r="I233" s="88">
        <v>133.32</v>
      </c>
      <c r="J233" s="86"/>
      <c r="K233" s="86"/>
      <c r="L233" s="86" t="str">
        <f>IF(0.0306*780.77=0," ",TEXT(,ROUND((0.0306*780.77*5.58),2)))</f>
        <v>133.31</v>
      </c>
      <c r="M233" s="86"/>
      <c r="N233" s="86"/>
    </row>
    <row r="234" spans="1:14" ht="146.25" x14ac:dyDescent="0.2">
      <c r="A234" s="89">
        <v>122</v>
      </c>
      <c r="B234" s="90" t="s">
        <v>759</v>
      </c>
      <c r="C234" s="90" t="s">
        <v>760</v>
      </c>
      <c r="D234" s="89">
        <v>0.6</v>
      </c>
      <c r="E234" s="91" t="s">
        <v>761</v>
      </c>
      <c r="F234" s="91" t="s">
        <v>738</v>
      </c>
      <c r="G234" s="91">
        <v>104.19</v>
      </c>
      <c r="H234" s="92" t="s">
        <v>762</v>
      </c>
      <c r="I234" s="93">
        <v>1922.66</v>
      </c>
      <c r="J234" s="91">
        <v>1644.94</v>
      </c>
      <c r="K234" s="91" t="s">
        <v>763</v>
      </c>
      <c r="L234" s="91" t="str">
        <f>IF(0.6*104.19=0," ",TEXT(,ROUND((0.6*104.19*3.92),2)))</f>
        <v>245.05</v>
      </c>
      <c r="M234" s="91" t="s">
        <v>764</v>
      </c>
      <c r="N234" s="91" t="s">
        <v>765</v>
      </c>
    </row>
    <row r="235" spans="1:14" ht="22.5" x14ac:dyDescent="0.2">
      <c r="A235" s="110" t="s">
        <v>337</v>
      </c>
      <c r="B235" s="111"/>
      <c r="C235" s="111"/>
      <c r="D235" s="111"/>
      <c r="E235" s="111"/>
      <c r="F235" s="111"/>
      <c r="G235" s="111"/>
      <c r="H235" s="111"/>
      <c r="I235" s="88">
        <v>14149.81</v>
      </c>
      <c r="J235" s="86">
        <v>5177.32</v>
      </c>
      <c r="K235" s="86" t="s">
        <v>766</v>
      </c>
      <c r="L235" s="86">
        <v>8495.92</v>
      </c>
      <c r="M235" s="86"/>
      <c r="N235" s="86" t="s">
        <v>767</v>
      </c>
    </row>
    <row r="236" spans="1:14" x14ac:dyDescent="0.2">
      <c r="A236" s="110" t="s">
        <v>340</v>
      </c>
      <c r="B236" s="111"/>
      <c r="C236" s="111"/>
      <c r="D236" s="111"/>
      <c r="E236" s="111"/>
      <c r="F236" s="111"/>
      <c r="G236" s="111"/>
      <c r="H236" s="111"/>
      <c r="I236" s="88">
        <v>4230.6000000000004</v>
      </c>
      <c r="J236" s="86"/>
      <c r="K236" s="86"/>
      <c r="L236" s="86"/>
      <c r="M236" s="86"/>
      <c r="N236" s="86"/>
    </row>
    <row r="237" spans="1:14" x14ac:dyDescent="0.2">
      <c r="A237" s="110" t="s">
        <v>341</v>
      </c>
      <c r="B237" s="111"/>
      <c r="C237" s="111"/>
      <c r="D237" s="111"/>
      <c r="E237" s="111"/>
      <c r="F237" s="111"/>
      <c r="G237" s="111"/>
      <c r="H237" s="111"/>
      <c r="I237" s="88"/>
      <c r="J237" s="86"/>
      <c r="K237" s="86"/>
      <c r="L237" s="86"/>
      <c r="M237" s="86"/>
      <c r="N237" s="86"/>
    </row>
    <row r="238" spans="1:14" x14ac:dyDescent="0.2">
      <c r="A238" s="110" t="s">
        <v>768</v>
      </c>
      <c r="B238" s="111"/>
      <c r="C238" s="111"/>
      <c r="D238" s="111"/>
      <c r="E238" s="111"/>
      <c r="F238" s="111"/>
      <c r="G238" s="111"/>
      <c r="H238" s="111"/>
      <c r="I238" s="88">
        <v>4230.6000000000004</v>
      </c>
      <c r="J238" s="86"/>
      <c r="K238" s="86"/>
      <c r="L238" s="86"/>
      <c r="M238" s="86"/>
      <c r="N238" s="86"/>
    </row>
    <row r="239" spans="1:14" x14ac:dyDescent="0.2">
      <c r="A239" s="110" t="s">
        <v>344</v>
      </c>
      <c r="B239" s="111"/>
      <c r="C239" s="111"/>
      <c r="D239" s="111"/>
      <c r="E239" s="111"/>
      <c r="F239" s="111"/>
      <c r="G239" s="111"/>
      <c r="H239" s="111"/>
      <c r="I239" s="88">
        <v>2715.94</v>
      </c>
      <c r="J239" s="86"/>
      <c r="K239" s="86"/>
      <c r="L239" s="86"/>
      <c r="M239" s="86"/>
      <c r="N239" s="86"/>
    </row>
    <row r="240" spans="1:14" x14ac:dyDescent="0.2">
      <c r="A240" s="110" t="s">
        <v>341</v>
      </c>
      <c r="B240" s="111"/>
      <c r="C240" s="111"/>
      <c r="D240" s="111"/>
      <c r="E240" s="111"/>
      <c r="F240" s="111"/>
      <c r="G240" s="111"/>
      <c r="H240" s="111"/>
      <c r="I240" s="88"/>
      <c r="J240" s="86"/>
      <c r="K240" s="86"/>
      <c r="L240" s="86"/>
      <c r="M240" s="86"/>
      <c r="N240" s="86"/>
    </row>
    <row r="241" spans="1:14" x14ac:dyDescent="0.2">
      <c r="A241" s="110" t="s">
        <v>769</v>
      </c>
      <c r="B241" s="111"/>
      <c r="C241" s="111"/>
      <c r="D241" s="111"/>
      <c r="E241" s="111"/>
      <c r="F241" s="111"/>
      <c r="G241" s="111"/>
      <c r="H241" s="111"/>
      <c r="I241" s="88">
        <v>2715.94</v>
      </c>
      <c r="J241" s="86"/>
      <c r="K241" s="86"/>
      <c r="L241" s="86"/>
      <c r="M241" s="86"/>
      <c r="N241" s="86"/>
    </row>
    <row r="242" spans="1:14" x14ac:dyDescent="0.2">
      <c r="A242" s="134" t="s">
        <v>770</v>
      </c>
      <c r="B242" s="109"/>
      <c r="C242" s="109"/>
      <c r="D242" s="109"/>
      <c r="E242" s="109"/>
      <c r="F242" s="109"/>
      <c r="G242" s="109"/>
      <c r="H242" s="109"/>
      <c r="I242" s="88"/>
      <c r="J242" s="86"/>
      <c r="K242" s="86"/>
      <c r="L242" s="86"/>
      <c r="M242" s="86"/>
      <c r="N242" s="86"/>
    </row>
    <row r="243" spans="1:14" x14ac:dyDescent="0.2">
      <c r="A243" s="110" t="s">
        <v>602</v>
      </c>
      <c r="B243" s="111"/>
      <c r="C243" s="111"/>
      <c r="D243" s="111"/>
      <c r="E243" s="111"/>
      <c r="F243" s="111"/>
      <c r="G243" s="111"/>
      <c r="H243" s="111"/>
      <c r="I243" s="88">
        <v>7871.6</v>
      </c>
      <c r="J243" s="86"/>
      <c r="K243" s="86"/>
      <c r="L243" s="86"/>
      <c r="M243" s="86"/>
      <c r="N243" s="86"/>
    </row>
    <row r="244" spans="1:14" ht="22.5" x14ac:dyDescent="0.2">
      <c r="A244" s="110" t="s">
        <v>604</v>
      </c>
      <c r="B244" s="111"/>
      <c r="C244" s="111"/>
      <c r="D244" s="111"/>
      <c r="E244" s="111"/>
      <c r="F244" s="111"/>
      <c r="G244" s="111"/>
      <c r="H244" s="111"/>
      <c r="I244" s="88">
        <v>13224.75</v>
      </c>
      <c r="J244" s="86"/>
      <c r="K244" s="86"/>
      <c r="L244" s="86"/>
      <c r="M244" s="86"/>
      <c r="N244" s="86" t="s">
        <v>767</v>
      </c>
    </row>
    <row r="245" spans="1:14" ht="22.5" x14ac:dyDescent="0.2">
      <c r="A245" s="110" t="s">
        <v>350</v>
      </c>
      <c r="B245" s="111"/>
      <c r="C245" s="111"/>
      <c r="D245" s="111"/>
      <c r="E245" s="111"/>
      <c r="F245" s="111"/>
      <c r="G245" s="111"/>
      <c r="H245" s="111"/>
      <c r="I245" s="88">
        <v>21096.35</v>
      </c>
      <c r="J245" s="86"/>
      <c r="K245" s="86"/>
      <c r="L245" s="86"/>
      <c r="M245" s="86"/>
      <c r="N245" s="86" t="s">
        <v>767</v>
      </c>
    </row>
    <row r="246" spans="1:14" x14ac:dyDescent="0.2">
      <c r="A246" s="110" t="s">
        <v>351</v>
      </c>
      <c r="B246" s="111"/>
      <c r="C246" s="111"/>
      <c r="D246" s="111"/>
      <c r="E246" s="111"/>
      <c r="F246" s="111"/>
      <c r="G246" s="111"/>
      <c r="H246" s="111"/>
      <c r="I246" s="88"/>
      <c r="J246" s="86"/>
      <c r="K246" s="86"/>
      <c r="L246" s="86"/>
      <c r="M246" s="86"/>
      <c r="N246" s="86"/>
    </row>
    <row r="247" spans="1:14" x14ac:dyDescent="0.2">
      <c r="A247" s="110" t="s">
        <v>352</v>
      </c>
      <c r="B247" s="111"/>
      <c r="C247" s="111"/>
      <c r="D247" s="111"/>
      <c r="E247" s="111"/>
      <c r="F247" s="111"/>
      <c r="G247" s="111"/>
      <c r="H247" s="111"/>
      <c r="I247" s="88">
        <v>8495.92</v>
      </c>
      <c r="J247" s="86"/>
      <c r="K247" s="86"/>
      <c r="L247" s="86"/>
      <c r="M247" s="86"/>
      <c r="N247" s="86"/>
    </row>
    <row r="248" spans="1:14" x14ac:dyDescent="0.2">
      <c r="A248" s="110" t="s">
        <v>353</v>
      </c>
      <c r="B248" s="111"/>
      <c r="C248" s="111"/>
      <c r="D248" s="111"/>
      <c r="E248" s="111"/>
      <c r="F248" s="111"/>
      <c r="G248" s="111"/>
      <c r="H248" s="111"/>
      <c r="I248" s="88">
        <v>476.57</v>
      </c>
      <c r="J248" s="86"/>
      <c r="K248" s="86"/>
      <c r="L248" s="86"/>
      <c r="M248" s="86"/>
      <c r="N248" s="86"/>
    </row>
    <row r="249" spans="1:14" x14ac:dyDescent="0.2">
      <c r="A249" s="110" t="s">
        <v>354</v>
      </c>
      <c r="B249" s="111"/>
      <c r="C249" s="111"/>
      <c r="D249" s="111"/>
      <c r="E249" s="111"/>
      <c r="F249" s="111"/>
      <c r="G249" s="111"/>
      <c r="H249" s="111"/>
      <c r="I249" s="88">
        <v>5222.96</v>
      </c>
      <c r="J249" s="86"/>
      <c r="K249" s="86"/>
      <c r="L249" s="86"/>
      <c r="M249" s="86"/>
      <c r="N249" s="86"/>
    </row>
    <row r="250" spans="1:14" x14ac:dyDescent="0.2">
      <c r="A250" s="110" t="s">
        <v>355</v>
      </c>
      <c r="B250" s="111"/>
      <c r="C250" s="111"/>
      <c r="D250" s="111"/>
      <c r="E250" s="111"/>
      <c r="F250" s="111"/>
      <c r="G250" s="111"/>
      <c r="H250" s="111"/>
      <c r="I250" s="88">
        <v>4230.6000000000004</v>
      </c>
      <c r="J250" s="86"/>
      <c r="K250" s="86"/>
      <c r="L250" s="86"/>
      <c r="M250" s="86"/>
      <c r="N250" s="86"/>
    </row>
    <row r="251" spans="1:14" x14ac:dyDescent="0.2">
      <c r="A251" s="110" t="s">
        <v>356</v>
      </c>
      <c r="B251" s="111"/>
      <c r="C251" s="111"/>
      <c r="D251" s="111"/>
      <c r="E251" s="111"/>
      <c r="F251" s="111"/>
      <c r="G251" s="111"/>
      <c r="H251" s="111"/>
      <c r="I251" s="88">
        <v>2715.94</v>
      </c>
      <c r="J251" s="86"/>
      <c r="K251" s="86"/>
      <c r="L251" s="86"/>
      <c r="M251" s="86"/>
      <c r="N251" s="86"/>
    </row>
    <row r="252" spans="1:14" ht="22.5" x14ac:dyDescent="0.2">
      <c r="A252" s="135" t="s">
        <v>771</v>
      </c>
      <c r="B252" s="136"/>
      <c r="C252" s="136"/>
      <c r="D252" s="136"/>
      <c r="E252" s="136"/>
      <c r="F252" s="136"/>
      <c r="G252" s="136"/>
      <c r="H252" s="136"/>
      <c r="I252" s="93">
        <v>21096.35</v>
      </c>
      <c r="J252" s="91"/>
      <c r="K252" s="91"/>
      <c r="L252" s="91"/>
      <c r="M252" s="91"/>
      <c r="N252" s="91" t="s">
        <v>767</v>
      </c>
    </row>
    <row r="253" spans="1:14" ht="17.850000000000001" customHeight="1" x14ac:dyDescent="0.2">
      <c r="A253" s="108" t="s">
        <v>772</v>
      </c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</row>
    <row r="254" spans="1:14" ht="112.5" x14ac:dyDescent="0.2">
      <c r="A254" s="84">
        <v>123</v>
      </c>
      <c r="B254" s="85" t="s">
        <v>773</v>
      </c>
      <c r="C254" s="85" t="s">
        <v>774</v>
      </c>
      <c r="D254" s="84">
        <v>2</v>
      </c>
      <c r="E254" s="86" t="s">
        <v>775</v>
      </c>
      <c r="F254" s="86" t="s">
        <v>776</v>
      </c>
      <c r="G254" s="86">
        <v>499.76</v>
      </c>
      <c r="H254" s="87" t="s">
        <v>777</v>
      </c>
      <c r="I254" s="88">
        <v>7023.7</v>
      </c>
      <c r="J254" s="86">
        <v>2361.2399999999998</v>
      </c>
      <c r="K254" s="86" t="s">
        <v>778</v>
      </c>
      <c r="L254" s="86" t="str">
        <f>IF(2*499.76=0," ",TEXT(,ROUND((2*499.76*4.44),2)))</f>
        <v>4437.87</v>
      </c>
      <c r="M254" s="86" t="s">
        <v>779</v>
      </c>
      <c r="N254" s="86" t="s">
        <v>780</v>
      </c>
    </row>
    <row r="255" spans="1:14" ht="112.5" x14ac:dyDescent="0.2">
      <c r="A255" s="89">
        <v>124</v>
      </c>
      <c r="B255" s="90" t="s">
        <v>781</v>
      </c>
      <c r="C255" s="90" t="s">
        <v>782</v>
      </c>
      <c r="D255" s="89">
        <v>2</v>
      </c>
      <c r="E255" s="91" t="s">
        <v>783</v>
      </c>
      <c r="F255" s="91" t="s">
        <v>784</v>
      </c>
      <c r="G255" s="91">
        <v>316.92</v>
      </c>
      <c r="H255" s="92" t="s">
        <v>785</v>
      </c>
      <c r="I255" s="93">
        <v>4863.3599999999997</v>
      </c>
      <c r="J255" s="91">
        <v>2035.2</v>
      </c>
      <c r="K255" s="91" t="s">
        <v>786</v>
      </c>
      <c r="L255" s="91" t="str">
        <f>IF(2*316.92=0," ",TEXT(,ROUND((2*316.92*4.27),2)))</f>
        <v>2706.5</v>
      </c>
      <c r="M255" s="91" t="s">
        <v>787</v>
      </c>
      <c r="N255" s="91" t="s">
        <v>788</v>
      </c>
    </row>
    <row r="256" spans="1:14" ht="22.5" x14ac:dyDescent="0.2">
      <c r="A256" s="110" t="s">
        <v>337</v>
      </c>
      <c r="B256" s="111"/>
      <c r="C256" s="111"/>
      <c r="D256" s="111"/>
      <c r="E256" s="111"/>
      <c r="F256" s="111"/>
      <c r="G256" s="111"/>
      <c r="H256" s="111"/>
      <c r="I256" s="88">
        <v>11887.06</v>
      </c>
      <c r="J256" s="86">
        <v>4396.4399999999996</v>
      </c>
      <c r="K256" s="86" t="s">
        <v>789</v>
      </c>
      <c r="L256" s="86">
        <v>7144.36</v>
      </c>
      <c r="M256" s="86"/>
      <c r="N256" s="86" t="s">
        <v>790</v>
      </c>
    </row>
    <row r="257" spans="1:14" x14ac:dyDescent="0.2">
      <c r="A257" s="110" t="s">
        <v>340</v>
      </c>
      <c r="B257" s="111"/>
      <c r="C257" s="111"/>
      <c r="D257" s="111"/>
      <c r="E257" s="111"/>
      <c r="F257" s="111"/>
      <c r="G257" s="111"/>
      <c r="H257" s="111"/>
      <c r="I257" s="88">
        <v>4321.72</v>
      </c>
      <c r="J257" s="86"/>
      <c r="K257" s="86"/>
      <c r="L257" s="86"/>
      <c r="M257" s="86"/>
      <c r="N257" s="86"/>
    </row>
    <row r="258" spans="1:14" x14ac:dyDescent="0.2">
      <c r="A258" s="110" t="s">
        <v>341</v>
      </c>
      <c r="B258" s="111"/>
      <c r="C258" s="111"/>
      <c r="D258" s="111"/>
      <c r="E258" s="111"/>
      <c r="F258" s="111"/>
      <c r="G258" s="111"/>
      <c r="H258" s="111"/>
      <c r="I258" s="88"/>
      <c r="J258" s="86"/>
      <c r="K258" s="86"/>
      <c r="L258" s="86"/>
      <c r="M258" s="86"/>
      <c r="N258" s="86"/>
    </row>
    <row r="259" spans="1:14" x14ac:dyDescent="0.2">
      <c r="A259" s="110" t="s">
        <v>791</v>
      </c>
      <c r="B259" s="111"/>
      <c r="C259" s="111"/>
      <c r="D259" s="111"/>
      <c r="E259" s="111"/>
      <c r="F259" s="111"/>
      <c r="G259" s="111"/>
      <c r="H259" s="111"/>
      <c r="I259" s="88">
        <v>4321.72</v>
      </c>
      <c r="J259" s="86"/>
      <c r="K259" s="86"/>
      <c r="L259" s="86"/>
      <c r="M259" s="86"/>
      <c r="N259" s="86"/>
    </row>
    <row r="260" spans="1:14" x14ac:dyDescent="0.2">
      <c r="A260" s="110" t="s">
        <v>344</v>
      </c>
      <c r="B260" s="111"/>
      <c r="C260" s="111"/>
      <c r="D260" s="111"/>
      <c r="E260" s="111"/>
      <c r="F260" s="111"/>
      <c r="G260" s="111"/>
      <c r="H260" s="111"/>
      <c r="I260" s="88">
        <v>2469.56</v>
      </c>
      <c r="J260" s="86"/>
      <c r="K260" s="86"/>
      <c r="L260" s="86"/>
      <c r="M260" s="86"/>
      <c r="N260" s="86"/>
    </row>
    <row r="261" spans="1:14" x14ac:dyDescent="0.2">
      <c r="A261" s="110" t="s">
        <v>341</v>
      </c>
      <c r="B261" s="111"/>
      <c r="C261" s="111"/>
      <c r="D261" s="111"/>
      <c r="E261" s="111"/>
      <c r="F261" s="111"/>
      <c r="G261" s="111"/>
      <c r="H261" s="111"/>
      <c r="I261" s="88"/>
      <c r="J261" s="86"/>
      <c r="K261" s="86"/>
      <c r="L261" s="86"/>
      <c r="M261" s="86"/>
      <c r="N261" s="86"/>
    </row>
    <row r="262" spans="1:14" x14ac:dyDescent="0.2">
      <c r="A262" s="110" t="s">
        <v>792</v>
      </c>
      <c r="B262" s="111"/>
      <c r="C262" s="111"/>
      <c r="D262" s="111"/>
      <c r="E262" s="111"/>
      <c r="F262" s="111"/>
      <c r="G262" s="111"/>
      <c r="H262" s="111"/>
      <c r="I262" s="88">
        <v>2469.56</v>
      </c>
      <c r="J262" s="86"/>
      <c r="K262" s="86"/>
      <c r="L262" s="86"/>
      <c r="M262" s="86"/>
      <c r="N262" s="86"/>
    </row>
    <row r="263" spans="1:14" x14ac:dyDescent="0.2">
      <c r="A263" s="134" t="s">
        <v>793</v>
      </c>
      <c r="B263" s="109"/>
      <c r="C263" s="109"/>
      <c r="D263" s="109"/>
      <c r="E263" s="109"/>
      <c r="F263" s="109"/>
      <c r="G263" s="109"/>
      <c r="H263" s="109"/>
      <c r="I263" s="88"/>
      <c r="J263" s="86"/>
      <c r="K263" s="86"/>
      <c r="L263" s="86"/>
      <c r="M263" s="86"/>
      <c r="N263" s="86"/>
    </row>
    <row r="264" spans="1:14" ht="22.5" x14ac:dyDescent="0.2">
      <c r="A264" s="110" t="s">
        <v>349</v>
      </c>
      <c r="B264" s="111"/>
      <c r="C264" s="111"/>
      <c r="D264" s="111"/>
      <c r="E264" s="111"/>
      <c r="F264" s="111"/>
      <c r="G264" s="111"/>
      <c r="H264" s="111"/>
      <c r="I264" s="88">
        <v>18678.34</v>
      </c>
      <c r="J264" s="86"/>
      <c r="K264" s="86"/>
      <c r="L264" s="86"/>
      <c r="M264" s="86"/>
      <c r="N264" s="86" t="s">
        <v>790</v>
      </c>
    </row>
    <row r="265" spans="1:14" ht="22.5" x14ac:dyDescent="0.2">
      <c r="A265" s="110" t="s">
        <v>350</v>
      </c>
      <c r="B265" s="111"/>
      <c r="C265" s="111"/>
      <c r="D265" s="111"/>
      <c r="E265" s="111"/>
      <c r="F265" s="111"/>
      <c r="G265" s="111"/>
      <c r="H265" s="111"/>
      <c r="I265" s="88">
        <v>18678.34</v>
      </c>
      <c r="J265" s="86"/>
      <c r="K265" s="86"/>
      <c r="L265" s="86"/>
      <c r="M265" s="86"/>
      <c r="N265" s="86" t="s">
        <v>790</v>
      </c>
    </row>
    <row r="266" spans="1:14" x14ac:dyDescent="0.2">
      <c r="A266" s="110" t="s">
        <v>351</v>
      </c>
      <c r="B266" s="111"/>
      <c r="C266" s="111"/>
      <c r="D266" s="111"/>
      <c r="E266" s="111"/>
      <c r="F266" s="111"/>
      <c r="G266" s="111"/>
      <c r="H266" s="111"/>
      <c r="I266" s="88"/>
      <c r="J266" s="86"/>
      <c r="K266" s="86"/>
      <c r="L266" s="86"/>
      <c r="M266" s="86"/>
      <c r="N266" s="86"/>
    </row>
    <row r="267" spans="1:14" x14ac:dyDescent="0.2">
      <c r="A267" s="110" t="s">
        <v>352</v>
      </c>
      <c r="B267" s="111"/>
      <c r="C267" s="111"/>
      <c r="D267" s="111"/>
      <c r="E267" s="111"/>
      <c r="F267" s="111"/>
      <c r="G267" s="111"/>
      <c r="H267" s="111"/>
      <c r="I267" s="88">
        <v>7144.36</v>
      </c>
      <c r="J267" s="86"/>
      <c r="K267" s="86"/>
      <c r="L267" s="86"/>
      <c r="M267" s="86"/>
      <c r="N267" s="86"/>
    </row>
    <row r="268" spans="1:14" x14ac:dyDescent="0.2">
      <c r="A268" s="110" t="s">
        <v>353</v>
      </c>
      <c r="B268" s="111"/>
      <c r="C268" s="111"/>
      <c r="D268" s="111"/>
      <c r="E268" s="111"/>
      <c r="F268" s="111"/>
      <c r="G268" s="111"/>
      <c r="H268" s="111"/>
      <c r="I268" s="88">
        <v>346.26</v>
      </c>
      <c r="J268" s="86"/>
      <c r="K268" s="86"/>
      <c r="L268" s="86"/>
      <c r="M268" s="86"/>
      <c r="N268" s="86"/>
    </row>
    <row r="269" spans="1:14" x14ac:dyDescent="0.2">
      <c r="A269" s="110" t="s">
        <v>354</v>
      </c>
      <c r="B269" s="111"/>
      <c r="C269" s="111"/>
      <c r="D269" s="111"/>
      <c r="E269" s="111"/>
      <c r="F269" s="111"/>
      <c r="G269" s="111"/>
      <c r="H269" s="111"/>
      <c r="I269" s="88">
        <v>4409.92</v>
      </c>
      <c r="J269" s="86"/>
      <c r="K269" s="86"/>
      <c r="L269" s="86"/>
      <c r="M269" s="86"/>
      <c r="N269" s="86"/>
    </row>
    <row r="270" spans="1:14" x14ac:dyDescent="0.2">
      <c r="A270" s="110" t="s">
        <v>355</v>
      </c>
      <c r="B270" s="111"/>
      <c r="C270" s="111"/>
      <c r="D270" s="111"/>
      <c r="E270" s="111"/>
      <c r="F270" s="111"/>
      <c r="G270" s="111"/>
      <c r="H270" s="111"/>
      <c r="I270" s="88">
        <v>4321.72</v>
      </c>
      <c r="J270" s="86"/>
      <c r="K270" s="86"/>
      <c r="L270" s="86"/>
      <c r="M270" s="86"/>
      <c r="N270" s="86"/>
    </row>
    <row r="271" spans="1:14" x14ac:dyDescent="0.2">
      <c r="A271" s="110" t="s">
        <v>356</v>
      </c>
      <c r="B271" s="111"/>
      <c r="C271" s="111"/>
      <c r="D271" s="111"/>
      <c r="E271" s="111"/>
      <c r="F271" s="111"/>
      <c r="G271" s="111"/>
      <c r="H271" s="111"/>
      <c r="I271" s="88">
        <v>2469.56</v>
      </c>
      <c r="J271" s="86"/>
      <c r="K271" s="86"/>
      <c r="L271" s="86"/>
      <c r="M271" s="86"/>
      <c r="N271" s="86"/>
    </row>
    <row r="272" spans="1:14" ht="22.5" x14ac:dyDescent="0.2">
      <c r="A272" s="135" t="s">
        <v>794</v>
      </c>
      <c r="B272" s="136"/>
      <c r="C272" s="136"/>
      <c r="D272" s="136"/>
      <c r="E272" s="136"/>
      <c r="F272" s="136"/>
      <c r="G272" s="136"/>
      <c r="H272" s="136"/>
      <c r="I272" s="93">
        <v>18678.34</v>
      </c>
      <c r="J272" s="91"/>
      <c r="K272" s="91"/>
      <c r="L272" s="91"/>
      <c r="M272" s="91"/>
      <c r="N272" s="91" t="s">
        <v>790</v>
      </c>
    </row>
    <row r="273" spans="1:14" ht="22.5" x14ac:dyDescent="0.2">
      <c r="A273" s="142" t="s">
        <v>795</v>
      </c>
      <c r="B273" s="111"/>
      <c r="C273" s="111"/>
      <c r="D273" s="111"/>
      <c r="E273" s="111"/>
      <c r="F273" s="111"/>
      <c r="G273" s="111"/>
      <c r="H273" s="111"/>
      <c r="I273" s="94">
        <v>964593.28</v>
      </c>
      <c r="J273" s="94">
        <v>51271.51</v>
      </c>
      <c r="K273" s="94" t="s">
        <v>796</v>
      </c>
      <c r="L273" s="94">
        <v>521071.32</v>
      </c>
      <c r="M273" s="94"/>
      <c r="N273" s="94" t="s">
        <v>797</v>
      </c>
    </row>
    <row r="274" spans="1:14" x14ac:dyDescent="0.2">
      <c r="A274" s="142" t="s">
        <v>340</v>
      </c>
      <c r="B274" s="111"/>
      <c r="C274" s="111"/>
      <c r="D274" s="111"/>
      <c r="E274" s="111"/>
      <c r="F274" s="111"/>
      <c r="G274" s="111"/>
      <c r="H274" s="111"/>
      <c r="I274" s="94">
        <v>45838.67</v>
      </c>
      <c r="J274" s="94"/>
      <c r="K274" s="94"/>
      <c r="L274" s="94"/>
      <c r="M274" s="94"/>
      <c r="N274" s="94"/>
    </row>
    <row r="275" spans="1:14" x14ac:dyDescent="0.2">
      <c r="A275" s="142" t="s">
        <v>344</v>
      </c>
      <c r="B275" s="111"/>
      <c r="C275" s="111"/>
      <c r="D275" s="111"/>
      <c r="E275" s="111"/>
      <c r="F275" s="111"/>
      <c r="G275" s="111"/>
      <c r="H275" s="111"/>
      <c r="I275" s="94">
        <v>27418.639999999999</v>
      </c>
      <c r="J275" s="94"/>
      <c r="K275" s="94"/>
      <c r="L275" s="94"/>
      <c r="M275" s="94"/>
      <c r="N275" s="94"/>
    </row>
    <row r="276" spans="1:14" x14ac:dyDescent="0.2">
      <c r="A276" s="139" t="s">
        <v>798</v>
      </c>
      <c r="B276" s="109"/>
      <c r="C276" s="109"/>
      <c r="D276" s="109"/>
      <c r="E276" s="109"/>
      <c r="F276" s="109"/>
      <c r="G276" s="109"/>
      <c r="H276" s="109"/>
      <c r="I276" s="94"/>
      <c r="J276" s="94"/>
      <c r="K276" s="94"/>
      <c r="L276" s="94"/>
      <c r="M276" s="94"/>
      <c r="N276" s="94"/>
    </row>
    <row r="277" spans="1:14" ht="22.5" x14ac:dyDescent="0.2">
      <c r="A277" s="142" t="s">
        <v>602</v>
      </c>
      <c r="B277" s="111"/>
      <c r="C277" s="111"/>
      <c r="D277" s="111"/>
      <c r="E277" s="111"/>
      <c r="F277" s="111"/>
      <c r="G277" s="111"/>
      <c r="H277" s="111"/>
      <c r="I277" s="94">
        <v>616778</v>
      </c>
      <c r="J277" s="94"/>
      <c r="K277" s="94"/>
      <c r="L277" s="94"/>
      <c r="M277" s="94"/>
      <c r="N277" s="94" t="s">
        <v>799</v>
      </c>
    </row>
    <row r="278" spans="1:14" ht="22.5" x14ac:dyDescent="0.2">
      <c r="A278" s="142" t="s">
        <v>604</v>
      </c>
      <c r="B278" s="111"/>
      <c r="C278" s="111"/>
      <c r="D278" s="111"/>
      <c r="E278" s="111"/>
      <c r="F278" s="111"/>
      <c r="G278" s="111"/>
      <c r="H278" s="111"/>
      <c r="I278" s="94">
        <v>36083.42</v>
      </c>
      <c r="J278" s="94"/>
      <c r="K278" s="94"/>
      <c r="L278" s="94"/>
      <c r="M278" s="94"/>
      <c r="N278" s="94" t="s">
        <v>800</v>
      </c>
    </row>
    <row r="279" spans="1:14" x14ac:dyDescent="0.2">
      <c r="A279" s="142" t="s">
        <v>605</v>
      </c>
      <c r="B279" s="111"/>
      <c r="C279" s="111"/>
      <c r="D279" s="111"/>
      <c r="E279" s="111"/>
      <c r="F279" s="111"/>
      <c r="G279" s="111"/>
      <c r="H279" s="111"/>
      <c r="I279" s="94">
        <v>384989.17</v>
      </c>
      <c r="J279" s="94"/>
      <c r="K279" s="94"/>
      <c r="L279" s="94"/>
      <c r="M279" s="94"/>
      <c r="N279" s="94"/>
    </row>
    <row r="280" spans="1:14" ht="22.5" x14ac:dyDescent="0.2">
      <c r="A280" s="142" t="s">
        <v>350</v>
      </c>
      <c r="B280" s="111"/>
      <c r="C280" s="111"/>
      <c r="D280" s="111"/>
      <c r="E280" s="111"/>
      <c r="F280" s="111"/>
      <c r="G280" s="111"/>
      <c r="H280" s="111"/>
      <c r="I280" s="94">
        <v>1037850.59</v>
      </c>
      <c r="J280" s="94"/>
      <c r="K280" s="94"/>
      <c r="L280" s="94"/>
      <c r="M280" s="94"/>
      <c r="N280" s="94" t="s">
        <v>797</v>
      </c>
    </row>
    <row r="281" spans="1:14" x14ac:dyDescent="0.2">
      <c r="A281" s="142" t="s">
        <v>351</v>
      </c>
      <c r="B281" s="111"/>
      <c r="C281" s="111"/>
      <c r="D281" s="111"/>
      <c r="E281" s="111"/>
      <c r="F281" s="111"/>
      <c r="G281" s="111"/>
      <c r="H281" s="111"/>
      <c r="I281" s="94"/>
      <c r="J281" s="94"/>
      <c r="K281" s="94"/>
      <c r="L281" s="94"/>
      <c r="M281" s="94"/>
      <c r="N281" s="94"/>
    </row>
    <row r="282" spans="1:14" x14ac:dyDescent="0.2">
      <c r="A282" s="142" t="s">
        <v>352</v>
      </c>
      <c r="B282" s="111"/>
      <c r="C282" s="111"/>
      <c r="D282" s="111"/>
      <c r="E282" s="111"/>
      <c r="F282" s="111"/>
      <c r="G282" s="111"/>
      <c r="H282" s="111"/>
      <c r="I282" s="94">
        <v>521071.32</v>
      </c>
      <c r="J282" s="94"/>
      <c r="K282" s="94"/>
      <c r="L282" s="94"/>
      <c r="M282" s="94"/>
      <c r="N282" s="94"/>
    </row>
    <row r="283" spans="1:14" x14ac:dyDescent="0.2">
      <c r="A283" s="142" t="s">
        <v>353</v>
      </c>
      <c r="B283" s="111"/>
      <c r="C283" s="111"/>
      <c r="D283" s="111"/>
      <c r="E283" s="111"/>
      <c r="F283" s="111"/>
      <c r="G283" s="111"/>
      <c r="H283" s="111"/>
      <c r="I283" s="94">
        <v>7261.28</v>
      </c>
      <c r="J283" s="94"/>
      <c r="K283" s="94"/>
      <c r="L283" s="94"/>
      <c r="M283" s="94"/>
      <c r="N283" s="94"/>
    </row>
    <row r="284" spans="1:14" x14ac:dyDescent="0.2">
      <c r="A284" s="142" t="s">
        <v>354</v>
      </c>
      <c r="B284" s="111"/>
      <c r="C284" s="111"/>
      <c r="D284" s="111"/>
      <c r="E284" s="111"/>
      <c r="F284" s="111"/>
      <c r="G284" s="111"/>
      <c r="H284" s="111"/>
      <c r="I284" s="94">
        <v>51618.23</v>
      </c>
      <c r="J284" s="94"/>
      <c r="K284" s="94"/>
      <c r="L284" s="94"/>
      <c r="M284" s="94"/>
      <c r="N284" s="94"/>
    </row>
    <row r="285" spans="1:14" x14ac:dyDescent="0.2">
      <c r="A285" s="142" t="s">
        <v>606</v>
      </c>
      <c r="B285" s="111"/>
      <c r="C285" s="111"/>
      <c r="D285" s="111"/>
      <c r="E285" s="111"/>
      <c r="F285" s="111"/>
      <c r="G285" s="111"/>
      <c r="H285" s="111"/>
      <c r="I285" s="94">
        <v>384989.17</v>
      </c>
      <c r="J285" s="94"/>
      <c r="K285" s="94"/>
      <c r="L285" s="94"/>
      <c r="M285" s="94"/>
      <c r="N285" s="94"/>
    </row>
    <row r="286" spans="1:14" x14ac:dyDescent="0.2">
      <c r="A286" s="142" t="s">
        <v>355</v>
      </c>
      <c r="B286" s="111"/>
      <c r="C286" s="111"/>
      <c r="D286" s="111"/>
      <c r="E286" s="111"/>
      <c r="F286" s="111"/>
      <c r="G286" s="111"/>
      <c r="H286" s="111"/>
      <c r="I286" s="94">
        <v>45838.67</v>
      </c>
      <c r="J286" s="94"/>
      <c r="K286" s="94"/>
      <c r="L286" s="94"/>
      <c r="M286" s="94"/>
      <c r="N286" s="94"/>
    </row>
    <row r="287" spans="1:14" x14ac:dyDescent="0.2">
      <c r="A287" s="142" t="s">
        <v>356</v>
      </c>
      <c r="B287" s="111"/>
      <c r="C287" s="111"/>
      <c r="D287" s="111"/>
      <c r="E287" s="111"/>
      <c r="F287" s="111"/>
      <c r="G287" s="111"/>
      <c r="H287" s="111"/>
      <c r="I287" s="94">
        <v>27418.639999999999</v>
      </c>
      <c r="J287" s="94"/>
      <c r="K287" s="94"/>
      <c r="L287" s="94"/>
      <c r="M287" s="94"/>
      <c r="N287" s="94"/>
    </row>
    <row r="288" spans="1:14" ht="22.5" x14ac:dyDescent="0.2">
      <c r="A288" s="139" t="s">
        <v>801</v>
      </c>
      <c r="B288" s="109"/>
      <c r="C288" s="109"/>
      <c r="D288" s="109"/>
      <c r="E288" s="109"/>
      <c r="F288" s="109"/>
      <c r="G288" s="109"/>
      <c r="H288" s="109"/>
      <c r="I288" s="94">
        <v>1037850.59</v>
      </c>
      <c r="J288" s="94"/>
      <c r="K288" s="94"/>
      <c r="L288" s="94"/>
      <c r="M288" s="94"/>
      <c r="N288" s="94" t="s">
        <v>797</v>
      </c>
    </row>
    <row r="289" spans="1:14" x14ac:dyDescent="0.2">
      <c r="A289" s="55"/>
      <c r="B289" s="58"/>
      <c r="C289" s="58"/>
      <c r="D289" s="55"/>
      <c r="E289" s="56"/>
      <c r="F289" s="56"/>
      <c r="G289" s="56"/>
      <c r="H289" s="56"/>
      <c r="I289" s="57"/>
      <c r="J289" s="56"/>
      <c r="K289" s="56"/>
      <c r="L289" s="56"/>
      <c r="M289" s="56"/>
      <c r="N289" s="77"/>
    </row>
    <row r="290" spans="1:14" x14ac:dyDescent="0.2">
      <c r="A290" s="55"/>
      <c r="B290" s="58"/>
      <c r="C290" s="58"/>
      <c r="D290" s="55"/>
      <c r="E290" s="56"/>
      <c r="F290" s="56"/>
      <c r="G290" s="56"/>
      <c r="H290" s="56"/>
      <c r="I290" s="57"/>
      <c r="J290" s="56"/>
      <c r="K290" s="56"/>
      <c r="L290" s="56"/>
      <c r="M290" s="56"/>
      <c r="N290" s="77"/>
    </row>
    <row r="291" spans="1:14" x14ac:dyDescent="0.2">
      <c r="A291" s="55"/>
      <c r="B291" s="58"/>
      <c r="C291" s="78" t="s">
        <v>808</v>
      </c>
      <c r="D291" s="55"/>
      <c r="E291" s="56"/>
      <c r="F291" s="78" t="s">
        <v>316</v>
      </c>
      <c r="G291" s="78"/>
      <c r="H291" s="78"/>
      <c r="I291" s="56"/>
      <c r="J291" s="56"/>
      <c r="K291" s="56"/>
      <c r="L291" s="56"/>
      <c r="M291" s="56"/>
      <c r="N291" s="77"/>
    </row>
    <row r="292" spans="1:14" x14ac:dyDescent="0.2">
      <c r="A292" s="79"/>
      <c r="B292" s="79"/>
      <c r="C292" s="79"/>
      <c r="D292" s="79"/>
      <c r="E292" s="80"/>
      <c r="F292" s="80"/>
      <c r="G292" s="80"/>
      <c r="H292" s="80"/>
      <c r="I292" s="80"/>
      <c r="J292" s="80"/>
      <c r="K292" s="80"/>
      <c r="L292" s="80"/>
      <c r="M292" s="80"/>
      <c r="N292" s="77"/>
    </row>
    <row r="293" spans="1:14" x14ac:dyDescent="0.2">
      <c r="A293" s="53"/>
      <c r="B293" s="53"/>
      <c r="C293" s="53"/>
      <c r="D293" s="53"/>
      <c r="E293" s="54"/>
      <c r="F293" s="54"/>
      <c r="G293" s="54"/>
      <c r="H293" s="54"/>
      <c r="I293" s="54"/>
      <c r="J293" s="54"/>
      <c r="K293" s="54"/>
      <c r="L293" s="54"/>
      <c r="M293" s="54"/>
      <c r="N293" s="52"/>
    </row>
    <row r="295" spans="1:14" x14ac:dyDescent="0.2">
      <c r="B295" s="53"/>
    </row>
  </sheetData>
  <mergeCells count="166">
    <mergeCell ref="A288:H288"/>
    <mergeCell ref="C1:L1"/>
    <mergeCell ref="J3:N3"/>
    <mergeCell ref="J4:N4"/>
    <mergeCell ref="J6:N6"/>
    <mergeCell ref="A283:H283"/>
    <mergeCell ref="A284:H284"/>
    <mergeCell ref="A285:H285"/>
    <mergeCell ref="A286:H286"/>
    <mergeCell ref="A287:H287"/>
    <mergeCell ref="A277:H277"/>
    <mergeCell ref="A278:H278"/>
    <mergeCell ref="A279:H279"/>
    <mergeCell ref="A280:H280"/>
    <mergeCell ref="A281:H281"/>
    <mergeCell ref="A282:H282"/>
    <mergeCell ref="A271:H271"/>
    <mergeCell ref="A272:H272"/>
    <mergeCell ref="A273:H273"/>
    <mergeCell ref="A274:H274"/>
    <mergeCell ref="A275:H275"/>
    <mergeCell ref="A276:H276"/>
    <mergeCell ref="A265:H265"/>
    <mergeCell ref="A266:H266"/>
    <mergeCell ref="A267:H267"/>
    <mergeCell ref="A268:H268"/>
    <mergeCell ref="A269:H269"/>
    <mergeCell ref="A270:H270"/>
    <mergeCell ref="A259:H259"/>
    <mergeCell ref="A260:H260"/>
    <mergeCell ref="A261:H261"/>
    <mergeCell ref="A262:H262"/>
    <mergeCell ref="A263:H263"/>
    <mergeCell ref="A264:H264"/>
    <mergeCell ref="A251:H251"/>
    <mergeCell ref="A252:H252"/>
    <mergeCell ref="A253:N253"/>
    <mergeCell ref="A256:H256"/>
    <mergeCell ref="A257:H257"/>
    <mergeCell ref="A258:H258"/>
    <mergeCell ref="A245:H245"/>
    <mergeCell ref="A246:H246"/>
    <mergeCell ref="A247:H247"/>
    <mergeCell ref="A248:H248"/>
    <mergeCell ref="A249:H249"/>
    <mergeCell ref="A250:H250"/>
    <mergeCell ref="A239:H239"/>
    <mergeCell ref="A240:H240"/>
    <mergeCell ref="A241:H241"/>
    <mergeCell ref="A242:H242"/>
    <mergeCell ref="A243:H243"/>
    <mergeCell ref="A244:H244"/>
    <mergeCell ref="A222:H222"/>
    <mergeCell ref="A223:N223"/>
    <mergeCell ref="A235:H235"/>
    <mergeCell ref="A236:H236"/>
    <mergeCell ref="A237:H237"/>
    <mergeCell ref="A238:H238"/>
    <mergeCell ref="A216:H216"/>
    <mergeCell ref="A217:H217"/>
    <mergeCell ref="A218:H218"/>
    <mergeCell ref="A219:H219"/>
    <mergeCell ref="A220:H220"/>
    <mergeCell ref="A221:H221"/>
    <mergeCell ref="A210:H210"/>
    <mergeCell ref="A211:H211"/>
    <mergeCell ref="A212:H212"/>
    <mergeCell ref="A213:H213"/>
    <mergeCell ref="A214:H214"/>
    <mergeCell ref="A215:H215"/>
    <mergeCell ref="A204:H204"/>
    <mergeCell ref="A205:H205"/>
    <mergeCell ref="A206:H206"/>
    <mergeCell ref="A207:H207"/>
    <mergeCell ref="A208:H208"/>
    <mergeCell ref="A209:H209"/>
    <mergeCell ref="A193:H193"/>
    <mergeCell ref="A194:H194"/>
    <mergeCell ref="A195:H195"/>
    <mergeCell ref="A196:H196"/>
    <mergeCell ref="A197:N197"/>
    <mergeCell ref="A203:H203"/>
    <mergeCell ref="A187:H187"/>
    <mergeCell ref="A188:H188"/>
    <mergeCell ref="A189:H189"/>
    <mergeCell ref="A190:H190"/>
    <mergeCell ref="A191:H191"/>
    <mergeCell ref="A192:H192"/>
    <mergeCell ref="A181:H181"/>
    <mergeCell ref="A182:H182"/>
    <mergeCell ref="A183:H183"/>
    <mergeCell ref="A184:H184"/>
    <mergeCell ref="A185:H185"/>
    <mergeCell ref="A186:H186"/>
    <mergeCell ref="A175:H175"/>
    <mergeCell ref="A176:H176"/>
    <mergeCell ref="A177:H177"/>
    <mergeCell ref="A178:H178"/>
    <mergeCell ref="A179:H179"/>
    <mergeCell ref="A180:H180"/>
    <mergeCell ref="A132:H132"/>
    <mergeCell ref="A133:H133"/>
    <mergeCell ref="A134:H134"/>
    <mergeCell ref="A135:H135"/>
    <mergeCell ref="A136:N136"/>
    <mergeCell ref="A158:N158"/>
    <mergeCell ref="A126:H126"/>
    <mergeCell ref="A127:H127"/>
    <mergeCell ref="A128:H128"/>
    <mergeCell ref="A129:H129"/>
    <mergeCell ref="A130:H130"/>
    <mergeCell ref="A131:H131"/>
    <mergeCell ref="A120:H120"/>
    <mergeCell ref="A121:H121"/>
    <mergeCell ref="A122:H122"/>
    <mergeCell ref="A123:H123"/>
    <mergeCell ref="A124:H124"/>
    <mergeCell ref="A125:H125"/>
    <mergeCell ref="A114:H114"/>
    <mergeCell ref="A115:H115"/>
    <mergeCell ref="A116:H116"/>
    <mergeCell ref="A117:H117"/>
    <mergeCell ref="A118:H118"/>
    <mergeCell ref="A119:H119"/>
    <mergeCell ref="A43:H43"/>
    <mergeCell ref="A44:H44"/>
    <mergeCell ref="A45:H45"/>
    <mergeCell ref="A46:N46"/>
    <mergeCell ref="A112:H112"/>
    <mergeCell ref="A113:H113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1:N21"/>
    <mergeCell ref="A26:H26"/>
    <mergeCell ref="A27:H27"/>
    <mergeCell ref="A28:H28"/>
    <mergeCell ref="A29:H29"/>
    <mergeCell ref="A30:H30"/>
    <mergeCell ref="A11:N11"/>
    <mergeCell ref="C12:E12"/>
    <mergeCell ref="D13:E13"/>
    <mergeCell ref="G18:G19"/>
    <mergeCell ref="M16:N17"/>
    <mergeCell ref="E16:G17"/>
    <mergeCell ref="I16:L17"/>
    <mergeCell ref="M18:M19"/>
    <mergeCell ref="H16:H19"/>
    <mergeCell ref="I18:I19"/>
    <mergeCell ref="J18:J19"/>
    <mergeCell ref="L18:L19"/>
    <mergeCell ref="N18:N19"/>
    <mergeCell ref="A16:A19"/>
    <mergeCell ref="D16:D19"/>
    <mergeCell ref="C16:C19"/>
    <mergeCell ref="B16:B19"/>
    <mergeCell ref="J12:M14"/>
  </mergeCells>
  <phoneticPr fontId="0" type="noConversion"/>
  <pageMargins left="3.937007874015748E-2" right="0" top="0.55118110236220474" bottom="7.874015748031496E-2" header="0.27559055118110237" footer="0.19685039370078741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04"/>
  <sheetViews>
    <sheetView showGridLines="0" topLeftCell="A94" workbookViewId="0">
      <selection activeCell="B19" sqref="B19"/>
    </sheetView>
  </sheetViews>
  <sheetFormatPr defaultRowHeight="12.75" x14ac:dyDescent="0.2"/>
  <cols>
    <col min="1" max="1" width="4" style="15" customWidth="1"/>
    <col min="2" max="2" width="70.42578125" style="14" customWidth="1"/>
    <col min="3" max="3" width="4" style="12" customWidth="1"/>
    <col min="4" max="4" width="63.28515625" style="4" customWidth="1"/>
    <col min="5" max="5" width="3.5703125" customWidth="1"/>
    <col min="6" max="6" width="48.28515625" customWidth="1"/>
    <col min="12" max="12" width="18.5703125" bestFit="1" customWidth="1"/>
  </cols>
  <sheetData>
    <row r="1" spans="1:6" ht="13.5" customHeight="1" x14ac:dyDescent="0.25">
      <c r="A1" s="143" t="s">
        <v>232</v>
      </c>
      <c r="B1" s="144"/>
      <c r="C1" s="144"/>
      <c r="D1" s="144"/>
      <c r="E1" s="16"/>
      <c r="F1" s="10"/>
    </row>
    <row r="2" spans="1:6" x14ac:dyDescent="0.2">
      <c r="A2" s="12"/>
      <c r="B2" s="4"/>
      <c r="E2" s="16"/>
    </row>
    <row r="3" spans="1:6" ht="13.5" thickBot="1" x14ac:dyDescent="0.25">
      <c r="A3" s="12"/>
      <c r="B3" s="4"/>
      <c r="E3" s="16"/>
    </row>
    <row r="4" spans="1:6" ht="13.5" thickBot="1" x14ac:dyDescent="0.25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x14ac:dyDescent="0.2">
      <c r="A5" s="21"/>
      <c r="B5" s="22"/>
      <c r="C5" s="21"/>
      <c r="D5" s="23"/>
      <c r="E5" s="24"/>
      <c r="F5" s="25"/>
    </row>
    <row r="6" spans="1:6" x14ac:dyDescent="0.2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x14ac:dyDescent="0.2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x14ac:dyDescent="0.2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x14ac:dyDescent="0.2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x14ac:dyDescent="0.2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x14ac:dyDescent="0.2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x14ac:dyDescent="0.2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x14ac:dyDescent="0.2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x14ac:dyDescent="0.2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x14ac:dyDescent="0.2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x14ac:dyDescent="0.2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x14ac:dyDescent="0.2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x14ac:dyDescent="0.2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x14ac:dyDescent="0.2">
      <c r="A19" s="26">
        <v>12</v>
      </c>
      <c r="B19" s="33" t="s">
        <v>88</v>
      </c>
      <c r="D19" s="30"/>
      <c r="E19" s="24"/>
      <c r="F19" s="25"/>
    </row>
    <row r="20" spans="1:6" x14ac:dyDescent="0.2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x14ac:dyDescent="0.2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x14ac:dyDescent="0.2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x14ac:dyDescent="0.2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x14ac:dyDescent="0.2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x14ac:dyDescent="0.2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x14ac:dyDescent="0.2">
      <c r="A26" s="26">
        <v>19</v>
      </c>
      <c r="B26" s="33" t="s">
        <v>92</v>
      </c>
      <c r="D26" s="30"/>
      <c r="E26" s="24"/>
      <c r="F26" s="25"/>
    </row>
    <row r="27" spans="1:6" x14ac:dyDescent="0.2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x14ac:dyDescent="0.2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x14ac:dyDescent="0.2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x14ac:dyDescent="0.2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x14ac:dyDescent="0.2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x14ac:dyDescent="0.2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x14ac:dyDescent="0.2">
      <c r="A33" s="26">
        <v>26</v>
      </c>
      <c r="B33" s="33" t="s">
        <v>99</v>
      </c>
      <c r="D33" s="30"/>
      <c r="E33" s="24"/>
      <c r="F33" s="25"/>
    </row>
    <row r="34" spans="1:6" x14ac:dyDescent="0.2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x14ac:dyDescent="0.2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x14ac:dyDescent="0.2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x14ac:dyDescent="0.2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x14ac:dyDescent="0.2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x14ac:dyDescent="0.2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x14ac:dyDescent="0.2">
      <c r="A40" s="26">
        <v>33</v>
      </c>
      <c r="B40" s="31" t="s">
        <v>105</v>
      </c>
      <c r="D40" s="30"/>
      <c r="E40" s="24"/>
      <c r="F40" s="25"/>
    </row>
    <row r="41" spans="1:6" x14ac:dyDescent="0.2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x14ac:dyDescent="0.2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x14ac:dyDescent="0.2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x14ac:dyDescent="0.2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x14ac:dyDescent="0.2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x14ac:dyDescent="0.2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x14ac:dyDescent="0.2">
      <c r="A47" s="26">
        <v>40</v>
      </c>
      <c r="B47" s="31" t="s">
        <v>112</v>
      </c>
      <c r="C47" s="46"/>
      <c r="D47" s="30"/>
      <c r="E47" s="24"/>
      <c r="F47" s="25"/>
    </row>
    <row r="48" spans="1:6" x14ac:dyDescent="0.2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x14ac:dyDescent="0.2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x14ac:dyDescent="0.2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x14ac:dyDescent="0.2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x14ac:dyDescent="0.2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x14ac:dyDescent="0.2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x14ac:dyDescent="0.2">
      <c r="A54" s="26">
        <v>47</v>
      </c>
      <c r="B54" s="31" t="s">
        <v>275</v>
      </c>
      <c r="D54" s="30"/>
      <c r="E54" s="24"/>
      <c r="F54" s="25"/>
    </row>
    <row r="55" spans="1:6" x14ac:dyDescent="0.2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x14ac:dyDescent="0.2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x14ac:dyDescent="0.2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x14ac:dyDescent="0.2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x14ac:dyDescent="0.2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x14ac:dyDescent="0.2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x14ac:dyDescent="0.2">
      <c r="A61" s="26">
        <v>54</v>
      </c>
      <c r="B61" s="31" t="s">
        <v>282</v>
      </c>
      <c r="D61" s="30"/>
      <c r="E61" s="24"/>
      <c r="F61" s="25"/>
    </row>
    <row r="62" spans="1:6" x14ac:dyDescent="0.2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x14ac:dyDescent="0.2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 x14ac:dyDescent="0.2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x14ac:dyDescent="0.2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x14ac:dyDescent="0.2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x14ac:dyDescent="0.2">
      <c r="A67" s="26"/>
      <c r="B67" s="31"/>
      <c r="D67" s="34"/>
      <c r="E67" s="24"/>
      <c r="F67" s="25"/>
    </row>
    <row r="68" spans="1:6" x14ac:dyDescent="0.2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x14ac:dyDescent="0.2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 x14ac:dyDescent="0.2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 x14ac:dyDescent="0.2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x14ac:dyDescent="0.2">
      <c r="A72" s="26">
        <v>62</v>
      </c>
      <c r="B72" s="33" t="s">
        <v>121</v>
      </c>
      <c r="D72" s="34"/>
      <c r="E72" s="24"/>
      <c r="F72" s="25"/>
    </row>
    <row r="73" spans="1:6" x14ac:dyDescent="0.2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x14ac:dyDescent="0.2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x14ac:dyDescent="0.2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x14ac:dyDescent="0.2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x14ac:dyDescent="0.2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x14ac:dyDescent="0.2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x14ac:dyDescent="0.2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x14ac:dyDescent="0.2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x14ac:dyDescent="0.2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 x14ac:dyDescent="0.2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 x14ac:dyDescent="0.2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x14ac:dyDescent="0.2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x14ac:dyDescent="0.2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x14ac:dyDescent="0.2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x14ac:dyDescent="0.2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x14ac:dyDescent="0.2">
      <c r="A88" s="26"/>
      <c r="B88" s="35"/>
      <c r="C88" s="26">
        <v>73</v>
      </c>
      <c r="D88" s="30" t="s">
        <v>62</v>
      </c>
      <c r="E88" s="24"/>
      <c r="F88" s="25"/>
    </row>
    <row r="89" spans="1:6" x14ac:dyDescent="0.2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x14ac:dyDescent="0.2">
      <c r="A90" s="26"/>
      <c r="B90" s="27"/>
      <c r="C90" s="26">
        <v>75</v>
      </c>
      <c r="D90" s="30" t="s">
        <v>60</v>
      </c>
      <c r="E90" s="24"/>
      <c r="F90" s="25"/>
    </row>
    <row r="91" spans="1:6" x14ac:dyDescent="0.2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x14ac:dyDescent="0.2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 x14ac:dyDescent="0.2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x14ac:dyDescent="0.2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x14ac:dyDescent="0.2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5.5" x14ac:dyDescent="0.2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x14ac:dyDescent="0.2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x14ac:dyDescent="0.2">
      <c r="A98" s="26">
        <v>85</v>
      </c>
      <c r="B98" s="33" t="s">
        <v>140</v>
      </c>
      <c r="D98" s="34"/>
      <c r="E98" s="24"/>
      <c r="F98" s="25"/>
    </row>
    <row r="99" spans="1:6" x14ac:dyDescent="0.2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x14ac:dyDescent="0.2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x14ac:dyDescent="0.2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5.5" x14ac:dyDescent="0.2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x14ac:dyDescent="0.2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x14ac:dyDescent="0.2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x14ac:dyDescent="0.2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x14ac:dyDescent="0.2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x14ac:dyDescent="0.2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x14ac:dyDescent="0.2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x14ac:dyDescent="0.2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x14ac:dyDescent="0.2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x14ac:dyDescent="0.2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x14ac:dyDescent="0.2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x14ac:dyDescent="0.2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x14ac:dyDescent="0.2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x14ac:dyDescent="0.2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x14ac:dyDescent="0.2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x14ac:dyDescent="0.2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x14ac:dyDescent="0.2">
      <c r="A118" s="26"/>
      <c r="B118" s="31"/>
      <c r="D118" s="34"/>
      <c r="E118" s="24"/>
      <c r="F118" s="25"/>
    </row>
    <row r="119" spans="1:6" x14ac:dyDescent="0.2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x14ac:dyDescent="0.2">
      <c r="A120" s="26"/>
      <c r="B120" s="31"/>
      <c r="C120" s="26">
        <v>102</v>
      </c>
      <c r="D120" s="30" t="s">
        <v>20</v>
      </c>
      <c r="E120" s="24"/>
      <c r="F120" s="25"/>
    </row>
    <row r="121" spans="1:6" x14ac:dyDescent="0.2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x14ac:dyDescent="0.2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x14ac:dyDescent="0.2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x14ac:dyDescent="0.2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x14ac:dyDescent="0.2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x14ac:dyDescent="0.2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x14ac:dyDescent="0.2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 x14ac:dyDescent="0.2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x14ac:dyDescent="0.2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x14ac:dyDescent="0.2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x14ac:dyDescent="0.2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x14ac:dyDescent="0.2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x14ac:dyDescent="0.2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x14ac:dyDescent="0.2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5.5" x14ac:dyDescent="0.2">
      <c r="A135" s="36"/>
      <c r="B135" s="37"/>
      <c r="C135" s="26">
        <v>117</v>
      </c>
      <c r="D135" s="34" t="s">
        <v>35</v>
      </c>
      <c r="E135" s="24"/>
      <c r="F135" s="25"/>
    </row>
    <row r="136" spans="1:6" x14ac:dyDescent="0.2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x14ac:dyDescent="0.2">
      <c r="A137" s="36"/>
      <c r="B137" s="37"/>
      <c r="C137" s="26">
        <v>119</v>
      </c>
      <c r="D137" s="30" t="s">
        <v>54</v>
      </c>
      <c r="E137" s="24"/>
      <c r="F137" s="25"/>
    </row>
    <row r="138" spans="1:6" x14ac:dyDescent="0.2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x14ac:dyDescent="0.2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x14ac:dyDescent="0.2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x14ac:dyDescent="0.2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x14ac:dyDescent="0.2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x14ac:dyDescent="0.2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x14ac:dyDescent="0.2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x14ac:dyDescent="0.2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x14ac:dyDescent="0.2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x14ac:dyDescent="0.2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x14ac:dyDescent="0.2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x14ac:dyDescent="0.2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x14ac:dyDescent="0.2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x14ac:dyDescent="0.2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x14ac:dyDescent="0.2">
      <c r="A152" s="36"/>
      <c r="D152" s="34"/>
      <c r="E152" s="24"/>
      <c r="F152" s="25"/>
    </row>
    <row r="153" spans="1:6" ht="25.5" x14ac:dyDescent="0.2">
      <c r="A153" s="36"/>
      <c r="C153" s="26">
        <v>134</v>
      </c>
      <c r="D153" s="28" t="s">
        <v>37</v>
      </c>
      <c r="E153" s="24"/>
      <c r="F153" s="25"/>
    </row>
    <row r="154" spans="1:6" ht="25.5" x14ac:dyDescent="0.2">
      <c r="A154" s="36"/>
      <c r="C154" s="26">
        <v>135</v>
      </c>
      <c r="D154" s="34" t="s">
        <v>38</v>
      </c>
      <c r="E154" s="24"/>
      <c r="F154" s="25"/>
    </row>
    <row r="155" spans="1:6" x14ac:dyDescent="0.2">
      <c r="A155" s="36"/>
      <c r="B155" s="37"/>
      <c r="C155" s="26">
        <v>136</v>
      </c>
      <c r="D155" s="34" t="s">
        <v>40</v>
      </c>
      <c r="E155" s="24"/>
      <c r="F155" s="25"/>
    </row>
    <row r="156" spans="1:6" x14ac:dyDescent="0.2">
      <c r="A156" s="36"/>
      <c r="B156" s="37"/>
      <c r="C156" s="26">
        <v>137</v>
      </c>
      <c r="D156" s="34" t="s">
        <v>39</v>
      </c>
      <c r="E156" s="24"/>
      <c r="F156" s="25"/>
    </row>
    <row r="157" spans="1:6" x14ac:dyDescent="0.2">
      <c r="A157" s="36"/>
      <c r="B157" s="37"/>
      <c r="D157" s="34"/>
      <c r="E157" s="24"/>
      <c r="F157" s="25"/>
    </row>
    <row r="158" spans="1:6" x14ac:dyDescent="0.2">
      <c r="A158" s="36"/>
      <c r="B158" s="37"/>
      <c r="C158" s="26">
        <v>139</v>
      </c>
      <c r="D158" s="34" t="s">
        <v>226</v>
      </c>
      <c r="E158" s="24"/>
      <c r="F158" s="25"/>
    </row>
    <row r="159" spans="1:6" x14ac:dyDescent="0.2">
      <c r="A159" s="36"/>
      <c r="B159" s="37"/>
      <c r="C159" s="26">
        <v>140</v>
      </c>
      <c r="D159" s="34" t="s">
        <v>227</v>
      </c>
      <c r="E159" s="24"/>
      <c r="F159" s="25"/>
    </row>
    <row r="160" spans="1:6" x14ac:dyDescent="0.2">
      <c r="A160" s="36"/>
      <c r="B160" s="37"/>
      <c r="C160" s="26">
        <v>141</v>
      </c>
      <c r="D160" s="34" t="s">
        <v>228</v>
      </c>
      <c r="E160" s="24"/>
      <c r="F160" s="25"/>
    </row>
    <row r="161" spans="1:6" x14ac:dyDescent="0.2">
      <c r="A161" s="36"/>
      <c r="B161" s="37"/>
      <c r="C161" s="26">
        <v>142</v>
      </c>
      <c r="D161" s="34" t="s">
        <v>229</v>
      </c>
      <c r="E161" s="24"/>
      <c r="F161" s="25"/>
    </row>
    <row r="162" spans="1:6" x14ac:dyDescent="0.2">
      <c r="A162" s="36"/>
      <c r="B162" s="37"/>
      <c r="C162" s="26">
        <v>143</v>
      </c>
      <c r="D162" s="34" t="s">
        <v>230</v>
      </c>
      <c r="E162" s="24"/>
      <c r="F162" s="25"/>
    </row>
    <row r="163" spans="1:6" x14ac:dyDescent="0.2">
      <c r="A163" s="36"/>
      <c r="B163" s="37"/>
      <c r="C163" s="26">
        <v>144</v>
      </c>
      <c r="D163" s="34" t="s">
        <v>231</v>
      </c>
      <c r="E163" s="24"/>
      <c r="F163" s="25"/>
    </row>
    <row r="164" spans="1:6" x14ac:dyDescent="0.2">
      <c r="A164" s="40"/>
      <c r="B164" s="41"/>
      <c r="C164" s="42"/>
      <c r="D164" s="43"/>
      <c r="E164" s="44"/>
      <c r="F164" s="45"/>
    </row>
    <row r="215" spans="11:12" ht="14.25" customHeight="1" x14ac:dyDescent="0.2"/>
    <row r="216" spans="11:12" ht="14.25" customHeight="1" x14ac:dyDescent="0.2"/>
    <row r="220" spans="11:12" x14ac:dyDescent="0.2">
      <c r="K220" s="9"/>
      <c r="L220" s="9"/>
    </row>
    <row r="274" spans="2:12" x14ac:dyDescent="0.2">
      <c r="L274" s="8"/>
    </row>
    <row r="275" spans="2:12" x14ac:dyDescent="0.2">
      <c r="H275" s="2"/>
    </row>
    <row r="276" spans="2:12" x14ac:dyDescent="0.2">
      <c r="H276" s="3"/>
    </row>
    <row r="277" spans="2:12" x14ac:dyDescent="0.2">
      <c r="H277" s="3"/>
    </row>
    <row r="278" spans="2:12" x14ac:dyDescent="0.2">
      <c r="H278" s="3"/>
    </row>
    <row r="279" spans="2:12" x14ac:dyDescent="0.2">
      <c r="H279" s="3"/>
    </row>
    <row r="280" spans="2:12" x14ac:dyDescent="0.2">
      <c r="H280" s="3"/>
    </row>
    <row r="281" spans="2:12" x14ac:dyDescent="0.2">
      <c r="H281" s="3"/>
    </row>
    <row r="282" spans="2:12" x14ac:dyDescent="0.2">
      <c r="H282" s="3"/>
    </row>
    <row r="283" spans="2:12" x14ac:dyDescent="0.2">
      <c r="H283" s="3"/>
    </row>
    <row r="284" spans="2:12" x14ac:dyDescent="0.2">
      <c r="H284" s="3"/>
    </row>
    <row r="285" spans="2:12" x14ac:dyDescent="0.2">
      <c r="H285" s="3"/>
    </row>
    <row r="286" spans="2:12" x14ac:dyDescent="0.2">
      <c r="H286" s="3"/>
    </row>
    <row r="288" spans="2:12" x14ac:dyDescent="0.2">
      <c r="B288" s="13"/>
      <c r="H288" s="4"/>
      <c r="I288" s="5"/>
    </row>
    <row r="289" spans="8:10" x14ac:dyDescent="0.2">
      <c r="H289" s="5"/>
      <c r="I289" s="5"/>
    </row>
    <row r="290" spans="8:10" x14ac:dyDescent="0.2">
      <c r="H290" s="5"/>
      <c r="I290" s="6"/>
    </row>
    <row r="291" spans="8:10" x14ac:dyDescent="0.2">
      <c r="H291" s="5"/>
      <c r="I291" s="6"/>
    </row>
    <row r="292" spans="8:10" x14ac:dyDescent="0.2">
      <c r="H292" s="5"/>
      <c r="I292" s="6"/>
    </row>
    <row r="293" spans="8:10" x14ac:dyDescent="0.2">
      <c r="H293" s="4"/>
      <c r="I293" s="5"/>
      <c r="J293" s="5"/>
    </row>
    <row r="294" spans="8:10" x14ac:dyDescent="0.2">
      <c r="H294" s="4"/>
      <c r="I294" s="6"/>
      <c r="J294" s="6"/>
    </row>
    <row r="295" spans="8:10" x14ac:dyDescent="0.2">
      <c r="H295" s="4"/>
      <c r="I295" s="6"/>
      <c r="J295" s="6"/>
    </row>
    <row r="296" spans="8:10" x14ac:dyDescent="0.2">
      <c r="H296" s="4"/>
      <c r="I296" s="6"/>
      <c r="J296" s="6"/>
    </row>
    <row r="298" spans="8:10" x14ac:dyDescent="0.2">
      <c r="H298" s="1"/>
    </row>
    <row r="302" spans="8:10" ht="15" x14ac:dyDescent="0.3">
      <c r="H302" s="7"/>
    </row>
    <row r="303" spans="8:10" ht="15" x14ac:dyDescent="0.3">
      <c r="H303" s="7"/>
    </row>
    <row r="304" spans="8:10" ht="15" x14ac:dyDescent="0.3">
      <c r="H304" s="7"/>
    </row>
  </sheetData>
  <mergeCells count="1">
    <mergeCell ref="A1:D1"/>
  </mergeCells>
  <phoneticPr fontId="0" type="noConversion"/>
  <pageMargins left="0.28999999999999998" right="0.2" top="0.23" bottom="0.25" header="0.2" footer="0.1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129</vt:i4>
      </vt:variant>
    </vt:vector>
  </HeadingPairs>
  <TitlesOfParts>
    <vt:vector size="131" baseType="lpstr">
      <vt:lpstr>Лок.См.Расч.Баз.-Инд.Методом</vt:lpstr>
      <vt:lpstr>Переменные и константы</vt:lpstr>
      <vt:lpstr>Дата_изменения_группы_строек</vt:lpstr>
      <vt:lpstr>Дата_изменения_локальной_сметы</vt:lpstr>
      <vt:lpstr>Дата_изменения_объекта</vt:lpstr>
      <vt:lpstr>Дата_изменения_объектной_сметы</vt:lpstr>
      <vt:lpstr>Дата_изменения_очереди</vt:lpstr>
      <vt:lpstr>Дата_изменения_пускового_комплекса</vt:lpstr>
      <vt:lpstr>Дата_изменения_сводного_сметного_расчета</vt:lpstr>
      <vt:lpstr>Дата_изменения_стройки</vt:lpstr>
      <vt:lpstr>Дата_создания_группы_строек</vt:lpstr>
      <vt:lpstr>Дата_создания_локальной_сметы</vt:lpstr>
      <vt:lpstr>Дата_создания_объекта</vt:lpstr>
      <vt:lpstr>Дата_создания_объектной_сметы</vt:lpstr>
      <vt:lpstr>Дата_создания_очереди</vt:lpstr>
      <vt:lpstr>Дата_создания_пускового_комплекса</vt:lpstr>
      <vt:lpstr>Дата_создания_сводного_сметного_расчета</vt:lpstr>
      <vt:lpstr>Дата_создания_стройки</vt:lpstr>
      <vt:lpstr>'Лок.См.Расч.Баз.-Инд.Методом'!Заголовки_для_печати</vt:lpstr>
      <vt:lpstr>Заказчик</vt:lpstr>
      <vt:lpstr>Инвестор</vt:lpstr>
      <vt:lpstr>Индекс_ЛН_группы_строек</vt:lpstr>
      <vt:lpstr>Индекс_ЛН_локальной_сметы</vt:lpstr>
      <vt:lpstr>Индекс_ЛН_объекта</vt:lpstr>
      <vt:lpstr>Индекс_ЛН_объектной_сметы</vt:lpstr>
      <vt:lpstr>Индекс_ЛН_очереди</vt:lpstr>
      <vt:lpstr>Индекс_ЛН_пускового_комплекса</vt:lpstr>
      <vt:lpstr>Индекс_ЛН_сводного_сметного_расчета</vt:lpstr>
      <vt:lpstr>Индекс_ЛН_стройки</vt:lpstr>
      <vt:lpstr>Итого_ЗПМ__по_рес_расчету_с_учетом_к_тов</vt:lpstr>
      <vt:lpstr>Итого_ЗПМ_по_акту_вып_работ_в_базисных_ценах_с_учетом_к_тов</vt:lpstr>
      <vt:lpstr>Итого_ЗПМ_по_акту_вып_работ_при_ресурсном_расчете_с_учетом_к_тов</vt:lpstr>
      <vt:lpstr>Итого_ЗПМ_по_акту_выполненных_работ_в_базисных_ценах</vt:lpstr>
      <vt:lpstr>Итого_ЗПМ_по_акту_выполненных_работ_при_ресурсном_расчете</vt:lpstr>
      <vt:lpstr>Итого_ЗПМ_при_расчете_по_стоимости_ч_часа_работы_механизаторов</vt:lpstr>
      <vt:lpstr>Итого_МАТ_по_акту_вып_работ_в_базисных_ценах_с_учетом_к_тов</vt:lpstr>
      <vt:lpstr>Итого_МАТ_по_акту_вып_работ_при_ресурсном_расчете_с_учетом_к_тов</vt:lpstr>
      <vt:lpstr>Итого_материалы</vt:lpstr>
      <vt:lpstr>Итого_материалы__по_рес_расчету_с_учетом_к_тов</vt:lpstr>
      <vt:lpstr>Итого_материалы_по_акту_выполненных_работ_в_базисных_ценах</vt:lpstr>
      <vt:lpstr>Итого_материалы_по_акту_выполненных_работ_при_ресурсном_расчете</vt:lpstr>
      <vt:lpstr>Итого_машины_и_механизмы</vt:lpstr>
      <vt:lpstr>Итого_машины_и_механизмы_по_акту_выполненных_работ_в_базисных_ценах</vt:lpstr>
      <vt:lpstr>Итого_машины_и_механизмы_по_акту_выполненных_работ_при_ресурсном_расчете</vt:lpstr>
      <vt:lpstr>Итого_НР_по_акту_по_ресурсному_расчету</vt:lpstr>
      <vt:lpstr>Итого_НР_по_ресурсному_расчету</vt:lpstr>
      <vt:lpstr>Итого_ОЗП</vt:lpstr>
      <vt:lpstr>Итого_ОЗП_по_акту_вып_работ_в_базисных_ценах_с_учетом_к_тов</vt:lpstr>
      <vt:lpstr>Итого_ОЗП_по_акту_вып_работ_при_ресурсном_расчете_с_учетом_к_тов</vt:lpstr>
      <vt:lpstr>Итого_ОЗП_по_акту_выполненных_работ_в_базисных_ценах</vt:lpstr>
      <vt:lpstr>Итого_ОЗП_по_акту_выполненных_работ_при_ресурсном_расчете</vt:lpstr>
      <vt:lpstr>Итого_ОЗП_по_рес_расчету_с_учетом_к_тов</vt:lpstr>
      <vt:lpstr>Итого_ПЗ</vt:lpstr>
      <vt:lpstr>Итого_ПЗ_в_базисных_ценах</vt:lpstr>
      <vt:lpstr>Итого_ПЗ_по_акту_вып_работ_в_базисных_ценах_с_учетом_к_тов</vt:lpstr>
      <vt:lpstr>Итого_ПЗ_по_акту_вып_работ_при_ресурсном_расчете_с_учетом_к_тов</vt:lpstr>
      <vt:lpstr>Итого_ПЗ_по_акту_выполненных_работ_в_базисных_ценах</vt:lpstr>
      <vt:lpstr>Итого_ПЗ_по_акту_выполненных_работ_при_ресурсном_расчете</vt:lpstr>
      <vt:lpstr>Итого_ПЗ_по_рес_расчету_с_учетом_к_тов</vt:lpstr>
      <vt:lpstr>Итого_СП_по_акту_по_ресурсному_расчету</vt:lpstr>
      <vt:lpstr>Итого_СП_по_ресурсному_расчету</vt:lpstr>
      <vt:lpstr>Итого_ФОТ_по_акту_выполненных_работ_в_базисных_ценах</vt:lpstr>
      <vt:lpstr>Итого_ФОТ_по_акту_выполненных_работ_при_ресурсном_расчете</vt:lpstr>
      <vt:lpstr>Итого_ФОТ_при_расчете_по_доле_з_п_в_стоимости_эксплуатации_машин</vt:lpstr>
      <vt:lpstr>Итого_ЭММ__по_рес_расчету_с_учетом_к_тов</vt:lpstr>
      <vt:lpstr>Итого_ЭММ_по_акту_вып_работ_в_базисных_ценах_с_учетом_к_тов</vt:lpstr>
      <vt:lpstr>Итого_ЭММ_по_акту_вып_работ_при_ресурсном_расчете_с_учетом_к_тов</vt:lpstr>
      <vt:lpstr>к_ЗПМ</vt:lpstr>
      <vt:lpstr>к_МАТ</vt:lpstr>
      <vt:lpstr>к_ОЗП</vt:lpstr>
      <vt:lpstr>к_ПЗ</vt:lpstr>
      <vt:lpstr>к_ЭМ</vt:lpstr>
      <vt:lpstr>Монтажные_работы_в_базисных_ценах</vt:lpstr>
      <vt:lpstr>Монтажные_работы_в_текущих_ценах</vt:lpstr>
      <vt:lpstr>Монтажные_работы_в_текущих_ценах_по_ресурсному_расчету</vt:lpstr>
      <vt:lpstr>Монтажные_работы_в_текущих_ценах_после_применения_индексов</vt:lpstr>
      <vt:lpstr>Наименование_группы_строек</vt:lpstr>
      <vt:lpstr>Наименование_локальной_сметы</vt:lpstr>
      <vt:lpstr>Наименование_объекта</vt:lpstr>
      <vt:lpstr>Наименование_объектной_сметы</vt:lpstr>
      <vt:lpstr>Наименование_очереди</vt:lpstr>
      <vt:lpstr>Наименование_пускового_комплекса</vt:lpstr>
      <vt:lpstr>Наименование_сводного_сметного_расчета</vt:lpstr>
      <vt:lpstr>Наименование_стройки</vt:lpstr>
      <vt:lpstr>Оборудование_в_базисных_ценах</vt:lpstr>
      <vt:lpstr>Оборудование_в_текущих_ценах</vt:lpstr>
      <vt:lpstr>Оборудование_в_текущих_ценах_по_ресурсному_расчету</vt:lpstr>
      <vt:lpstr>Оборудование_в_текущих_ценах_после_применения_индексов</vt:lpstr>
      <vt:lpstr>Обоснование_поправки</vt:lpstr>
      <vt:lpstr>Описание_группы_строек</vt:lpstr>
      <vt:lpstr>Описание_локальной_сметы</vt:lpstr>
      <vt:lpstr>Описание_объекта</vt:lpstr>
      <vt:lpstr>Описание_объектной_сметы</vt:lpstr>
      <vt:lpstr>Описание_очереди</vt:lpstr>
      <vt:lpstr>Описание_пускового_комплекса</vt:lpstr>
      <vt:lpstr>Описание_сводного_сметного_расчета</vt:lpstr>
      <vt:lpstr>Описание_стройки</vt:lpstr>
      <vt:lpstr>Основание</vt:lpstr>
      <vt:lpstr>Отчетный_период__учет_выполненных_работ</vt:lpstr>
      <vt:lpstr>Проверил</vt:lpstr>
      <vt:lpstr>Прочие_затраты_в_базисных_ценах</vt:lpstr>
      <vt:lpstr>Прочие_затраты_в_текущих_ценах</vt:lpstr>
      <vt:lpstr>Прочие_затраты_в_текущих_ценах_по_ресурсному_расчету</vt:lpstr>
      <vt:lpstr>Прочие_затраты_в_текущих_ценах_после_применения_индексов</vt:lpstr>
      <vt:lpstr>Регистрационный_номер_группы_строек</vt:lpstr>
      <vt:lpstr>Регистрационный_номер_локальной_сметы</vt:lpstr>
      <vt:lpstr>Регистрационный_номер_объекта</vt:lpstr>
      <vt:lpstr>Регистрационный_номер_объектной_сметы</vt:lpstr>
      <vt:lpstr>Регистрационный_номер_очереди</vt:lpstr>
      <vt:lpstr>Регистрационный_номер_пускового_комплекса</vt:lpstr>
      <vt:lpstr>Регистрационный_номер_сводного_сметного_расчета</vt:lpstr>
      <vt:lpstr>Регистрационный_номер_стройки</vt:lpstr>
      <vt:lpstr>Сметная_стоимость_в_базисных_ценах</vt:lpstr>
      <vt:lpstr>Сметная_стоимость_в_текущих_ценах__после_применения_индексов</vt:lpstr>
      <vt:lpstr>Сметная_стоимость_по_ресурсному_расчету</vt:lpstr>
      <vt:lpstr>Составил</vt:lpstr>
      <vt:lpstr>Стоимость_по_акту_выполненных_работ_в_базисных_ценах</vt:lpstr>
      <vt:lpstr>Стоимость_по_акту_выполненных_работ_при_ресурсном_расчете</vt:lpstr>
      <vt:lpstr>Строительные_работы_в_базисных_ценах</vt:lpstr>
      <vt:lpstr>Строительные_работы_в_текущих_ценах</vt:lpstr>
      <vt:lpstr>Строительные_работы_в_текущих_ценах_по_ресурсному_расчету</vt:lpstr>
      <vt:lpstr>Строительные_работы_в_текущих_ценах_после_применения_индексов</vt:lpstr>
      <vt:lpstr>Территориальная_поправка_к_ТЕР</vt:lpstr>
      <vt:lpstr>Труд_механизаторов_по_акту_вып_работ_с_учетом_к_тов</vt:lpstr>
      <vt:lpstr>Труд_основн_рабочих_по_акту_вып_работ_с_учетом_к_тов</vt:lpstr>
      <vt:lpstr>Трудоемкость_механизаторов_по_акту_выполненных_работ</vt:lpstr>
      <vt:lpstr>Трудоемкость_основных_рабочих_по_акту_выполненных_работ</vt:lpstr>
      <vt:lpstr>Укрупненный_норматив_НР_для_расчета_в_текущих_ценах_и_ценах_2001г.</vt:lpstr>
      <vt:lpstr>Укрупненный_норматив_НР_для_расчета_в_ценах_1984г.</vt:lpstr>
      <vt:lpstr>Укрупненный_норматив_СП_для_расчета_в_текущих_ценах_и_ценах_2001г.</vt:lpstr>
      <vt:lpstr>Укрупненный_норматив_СП_для_расчета_в_ценах_1984г.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Чернова Оксана Геннадьевна</cp:lastModifiedBy>
  <cp:lastPrinted>2015-12-02T03:02:18Z</cp:lastPrinted>
  <dcterms:created xsi:type="dcterms:W3CDTF">2003-01-28T12:33:10Z</dcterms:created>
  <dcterms:modified xsi:type="dcterms:W3CDTF">2016-02-01T07:45:25Z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