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Фрунзе 220\"/>
    </mc:Choice>
  </mc:AlternateContent>
  <bookViews>
    <workbookView xWindow="0" yWindow="0" windowWidth="23040" windowHeight="940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'Лок.См.Расч.Баз.-Инд.Методом'!$17:$20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C13" i="5" l="1"/>
  <c r="I448" i="5"/>
  <c r="L365" i="5" l="1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4" i="5"/>
  <c r="L395" i="5"/>
  <c r="L396" i="5"/>
  <c r="L397" i="5"/>
  <c r="L336" i="5"/>
  <c r="L337" i="5"/>
  <c r="L338" i="5"/>
  <c r="L339" i="5"/>
  <c r="L340" i="5"/>
  <c r="L341" i="5"/>
  <c r="L342" i="5"/>
  <c r="L343" i="5"/>
  <c r="L344" i="5"/>
  <c r="L310" i="5"/>
  <c r="L311" i="5"/>
  <c r="L312" i="5"/>
  <c r="L313" i="5"/>
  <c r="L314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145" i="5"/>
  <c r="L146" i="5"/>
  <c r="L147" i="5"/>
  <c r="L148" i="5"/>
  <c r="L149" i="5"/>
  <c r="L150" i="5"/>
  <c r="L151" i="5"/>
  <c r="L152" i="5"/>
  <c r="L153" i="5"/>
  <c r="L114" i="5"/>
  <c r="L115" i="5"/>
  <c r="L116" i="5"/>
  <c r="L117" i="5"/>
  <c r="L118" i="5"/>
  <c r="L119" i="5"/>
  <c r="L120" i="5"/>
  <c r="L121" i="5"/>
  <c r="L122" i="5"/>
  <c r="L123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24" i="5"/>
  <c r="L25" i="5"/>
  <c r="L26" i="5"/>
  <c r="L27" i="5"/>
  <c r="L28" i="5"/>
  <c r="L29" i="5"/>
  <c r="L31" i="5"/>
  <c r="L32" i="5"/>
  <c r="L33" i="5"/>
  <c r="L34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1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1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1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4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4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4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43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43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5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45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<sst xmlns="http://schemas.openxmlformats.org/spreadsheetml/2006/main" count="1509" uniqueCount="1137">
  <si>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</si>
  <si>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</si>
  <si>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</si>
  <si>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</si>
  <si>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</si>
  <si>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</si>
  <si>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</si>
  <si>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</si>
  <si>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</si>
  <si>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</si>
  <si>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</si>
  <si>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</si>
  <si>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</si>
  <si>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</si>
  <si>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</si>
  <si>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</si>
  <si>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</si>
  <si>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</si>
  <si>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</si>
  <si>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</si>
  <si>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</si>
  <si>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</si>
  <si>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</si>
  <si>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</si>
  <si>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</si>
  <si>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</si>
  <si>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</si>
  <si>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</si>
  <si>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</si>
  <si>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</si>
  <si>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</si>
  <si>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</si>
  <si>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</si>
  <si>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</si>
  <si>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</si>
  <si>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</si>
  <si>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</si>
  <si>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</si>
  <si>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</si>
  <si>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</si>
  <si>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</si>
  <si>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</si>
  <si>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</si>
  <si>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</si>
  <si>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</si>
  <si>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</si>
  <si>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</si>
  <si>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</si>
  <si>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</si>
  <si>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</si>
  <si>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</si>
  <si>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</si>
  <si>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</si>
  <si>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</si>
  <si>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</si>
  <si>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</si>
  <si>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</si>
  <si>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</si>
  <si>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</si>
  <si>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</si>
  <si>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</si>
  <si>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</si>
  <si>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</si>
  <si>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</si>
  <si>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</si>
  <si>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</si>
  <si>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</si>
  <si>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</si>
  <si>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</si>
  <si>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</si>
  <si>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</si>
  <si>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</si>
  <si>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</si>
  <si>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</si>
  <si>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</si>
  <si>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</si>
  <si>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</si>
  <si>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</si>
  <si>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</si>
  <si>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</si>
  <si>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</si>
  <si>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</si>
  <si>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</si>
  <si>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</si>
  <si>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</si>
  <si>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</si>
  <si>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</si>
  <si>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</si>
  <si>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</si>
  <si>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</si>
  <si>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</si>
  <si>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</si>
  <si>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</si>
  <si>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</si>
  <si>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</si>
  <si>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</si>
  <si>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</si>
  <si>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</si>
  <si>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</si>
  <si>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</si>
  <si>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</si>
  <si>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</si>
  <si>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</si>
  <si>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</si>
  <si>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</si>
  <si>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</si>
  <si>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</si>
  <si>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</si>
  <si>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</si>
  <si>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</si>
  <si>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</si>
  <si>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</si>
  <si>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</si>
  <si>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</si>
  <si>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</si>
  <si>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</si>
  <si>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</si>
  <si>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</si>
  <si>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</si>
  <si>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</si>
  <si>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</si>
  <si>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</si>
  <si>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</si>
  <si>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</si>
  <si>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</si>
  <si>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</si>
  <si>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</si>
  <si>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</si>
  <si>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</si>
  <si>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</si>
  <si>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</si>
  <si>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</si>
  <si>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</si>
  <si>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</si>
  <si>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</si>
  <si>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</si>
  <si>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</si>
  <si>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</si>
  <si>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</si>
  <si>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</si>
  <si>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</si>
  <si>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</si>
  <si>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</si>
  <si>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</si>
  <si>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</si>
  <si>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</si>
  <si>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</si>
  <si>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</si>
  <si>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</si>
  <si>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</si>
  <si>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</si>
  <si>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</si>
  <si>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</si>
  <si>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</si>
  <si>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</si>
  <si>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</si>
  <si>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</si>
  <si>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</si>
  <si>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</si>
  <si>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</si>
  <si>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</si>
  <si>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</si>
  <si>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</si>
  <si>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</si>
  <si>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</si>
  <si>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</si>
  <si>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</si>
  <si>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</si>
  <si>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</si>
  <si>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</si>
  <si>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</si>
  <si>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</si>
  <si>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</si>
  <si>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</si>
  <si>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</si>
  <si>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</si>
  <si>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</si>
  <si>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</si>
  <si>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</si>
  <si>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</si>
  <si>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</si>
  <si>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</si>
  <si>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</si>
  <si>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</si>
  <si>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</si>
  <si>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</si>
  <si>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</si>
  <si>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</si>
  <si>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</si>
  <si>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</si>
  <si>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</si>
  <si>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</si>
  <si>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</si>
  <si>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</si>
  <si>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</si>
  <si>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</si>
  <si>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</si>
  <si>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</si>
  <si>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</si>
  <si>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</si>
  <si>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</si>
  <si>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</si>
  <si>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</si>
  <si>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</si>
  <si>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</si>
  <si>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</si>
  <si>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</si>
  <si>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</si>
  <si>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</si>
  <si>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</si>
  <si>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</si>
  <si>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</si>
  <si>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</si>
  <si>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</si>
  <si>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</si>
  <si>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</si>
  <si>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</si>
  <si>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</si>
  <si>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</si>
  <si>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</si>
  <si>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</si>
  <si>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</si>
  <si>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</si>
  <si>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</si>
  <si>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</si>
  <si>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</si>
  <si>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</si>
  <si>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</si>
  <si>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</si>
  <si>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</si>
  <si>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</si>
  <si>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</si>
  <si>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</si>
  <si>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</si>
  <si>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</si>
  <si>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</si>
  <si>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</si>
  <si>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</si>
  <si>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</si>
  <si>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</si>
  <si>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</si>
  <si>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</si>
  <si>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</si>
  <si>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</si>
  <si>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</si>
  <si>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</si>
  <si>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</si>
  <si>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</si>
  <si>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</si>
  <si>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</si>
  <si>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</si>
  <si>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</si>
  <si>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</si>
  <si>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</si>
  <si>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</si>
  <si>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</si>
  <si>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</si>
  <si>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</si>
  <si>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</si>
  <si>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</si>
  <si>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</si>
  <si>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</si>
  <si>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</si>
  <si>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</si>
  <si>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</si>
  <si>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</si>
  <si>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</si>
  <si>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</si>
  <si>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</si>
  <si>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</si>
  <si>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</si>
  <si>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</si>
  <si>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</si>
  <si>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</si>
  <si>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</si>
  <si>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</si>
  <si>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</si>
  <si>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</si>
  <si>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</si>
  <si>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</si>
  <si>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</si>
  <si>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</si>
  <si>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</si>
  <si>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</si>
  <si>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</si>
  <si>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</si>
  <si>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</si>
  <si>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</si>
  <si>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</si>
  <si>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</si>
  <si>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</si>
  <si>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</si>
  <si>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</si>
  <si>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</si>
  <si>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</si>
  <si>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</si>
  <si>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</si>
  <si>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</si>
  <si>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</si>
  <si>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</si>
  <si>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</si>
  <si>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</si>
  <si>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</si>
  <si>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</si>
  <si>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</si>
  <si>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</si>
  <si>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</si>
  <si>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</si>
  <si>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</si>
  <si>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</si>
  <si>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</si>
  <si>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</si>
  <si>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</si>
  <si>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</si>
  <si>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</si>
  <si>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</si>
  <si>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</si>
  <si>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Демонтажные работы</t>
  </si>
  <si>
    <t xml:space="preserve">                                   Демонтажные работы системы отопления</t>
  </si>
  <si>
    <t>ФЕРр66-24-2
--------------------
Приказ Минстроя РФ от 30.01.14 №31/пр</t>
  </si>
  <si>
    <t xml:space="preserve">Разборка тепловой изоляции: из ваты минеральной, 100 м2 наружной площади разобранной изоляции
НР 63%=74%*0.85 от ФОТ
СП 40%=50%*0.8 от ФОТ
 </t>
  </si>
  <si>
    <t>158,72
158,72</t>
  </si>
  <si>
    <t xml:space="preserve">91.61 Разборка тепловой изоляции: ОЗП=16,45
 </t>
  </si>
  <si>
    <t>ФЕРр65-19-1
--------------------
Приказ Минстроя РФ от 30.01.14 №31/пр</t>
  </si>
  <si>
    <t xml:space="preserve">Демонтаж: радиаторов весом до 80 кг, 100 шт.
НР 63%=74%*0.85 от ФОТ
СП 40%=50%*0.8 от ФОТ
 </t>
  </si>
  <si>
    <t>935,72
865,7</t>
  </si>
  <si>
    <t>70,02
30,24</t>
  </si>
  <si>
    <t xml:space="preserve">90.94 Демонтаж нагревательных приборов: ОЗП=16,45; ЭМ=7,19; ЗПМ=16,45
 </t>
  </si>
  <si>
    <t>1582,58
1004,85</t>
  </si>
  <si>
    <t>110
2,24</t>
  </si>
  <si>
    <t>222,2
4,52</t>
  </si>
  <si>
    <t>ФЕРр65-13-1
--------------------
Приказ Минстроя РФ от 30.01.14 №31/пр</t>
  </si>
  <si>
    <t xml:space="preserve">Демонтаж: воздухосборников, 100 шт.
НР 63%=74%*0.85 от ФОТ
СП 40%=50%*0.8 от ФОТ
 </t>
  </si>
  <si>
    <t>418,82
418,82</t>
  </si>
  <si>
    <t xml:space="preserve">90.63 Демонтаж воздухосборников и грязевиков: ОЗП=16,45
 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</si>
  <si>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</si>
  <si>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</si>
  <si>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</si>
  <si>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90.66 Разборка трубопроводов из водогазопроводных труб в зданиях и сооружениях: на сварке диаметром до 50 мм: ОЗП=16,45; ЭМ=18,23; ЗПМ=16,45; МАТ=4,75
 </t>
  </si>
  <si>
    <t>ФЕРр65-14-4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</si>
  <si>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100 мм, 100 м трубопровода
НР 63%=74%*0.85 от ФОТ
СП 40%=50%*0.8 от ФОТ
 </t>
  </si>
  <si>
    <t>603,66
557,01</t>
  </si>
  <si>
    <t xml:space="preserve">90.67 Разборка трубопроводов из водогазопроводных труб в зданиях и сооружениях: на сварке диаметром до 100 мм: ОЗП=16,45; ЭМ=18,23; ЗПМ=16,45; МАТ=4,75
 </t>
  </si>
  <si>
    <t>ФЕРр66-16-2
--------------------
Приказ Минстроя РФ от 30.01.14 №31/пр</t>
  </si>
  <si>
    <t xml:space="preserve">Демонтаж трубопроводов в непроходных каналах краном диаметром труб: до 80 мм, 100 м трубопровода
НР 92%=108%*0.85 от ФОТ
СП 54%=68%*0.8 от ФОТ
 </t>
  </si>
  <si>
    <t>535,67
288,31</t>
  </si>
  <si>
    <t>236,83
26,19</t>
  </si>
  <si>
    <t xml:space="preserve">91.39 Демонтаж трубопроводов в непроходных каналах краном: ОЗП=16,45; ЭМ=10,76; ЗПМ=16,45; МАТ=4,83
 </t>
  </si>
  <si>
    <t>764,49
129,25</t>
  </si>
  <si>
    <t>33,8
1,94</t>
  </si>
  <si>
    <t>10,14
0,58</t>
  </si>
  <si>
    <t xml:space="preserve">                                   Демонтажные работы теплового узла</t>
  </si>
  <si>
    <t>ФЕРр65-27-3
--------------------
Приказ Минстроя РФ от 30.01.14 №31/пр</t>
  </si>
  <si>
    <t xml:space="preserve">Демонтаж элеваторных узлов номер: 1, 2, 100 шт.
НР 63%=74%*0.85 от ФОТ
СП 40%=50%*0.8 от ФОТ
 </t>
  </si>
  <si>
    <t>8083,86
8083,86</t>
  </si>
  <si>
    <t xml:space="preserve">90.105 Демонтаж элеваторов и элеваторных узлов: ОЗП=16,45
 </t>
  </si>
  <si>
    <t>ФЕРр65-13-2
--------------------
Приказ Минстроя РФ от 30.01.14 №31/пр</t>
  </si>
  <si>
    <t xml:space="preserve">Демонтаж: грязевиков, 100 шт.
НР 63%=74%*0.85 от ФОТ
СП 40%=50%*0.8 от ФОТ
 </t>
  </si>
  <si>
    <t>1356,27
1356,27</t>
  </si>
  <si>
    <t>ФЕРм11-02-022-04
--------------------
Приказ Минстроя РФ от 30.01.14 №31/пр</t>
  </si>
  <si>
    <t xml:space="preserve">Демонтаж: Ротаметр, счетчик, преобразователь, устанавливаемые на фланцевых соединениях, диаметр условного прохода: до 50 мм (Преобразователи расхода Ду50мм), 1 шт.
КОЭФ. К ПОЗИЦИИ:
Демонтаж оборудования, которое подлежит дальнейшему использованию, без надобности хранения (перемещается в цеху на другое место установки и т.п.) ОЗП=0,6; ЭМ=0,6 к расх.; ЗПМ=0,6; МАТ=0 к расх.; ТЗ=0,6; ТЗМ=0,6
НР 68%=80%*0.85 от ФОТ
СП 48%=60%*0.8 от ФОТ
 </t>
  </si>
  <si>
    <t>21,96
16,21</t>
  </si>
  <si>
    <t xml:space="preserve">58.8 Ротаметр, счетчик, преобразователь, устанавливаемые на фланцевых соединениях, диаметр условного прохода: до 120 мм: ОЗП=16,45; ЭМ=11,42; ЗПМ=16,45; МАТ=4,43
 </t>
  </si>
  <si>
    <t>ФЕРм11-02-001-01
--------------------
Приказ Минстроя РФ от 30.01.14 №31/пр</t>
  </si>
  <si>
    <t xml:space="preserve">Демонтаж: Прибор, устанавливаемый на резьбовых соединениях, масса: до 1,5 кг (Термопреобразователи), 1 шт.
КОЭФ. К ПОЗИЦИИ:
Демонтаж оборудования, которое подлежит дальнейшему использованию, без надобности хранения (перемещается в цеху на другое место установки и т.п.) ОЗП=0,6; ЭМ=0,6 к расх.; ЗПМ=0,6; МАТ=0 к расх.; ТЗ=0,6; ТЗМ=0,6
НР 68%=80%*0.85 от ФОТ
СП 48%=60%*0.8 от ФОТ
 </t>
  </si>
  <si>
    <t>6,13
6,13</t>
  </si>
  <si>
    <t xml:space="preserve">58.3 Приборы, устанавливаемые на резьбовых соединениях: ОЗП=16,45; МАТ=4,55
 </t>
  </si>
  <si>
    <t>Итого прямые затраты по разделу в текущих ценах</t>
  </si>
  <si>
    <t>3796,69
1134,10</t>
  </si>
  <si>
    <t>689,72
5,1</t>
  </si>
  <si>
    <t>Накладные расходы</t>
  </si>
  <si>
    <t xml:space="preserve">  В том числе, справочно:</t>
  </si>
  <si>
    <t xml:space="preserve">  63% =  74%*0.85 ФОТ (от 93264,66)  (Поз. 1-5, 7-8)</t>
  </si>
  <si>
    <t xml:space="preserve">  68% =  80%*0.85 ФОТ (от 734,92)  (Поз. 9-10)</t>
  </si>
  <si>
    <t xml:space="preserve">  92% =  108%*0.85 ФОТ (от 1552,06)  (Поз. 6)</t>
  </si>
  <si>
    <t>Сметная прибыль</t>
  </si>
  <si>
    <t xml:space="preserve">  40% =  50%*0.8 ФОТ (от 93264,66)  (Поз. 1-5, 7-8)</t>
  </si>
  <si>
    <t xml:space="preserve">  48% =  60%*0.8 ФОТ (от 734,92)  (Поз. 9-10)</t>
  </si>
  <si>
    <t xml:space="preserve">  54% =  68%*0.8 ФОТ (от 1552,06)  (Поз. 6)</t>
  </si>
  <si>
    <t>Итоги по разделу 1 Демонтажные работы :</t>
  </si>
  <si>
    <t xml:space="preserve">  Итого Строительные работы</t>
  </si>
  <si>
    <t>684,78
5,1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</si>
  <si>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</si>
  <si>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</si>
  <si>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</si>
  <si>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</si>
  <si>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</si>
  <si>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</si>
  <si>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</si>
  <si>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</si>
  <si>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</si>
  <si>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Сантехнические работы системы отопления</t>
  </si>
  <si>
    <t>ФЕР24-01-001-03
--------------------
Приказ Минстроя России от 12.11.14 №703/пр</t>
  </si>
  <si>
    <t xml:space="preserve">Прокладка трубопроводов в каналах и надземная при условном давлении 0,6 МПа, температуре 115°С, диаметр труб: 80 мм, 1 км трубопровода
НР 111%=130%*0.85 от ФОТ
СП 61%=89%*(0.85*0.8) от ФОТ
 </t>
  </si>
  <si>
    <t>86078,75
4415,58</t>
  </si>
  <si>
    <t>11011,78
913,96</t>
  </si>
  <si>
    <t xml:space="preserve">24.3. Прокладка трубопроводов в каналах и надземная при условном давлении 0,6 МПа, температуре 115°С, диаметр труб: 80 мм: ОЗП=16,45; ЭМ=8,75; ЗПМ=16,45; МАТ=5,41
 </t>
  </si>
  <si>
    <t>2890,59
451,04</t>
  </si>
  <si>
    <t>459
77,85</t>
  </si>
  <si>
    <t>13,77
2,34</t>
  </si>
  <si>
    <t>ФЕР16-02-005-04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</si>
  <si>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80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</si>
  <si>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7383,45
895,11</t>
  </si>
  <si>
    <t>248,09
6,25</t>
  </si>
  <si>
    <t xml:space="preserve">16.64 Прокладка трубопроводов отопления и водоснабжения из стальных электросварных труб диаметром: 80 мм: ОЗП=16,45; ЭМ=12,89; ЗПМ=16,45; МАТ=5,74
 </t>
  </si>
  <si>
    <t>2382,4
76,59</t>
  </si>
  <si>
    <t>91,71
0,46</t>
  </si>
  <si>
    <t>68,32
0,34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</si>
  <si>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</si>
  <si>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</si>
  <si>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</si>
  <si>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</si>
  <si>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ОЗП=16,45; ЭМ=12,89; ЗПМ=16,45; МАТ=5,7
 </t>
  </si>
  <si>
    <t>1126,99
31,98</t>
  </si>
  <si>
    <t>82,98
0,29</t>
  </si>
  <si>
    <t>41,49
0,15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</si>
  <si>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</si>
  <si>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</si>
  <si>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</si>
  <si>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</si>
  <si>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ОЗП=16,45; ЭМ=12,72; ЗПМ=16,45; МАТ=5,47
 </t>
  </si>
  <si>
    <t>2438,17
69,76</t>
  </si>
  <si>
    <t>69,95
0,24</t>
  </si>
  <si>
    <t>92,33
0,32</t>
  </si>
  <si>
    <t>ФЕР16-02-001-05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</si>
  <si>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</si>
  <si>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3278,55
364,75</t>
  </si>
  <si>
    <t>58,3
2,54</t>
  </si>
  <si>
    <t xml:space="preserve">16.30 Прокладка трубопроводов отопления из стальных водогазопроводных неоцинкованных труб диаметром: 40 мм: ОЗП=16,45; ЭМ=11,59; ЗПМ=16,45; МАТ=7,25
 </t>
  </si>
  <si>
    <t>641,92
39,65</t>
  </si>
  <si>
    <t>37,92
0,19</t>
  </si>
  <si>
    <t>36,02
0,18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</si>
  <si>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</si>
  <si>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</si>
  <si>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3513,01
364,75</t>
  </si>
  <si>
    <t xml:space="preserve">16.29 Прокладка трубопроводов отопления из стальных водогазопроводных неоцинкованных труб диаметром: 32 мм: ОЗП=16,45; ЭМ=11,59; ЗПМ=16,45; МАТ=5,73
 </t>
  </si>
  <si>
    <t>560,83
34,64</t>
  </si>
  <si>
    <t>31,47
0,16</t>
  </si>
  <si>
    <t>ФЕР16-02-001-02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</si>
  <si>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</si>
  <si>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2789,32
364,75</t>
  </si>
  <si>
    <t xml:space="preserve">16.27 Прокладка трубопроводов отопления из стальных водогазопроводных неоцинкованных труб диаметром: 20 мм: ОЗП=16,45; ЭМ=11,59; ЗПМ=16,45; МАТ=5,51
 </t>
  </si>
  <si>
    <t>10054,42
621,09</t>
  </si>
  <si>
    <t>564,25
2,83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</si>
  <si>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</si>
  <si>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</si>
  <si>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</si>
  <si>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ОЗП=16,45; ЭМ=11,59; ЗПМ=16,45; МАТ=5,75
 </t>
  </si>
  <si>
    <t>864,9
53,43</t>
  </si>
  <si>
    <t>48,54
0,24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</si>
  <si>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</si>
  <si>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</si>
  <si>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133,82
67,07</t>
  </si>
  <si>
    <t xml:space="preserve">16.197 Гидравлическое испытание трубопроводов систем отопления, водопровода и горячего водоснабжения диаметром: до 100 мм: ОЗП=16,45; ЭМ=0,71; ЗПМ=16,45; МАТ=9,91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</si>
  <si>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</si>
  <si>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</si>
  <si>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</si>
  <si>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16.196 Гидравлическое испытание трубопроводов систем отопления, водопровода и горячего водоснабжения диаметром: до 50 мм: ОЗП=16,45; ЭМ=0,71; ЗПМ=16,45; МАТ=7,41
 </t>
  </si>
  <si>
    <t>ФССЦ-301-1224
--------------------
Приказ Минстроя России от 12.11.14 №703/пр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</si>
  <si>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</si>
  <si>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МАТ=3,281
 </t>
  </si>
  <si>
    <t>Прайс "Водяной"</t>
  </si>
  <si>
    <t xml:space="preserve">Кран шаровой ГАЛЛОП СТАНДАРТ 1" ГГ, руч. (387,00/1,18/5,58=58,78), шт
 </t>
  </si>
  <si>
    <t xml:space="preserve">Индекс на материалы ФЕР-2001 2/2015; МАТ=5,58
 </t>
  </si>
  <si>
    <t xml:space="preserve">Кран шаровой ГАЛЛОП СТАНДАРТ 3/4" ГГ, руч. (200,00/1,18/5,58=30,37), шт
 </t>
  </si>
  <si>
    <t xml:space="preserve">Кран шаровой ГАЛЛОП СТАНДАРТ  1/2" ГГ, баб. (126,00/1,18/5,58=19,14), шт
 </t>
  </si>
  <si>
    <t>302-9230-90054</t>
  </si>
  <si>
    <t xml:space="preserve">Кран шаровой со спускным клапаном 'Itap' для воды, пара, углеводородов и т.д., полный проход проход, никелированный, ВР-ВР, разм.1/2 (211.09/5,58=37,83), шт
 </t>
  </si>
  <si>
    <t>Прайс "VALTEC"</t>
  </si>
  <si>
    <t xml:space="preserve">Клапан балансировочный ручной VALTEC VT.054, муфтовый, Тмакс=120гр.С, Ру=40бар, Ду20 (1188,00/1,18/5,58=180,43), шт
 </t>
  </si>
  <si>
    <t>ФЕР18-06-003-05
--------------------
Приказ Минстроя РФ от 30.01.14 №31/пр</t>
  </si>
  <si>
    <t xml:space="preserve">Установка воздухосборников наружным диаметром : 159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</si>
  <si>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207,62
13,24</t>
  </si>
  <si>
    <t>9,15
0,18</t>
  </si>
  <si>
    <t xml:space="preserve">18.48 Установка воздухосборников наружным диаметром: 159 мм: ОЗП=16,45; ЭМ=11,2; ЗПМ=16,45; МАТ=17,13
 </t>
  </si>
  <si>
    <t>102,48
2,88</t>
  </si>
  <si>
    <t>1,39
0,01</t>
  </si>
  <si>
    <t>ФЕР18-07-001-02
--------------------
Приказ Минстроя РФ от 30.01.14 №31/пр</t>
  </si>
  <si>
    <t xml:space="preserve">Установка манометров: с трехходовым краном,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</si>
  <si>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227,05
2,51</t>
  </si>
  <si>
    <t xml:space="preserve">18.77 Установка манометров: ОЗП=16,45; МАТ=1,59
 </t>
  </si>
  <si>
    <t>ФССЦ-301-1465
--------------------
Приказ Минстроя России от 12.11.14 №703/пр</t>
  </si>
  <si>
    <t xml:space="preserve">Манометр для неагрессивных сред (класс точности 1.5) с резьбовым присоединением марка: МП-3У-16 с трехходовым краном 11П18пкРу16, компл.
 </t>
  </si>
  <si>
    <t xml:space="preserve">Манометр для неагресивных сред (класс точности 1.5) с резбовым присоединением марка МП-3У-16 с трехходовым краном 11П18пкРу16; МАТ=1,588
 </t>
  </si>
  <si>
    <t>ТССЦо-610-0007-00020</t>
  </si>
  <si>
    <t xml:space="preserve">Манометры технические МП3-Уф, класс точности 1,5, пределы измеряемого давления от 0 до 1600кгс/см2 (540,64/3,83=141,16), шт
 </t>
  </si>
  <si>
    <t xml:space="preserve">Индекс на оборудование ФЕР-2001 2/2015 (жил.строительство); МАТ=3,83
 </t>
  </si>
  <si>
    <t>ФЕР18-03-001-03
--------------------
Приказ Минстроя РФ от 30.01.14 №31/пр</t>
  </si>
  <si>
    <t xml:space="preserve">Установка конвекторов, 100 кВт радиаторов и конвекторов
КОЭФ. К ПОЗИЦИИ:
Тепловое испытание систем отопления (п. 1.18.16 ТЧ сб. ФЕР18) ЭМ=1,03; ЗПМ=1,03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98%=128%*(0.9*0.85) от ФОТ
СП 56%=83%*(0.85*0.8) от ФОТ
 </t>
  </si>
  <si>
    <t>20987,96
996,16</t>
  </si>
  <si>
    <t>247,5
18,32</t>
  </si>
  <si>
    <t xml:space="preserve">18.11. Установка конвекторов: ОЗП=16,45; ЭМ=10,7; ЗПМ=16,45; МАТ=2,68
 </t>
  </si>
  <si>
    <t>416,62
47,4</t>
  </si>
  <si>
    <t>111,06
1,33</t>
  </si>
  <si>
    <t>17,47
0,21</t>
  </si>
  <si>
    <t>ФССЦ-301-0420
--------------------
Приказ Минстроя России от 12.11.14 №703/пр</t>
  </si>
  <si>
    <t xml:space="preserve">Конвекторы отопительные типа АККОРД с креплениями без кожуха, кВт
 </t>
  </si>
  <si>
    <t xml:space="preserve">Конвекторы отопительные типа АККОРД с креплениями без кожуха; МАТ=2,671
 </t>
  </si>
  <si>
    <t xml:space="preserve">Конвектор Универсал КСК-20ТБС-1,573К (2363,00/1,18/5,58=358,88), шт
 </t>
  </si>
  <si>
    <t xml:space="preserve">Конвектор Универсал КСК-20ТБС-1,049К (1862,00/1,18/5,58=282,79), шт
 </t>
  </si>
  <si>
    <t>ФЕР18-03-001-02
--------------------
Приказ Минстроя РФ от 30.01.14 №31/пр</t>
  </si>
  <si>
    <t xml:space="preserve">Установка радиаторов: стальных, 100 кВт радиаторов и конвекторов
КОЭФ. К ПОЗИЦИИ:
Тепловое испытание систем отопления (п. 1.18.16 ТЧ сб. ФЕР18) ЭМ=1,03; ЗПМ=1,03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98%=128%*(0.9*0.85) от ФОТ
СП 56%=83%*(0.85*0.8) от ФОТ
 </t>
  </si>
  <si>
    <t>18879,12
676,69</t>
  </si>
  <si>
    <t>297,84
22,12</t>
  </si>
  <si>
    <t xml:space="preserve">18.10. Установка радиаторов стальных: ОЗП=16,45; ЭМ=9,61; ЗПМ=16,45; МАТ=7,52
 </t>
  </si>
  <si>
    <t>6682,26
849,44</t>
  </si>
  <si>
    <t>75,44
1,6</t>
  </si>
  <si>
    <t>176,12
3,74</t>
  </si>
  <si>
    <t>ФССЦ-301-0559
--------------------
Приказ Минстроя России от 12.11.14 №703/пр</t>
  </si>
  <si>
    <t xml:space="preserve">Радиаторы стальные панельные: РСВ2-1, РСВ2-6 однорядные, кВт
 </t>
  </si>
  <si>
    <t xml:space="preserve">Радиаторы стальные панельные РСВ2-1, РСВ2-6 однорядные; МАТ=7,866
 </t>
  </si>
  <si>
    <t>ФССЦ-301-1225
--------------------
Приказ Минстроя России от 12.11.14 №703/пр</t>
  </si>
  <si>
    <t xml:space="preserve">Кронштейны для радиаторов стальных спаренных марки КР1-РС, компл.
 </t>
  </si>
  <si>
    <t xml:space="preserve">Кронштейны для радиаторов стальных спаренных марки КР1-РС; МАТ=2,04
 </t>
  </si>
  <si>
    <t xml:space="preserve">Радиатор Solaris 500/80 180Вт (секция) (540,00/1,18/5,58=82,01), секц.
 </t>
  </si>
  <si>
    <t xml:space="preserve">Набор для подсоединения радиатора 3/4" Altera (с 3мя кронштейнами) с силиконовыми прокладками (295,00/1,18/5,58=44.80), шт
 </t>
  </si>
  <si>
    <t xml:space="preserve">Вентиль регулировочный Itap прямой 3/4", Тмакс=150гр.С, Ру=10бар (391,00/1,18/5,58=59,38), шт
 </t>
  </si>
  <si>
    <t xml:space="preserve">Кран шаровой ГАЛЛОП КРЕПЫШ 3/4" баб. с американкой (350,00/1,18/5,58=53,16), шт
 </t>
  </si>
  <si>
    <t>Прайс "Водяной"
--------------------
И8</t>
  </si>
  <si>
    <t xml:space="preserve">Кран шаровый стальной Ру 16 ALSO Ду80 сварка/сварка   (2294,00/1,18/5,58=348,40), шт.
 </t>
  </si>
  <si>
    <t xml:space="preserve">Дисковый поворотный затвор REON тип RSV 38,  Тмакс=120гр.С, Ру=16бар, Ду=65мм (1551,00/1,18/5,58=235,56), шт
 </t>
  </si>
  <si>
    <t xml:space="preserve">Дисковый поворотный затвор Reon тип RSV 38,  Тмакс=120гр.С, Ру=16бар, Ду=50мм (1507,00/1,18/5,58=228,87), шт
 </t>
  </si>
  <si>
    <t>28971,53
2277,90</t>
  </si>
  <si>
    <t>1209,78
10,52</t>
  </si>
  <si>
    <t xml:space="preserve">  98% =  128%*(0.9*0.85) ФОТ (от 193413,38)  (Поз. 12-20, 27-28, 31, 35)</t>
  </si>
  <si>
    <t xml:space="preserve">  111% =  130%*0.85 ФОТ (от 2630,13)  (Поз. 11)</t>
  </si>
  <si>
    <t xml:space="preserve">  56% =  83%*(0.85*0.8) ФОТ (от 193413,38)  (Поз. 12-20, 27-28, 31, 35)</t>
  </si>
  <si>
    <t xml:space="preserve">  61% =  89%*(0.85*0.8) ФОТ (от 2630,13)  (Поз. 11)</t>
  </si>
  <si>
    <t>Итоги по разделу 2 Сантехнические работы системы отопления :</t>
  </si>
  <si>
    <t xml:space="preserve">  Итого Оборудование</t>
  </si>
  <si>
    <t xml:space="preserve">      Оборудование</t>
  </si>
  <si>
    <t xml:space="preserve">  Итого по разделу 2 Сантехнические работы системы отопления</t>
  </si>
  <si>
    <t xml:space="preserve">                           Раздел 3. Общестроительные  работы системы отопления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</si>
  <si>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</si>
  <si>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</si>
  <si>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</si>
  <si>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</si>
  <si>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ОЗП=16,45; ЭМ=10,81; ЗПМ=16,45; МАТ=4,27
 </t>
  </si>
  <si>
    <t>285,42
4,61</t>
  </si>
  <si>
    <t>6,11
0,01</t>
  </si>
  <si>
    <t>13,69
0,02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</si>
  <si>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</si>
  <si>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 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</si>
  <si>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485,19
56,16</t>
  </si>
  <si>
    <t>27,47
0,23</t>
  </si>
  <si>
    <t xml:space="preserve">13.97 Окраска металлических огрунтованных поверхностей: краской БТ-177 серебристой: ОЗП=16,45; ЭМ=10,91; ЗПМ=16,45; МАТ=4,58
 </t>
  </si>
  <si>
    <t>282,53
3,49</t>
  </si>
  <si>
    <t>6,19
0,02</t>
  </si>
  <si>
    <t>5,83
0,02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</si>
  <si>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</si>
  <si>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КОЭФ. К ПОЗИЦИИ:
Количество окрасок-2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</si>
  <si>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651,25
74,69</t>
  </si>
  <si>
    <t>14
0,23</t>
  </si>
  <si>
    <t xml:space="preserve">13.100 Окраска металлических огрунтованных поверхностей: эмалью ПФ-115: ОЗП=16,45; ЭМ=10,62; ЗПМ=16,45; МАТ=4,94
 </t>
  </si>
  <si>
    <t>192,83
4,8</t>
  </si>
  <si>
    <t>8,23
0,02</t>
  </si>
  <si>
    <t>10,68
0,03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</si>
  <si>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</si>
  <si>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</si>
  <si>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</si>
  <si>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</si>
  <si>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</si>
  <si>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</si>
  <si>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</si>
  <si>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Прайс ООО "Изолпроект"</t>
  </si>
  <si>
    <t xml:space="preserve">Теплоизоляция ISOVER KIM-AL 50 (4171,95/1,18/5,58=633,61), м3
 </t>
  </si>
  <si>
    <t>ФЕР26-01-017-01
--------------------
Приказ Минстроя РФ от 30.01.14 №31/пр</t>
  </si>
  <si>
    <t xml:space="preserve">Изоляция трубопроводов диаметром 180 мм изделиями из вспененного каучука ( «Армофлекс»), вспененного полиэтилена ( «Термофлекс»): трубками, 10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</si>
  <si>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2112,73
40,16</t>
  </si>
  <si>
    <t xml:space="preserve">26.26 Изоляция трубопроводов диаметром 180 мм изделиями из вспененного каучука ('Армофлекс'), вспененного полиэтилена ('Термофлекс'): трубками: ОЗП=16,45; ЭМ=11,28; ЗПМ=16,45; МАТ=1,4
 </t>
  </si>
  <si>
    <t>ФССЦ-104-0162
--------------------
Приказ Минстроя России от 12.11.14 №703/пр</t>
  </si>
  <si>
    <t xml:space="preserve">Трубки из вспененного полиэтилена (пенополиэтилен) «Термофлекс» диаметром 108х13 мм, м
 </t>
  </si>
  <si>
    <t xml:space="preserve">Трубки из вспененного полиэтилена (пенополиэтилен) «Термофлекс» диаметром 108x13 мм; МАТ=1,068
 </t>
  </si>
  <si>
    <t xml:space="preserve">Трубка Energoflex Super 28/9-2 (26,00/1,18/5,58=3,95), м
 </t>
  </si>
  <si>
    <t>11
10*1.1</t>
  </si>
  <si>
    <t>Прайс "Техническая изоляция"</t>
  </si>
  <si>
    <t xml:space="preserve">Изоляция K-Flex Solar HT 13х89 (469,71/1,18/5,58=71,34), м
 </t>
  </si>
  <si>
    <t>17,6
16*1.1</t>
  </si>
  <si>
    <t>7458,47
12,90</t>
  </si>
  <si>
    <t>197,91
0,07</t>
  </si>
  <si>
    <t xml:space="preserve">  69% =  90%*(0.9*0.85) ФОТ (от 4874,06)  (Поз. 45-47)</t>
  </si>
  <si>
    <t xml:space="preserve">  77% =  100%*(0.9*0.85) ФОТ (от 26950,75)  (Поз. 48, 51-52)</t>
  </si>
  <si>
    <t xml:space="preserve">  48% =  70%*(0.85*0.8) ФОТ (от 31824,81)  (Поз. 45-48, 51-52)</t>
  </si>
  <si>
    <t>Итоги по разделу 3 Общестроительные  работы системы отопления :</t>
  </si>
  <si>
    <t xml:space="preserve">  Защита строительных конструкций и оборудования от коррозии</t>
  </si>
  <si>
    <t>30,2
0,07</t>
  </si>
  <si>
    <t xml:space="preserve">  Теплоизоляционные работы</t>
  </si>
  <si>
    <t xml:space="preserve">  Материалы для строительных работ</t>
  </si>
  <si>
    <t xml:space="preserve">  Итого по разделу 3 Общестроительные  работы системы отопления</t>
  </si>
  <si>
    <t xml:space="preserve">                           Раздел 4. Дренажный трубопровод</t>
  </si>
  <si>
    <t>ФЕР24-01-001-01
--------------------
Приказ Минстроя России от 12.11.14 №703/пр</t>
  </si>
  <si>
    <t xml:space="preserve">Прокладка трубопроводов в каналах и надземная при условном давлении 0,6 МПа, температуре 115°С, диаметр труб: 50 мм, 1 км трубопровода
НР 111%=130%*0.85 от ФОТ
СП 61%=89%*(0.85*0.8) от ФОТ
 </t>
  </si>
  <si>
    <t>60957,59
4098,81</t>
  </si>
  <si>
    <t>10701,19
884,84</t>
  </si>
  <si>
    <t xml:space="preserve">24.1. Прокладка трубопроводов в каналах и надземная при условном давлении 0,6 МПа, температуре 115°С, диаметр труб: 50 мм: ОЗП=16,45; ЭМ=8,71; ЗПМ=16,45; МАТ=5,34
 </t>
  </si>
  <si>
    <t>1957,35
305,67</t>
  </si>
  <si>
    <t>431
75,37</t>
  </si>
  <si>
    <t>9,05
1,58</t>
  </si>
  <si>
    <t>ФССЦ-103-0357
--------------------
Приказ Минстроя России от 12.11.14 №703/пр</t>
  </si>
  <si>
    <t xml:space="preserve">Трубы стальные бесшовные, горячедеформированные со снятой фаской из стали марок 15, 20, 25, наружным диаметром: 57 мм, толщина стенки 3,5 мм, м
 </t>
  </si>
  <si>
    <t xml:space="preserve">Трубы стальные бесшовные, горячедеформированные со снятой фаской из стали марок 15, 20, 25, наружным диаметром:57 мм, толщина стенки 3,5 мм; МАТ=5,289
 </t>
  </si>
  <si>
    <t>ФССЦ-103-0015
--------------------
Приказ Минстроя России от 12.11.14 №703/пр</t>
  </si>
  <si>
    <t xml:space="preserve">Трубы стальные сварные водогазопроводные с резьбой черные обыкновенные (неоцинкованные), диаметр условного прохода: 25 мм, толщина стенки 3,2 мм, м
 </t>
  </si>
  <si>
    <t xml:space="preserve">Трубы стальные сварные водогазопроводные с резьбой черные обыкновенные (неоцинкованные), диаметр условного прохода:25 мм, толщина стенки 3,2 мм; МАТ=4,202
 </t>
  </si>
  <si>
    <t>ФССЦ-103-0016
--------------------
Приказ Минстроя России от 12.11.14 №703/пр</t>
  </si>
  <si>
    <t xml:space="preserve">Трубы стальные сварные водогазопроводные с резьбой черные обыкновенные (неоцинкованные), диаметр условного прохода: 32 мм, толщина стенки 3,2 мм, м
 </t>
  </si>
  <si>
    <t xml:space="preserve">Трубы стальные сварные водогазопроводные с резьбой черные обыкновенные (неоцинкованные), диаметр условного прохода 32 мм, толщина стенки 3,2 мм; МАТ=3,977
 </t>
  </si>
  <si>
    <t>3,31
0,05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</si>
  <si>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 2 ПЗ=2 (ОЗП=2; ЭМ=2; МАТ=2 к расх.; ТЗ=2)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</si>
  <si>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27,47
0,13</t>
  </si>
  <si>
    <t>7,79
0,05</t>
  </si>
  <si>
    <t>6,19
0,01</t>
  </si>
  <si>
    <t xml:space="preserve">Трубка Energoflex Super 48/9-2 (52,00/1,18/5,58=7,90), м
 </t>
  </si>
  <si>
    <t>15,4
14*1,1</t>
  </si>
  <si>
    <t>2415,16
305,77</t>
  </si>
  <si>
    <t>15,04
1,58</t>
  </si>
  <si>
    <t xml:space="preserve">  69% =  90%*(0.9*0.85) ФОТ (от 51,93)  (Поз. 59-60)</t>
  </si>
  <si>
    <t xml:space="preserve">  77% =  100%*(0.9*0.85) ФОТ (от 924,84)  (Поз. 61-62)</t>
  </si>
  <si>
    <t xml:space="preserve">  111% =  130%*0.85 ФОТ (от 1721,6)  (Поз. 55)</t>
  </si>
  <si>
    <t xml:space="preserve">  48% =  70%*(0.85*0.8) ФОТ (от 976,77)  (Поз. 59-62)</t>
  </si>
  <si>
    <t xml:space="preserve">  61% =  89%*(0.85*0.8) ФОТ (от 1721,6)  (Поз. 55)</t>
  </si>
  <si>
    <t>Итоги по разделу 4 Дренажный трубопровод :</t>
  </si>
  <si>
    <t xml:space="preserve">  Наружные сети водопровода, канализации, теплоснабжения, газопровода</t>
  </si>
  <si>
    <t xml:space="preserve">  Итого по разделу 4 Дренажный трубопровод</t>
  </si>
  <si>
    <t xml:space="preserve">                           Раздел 5. Сантехнические работы теплового узла</t>
  </si>
  <si>
    <t>479,68
15,42</t>
  </si>
  <si>
    <t>13,76
0,07</t>
  </si>
  <si>
    <t>225,4
6,4</t>
  </si>
  <si>
    <t>8,3
0,03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</si>
  <si>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</si>
  <si>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</si>
  <si>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</si>
  <si>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ОЗП=16,45; ЭМ=11,59; ЗПМ=16,45; МАТ=5,98
 </t>
  </si>
  <si>
    <t>13,51
0,83</t>
  </si>
  <si>
    <t>27,03
1,67</t>
  </si>
  <si>
    <t>1,52
0,01</t>
  </si>
  <si>
    <t>ФЕР16-02-002-07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</si>
  <si>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</si>
  <si>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8143,64
644,51</t>
  </si>
  <si>
    <t>163,75
4,73</t>
  </si>
  <si>
    <t xml:space="preserve">16.38 Прокладка трубопроводов водоснабжения из стальных водогазопроводных оцинкованных труб диаметром: 65 мм: ОЗП=16,45; ЭМ=11,68; ЗПМ=16,45; МАТ=6,88
 </t>
  </si>
  <si>
    <t>38,25
1,55</t>
  </si>
  <si>
    <t>70,21
0,35</t>
  </si>
  <si>
    <t>1,4
0,01</t>
  </si>
  <si>
    <t>ФЕР16-02-002-06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</si>
  <si>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</si>
  <si>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6734,68
526,93</t>
  </si>
  <si>
    <t>122,68
3,55</t>
  </si>
  <si>
    <t xml:space="preserve">16.37 Прокладка трубопроводов водоснабжения из стальных водогазопроводных оцинкованных труб диаметром: 50 мм: ОЗП=16,45; ЭМ=11,6; ЗПМ=16,45; МАТ=6,55
 </t>
  </si>
  <si>
    <t>85,38
3,5</t>
  </si>
  <si>
    <t>54,77
0,26</t>
  </si>
  <si>
    <t>3,29
0,02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</si>
  <si>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</si>
  <si>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</si>
  <si>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4797,62
410,1</t>
  </si>
  <si>
    <t>68,46
2,54</t>
  </si>
  <si>
    <t xml:space="preserve">16.35 Прокладка трубопроводов водоснабжения из стальных водогазопроводных оцинкованных труб диаметром: 32 мм: ОЗП=16,45; ЭМ=11,6; ЗПМ=16,45; МАТ=6,7
 </t>
  </si>
  <si>
    <t>31,77
1,67</t>
  </si>
  <si>
    <t>42,63
0,19</t>
  </si>
  <si>
    <t>1,71
0,01</t>
  </si>
  <si>
    <t xml:space="preserve">Кран шаровой ГАЛЛОП СТАНДАРТ 11/4" ГШ, руч. (716,00/1,18/5,58=108,74), шт
 </t>
  </si>
  <si>
    <t xml:space="preserve">Кран шаровой ГАЛЛОП СТАНДАРТ 1" ГШ, руч. (436,00/1,18/5,58=66,22), шт
 </t>
  </si>
  <si>
    <t xml:space="preserve">Кран шаровой ГАЛЛОП СТАНДАРТ  1/2" ГШ, баб. (150,00/1,18/5,58=22,78), шт
 </t>
  </si>
  <si>
    <t>302-9230-90054
--------------------
И8</t>
  </si>
  <si>
    <t xml:space="preserve">Кран шаровой со спускным клапаном ;Itap; для воды, пара, углеводородов и т.д., полный проход проход, никелированный, ВР-ВР, разм.1/2 (211,09/5,58=37,83), шт.
 </t>
  </si>
  <si>
    <t xml:space="preserve">Обратный клапан Itap YORK, латунь, ВР-ВР Тmax=110гр.С, Ру 20 бар, 1 1/4" (600,00/1,18/5,58=91,12), шт
 </t>
  </si>
  <si>
    <t>ФЕР18-06-002-03
--------------------
Приказ Минстроя России от 12.11.14 №703/пр</t>
  </si>
  <si>
    <t xml:space="preserve">Установка грязевиков наружным диаметром патрубков: до 89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</si>
  <si>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1093,4
41,66</t>
  </si>
  <si>
    <t>19,15
0,34</t>
  </si>
  <si>
    <t xml:space="preserve">18.42 Установка грязевиков наружным диаметром патрубков: до 89 мм: ОЗП=16,45; ЭМ=7,29; ЗПМ=16,45; МАТ=7,05
 </t>
  </si>
  <si>
    <t>139,6
5,55</t>
  </si>
  <si>
    <t>4,49
0,03</t>
  </si>
  <si>
    <t xml:space="preserve">Дисковый поворотный затвор REON тип RSV 38,  Тмакс=120гр.С, Ру=16бар, Ду=80мм (2138,00/1,18/5,58=324,71), шт
 </t>
  </si>
  <si>
    <t xml:space="preserve">Обратный клапан межфланцевый Ду 80 REON тип RSV32 (PN16, Траб.=95°С, Тmax=120°С)   (2438,00/1,18/5,58=370,27), шт
 </t>
  </si>
  <si>
    <t xml:space="preserve">Кран шаровый стальной Ру 16 ALSO Ду65 сварка/сварка (1843,00/1,18/5,58=279,90), шт.
 </t>
  </si>
  <si>
    <t xml:space="preserve">Дисковый поворотный затвор REON тип RSV 38,  Тмакс=120гр.С, Ру=16бар, Ду=50мм (1507,00/1,18/5,58=228,87), шт
 </t>
  </si>
  <si>
    <t xml:space="preserve">Обратный клапан межфланцевый Ду 50 REON тип RSV32 (PN16, Траб.=95°С, Тmax=120°С)    (1700,00/1,18/5,58=258,19), шт
 </t>
  </si>
  <si>
    <t>ФЕР18-06-003-10
--------------------
Приказ Минстроя РФ от 30.01.14 №31/пр</t>
  </si>
  <si>
    <t xml:space="preserve">Установка воздухоотводчиков,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</si>
  <si>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111,66
18,16</t>
  </si>
  <si>
    <t>10,43
0,34</t>
  </si>
  <si>
    <t xml:space="preserve">18.53 Установка воздухоотводчиков: ОЗП=16,45; ЭМ=11,22; ЗПМ=16,45; МАТ=4,24
 </t>
  </si>
  <si>
    <t>233,94
11,1</t>
  </si>
  <si>
    <t>1,91
0,03</t>
  </si>
  <si>
    <t>3,82
0,06</t>
  </si>
  <si>
    <t>ФССЦ-301-1489
--------------------
Приказ Минстроя России от 12.11.14 №703/пр</t>
  </si>
  <si>
    <t xml:space="preserve">Воздухоотводчик автоматический с наружным резьбовым присоединением Рр=1,0 МПа, Т max = 120 град С, D = 15 мм, шт.
 </t>
  </si>
  <si>
    <t xml:space="preserve">Воздухоотводчик автоматический с наружным резьбовым присоединением Рр=1,0МПа, Тmax=120град С, D=15мм; МАТ=4,517
 </t>
  </si>
  <si>
    <t xml:space="preserve">Воздухоотводчик автоматический VALTEC VT.502 1/2"   (286,00/1,18/5,58=43,44), шт
 </t>
  </si>
  <si>
    <t xml:space="preserve">Клапан отсекающий к воздухоотводчику VALTEC VT.539 1/2" (71,00/1,18/5,58=10,78), шт
 </t>
  </si>
  <si>
    <t>ФЕР18-07-001-04
--------------------
Приказ Минстроя РФ от 30.01.14 №31/пр</t>
  </si>
  <si>
    <t xml:space="preserve">Установка термометров в оправе прямых и угловых,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</si>
  <si>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339,31
3,35</t>
  </si>
  <si>
    <t xml:space="preserve">18.78 Установка термометров: ОЗП=16,45; МАТ=1,05
 </t>
  </si>
  <si>
    <t>ФССЦ-301-1467
--------------------
Приказ Минстроя России от 12.11.14 №703/пр</t>
  </si>
  <si>
    <t xml:space="preserve">Термометр прямой (угловой) ртутный (ножка 66 мм) до 160 град С в оправе, компл.
 </t>
  </si>
  <si>
    <t xml:space="preserve">Термометр прямой (угловой) ртутный (ножка 66 мм) до 160 град С в оправе; МАТ=1,037
 </t>
  </si>
  <si>
    <t xml:space="preserve">Термометр жидкостный ТТЖ-М исп. 1П (0-150гр.) (180,00/1,18/5,58=27,34), шт
 </t>
  </si>
  <si>
    <t xml:space="preserve">Термометр жидкостный ТТЖ-М исп. 1П (0-100гр.) (180,00/1,18/5,58=27,34), шт
 </t>
  </si>
  <si>
    <t xml:space="preserve">Закладная конструкция для термометра (260,00/1,18/5,58=39,49), шт
 </t>
  </si>
  <si>
    <t>ФЕРм12-10-001-01
--------------------
Приказ Минстроя РФ от 30.01.14 №31/пр</t>
  </si>
  <si>
    <t xml:space="preserve">Бобышки, штуцеры на условное давление: до 10 МПа (под термометры), 100 шт.
НР 68%=80%*0.85 от ФОТ
СП 48%=60%*0.8 от ФОТ
 </t>
  </si>
  <si>
    <t>2984,46
629,15</t>
  </si>
  <si>
    <t xml:space="preserve">59.152 Бобышки, штуцеры на условное давление: до 10 МПа: ОЗП=16,45; ЭМ=5,99; ЗПМ=16,45; МАТ=14,19
 </t>
  </si>
  <si>
    <t>ФЕР18-06-007-06
--------------------
Приказ Минстроя РФ от 30.01.14 №31/пр</t>
  </si>
  <si>
    <t xml:space="preserve">Установка фильтров диаметром : 80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</si>
  <si>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10619,93
160,68</t>
  </si>
  <si>
    <t>162,56
3,71</t>
  </si>
  <si>
    <t xml:space="preserve">18.72 Установка фильтров диаметром: 80 мм: ОЗП=16,45; ЭМ=8,8; ЗПМ=16,45; МАТ=7,68
 </t>
  </si>
  <si>
    <t>286,11
12,21</t>
  </si>
  <si>
    <t>17,3
0,28</t>
  </si>
  <si>
    <t>3,46
0,06</t>
  </si>
  <si>
    <t>ФССЦ-301-1218
--------------------
Приказ Минстроя России от 12.11.14 №703/пр</t>
  </si>
  <si>
    <t xml:space="preserve">Фильтры для очистки воды в трубопроводах систем отопления диаметром: 80 мм, шт.
 </t>
  </si>
  <si>
    <t xml:space="preserve">Фильтры для очистки воды в трубопроводах систем отопления диаметром:80 мм; МАТ=7,692
 </t>
  </si>
  <si>
    <t xml:space="preserve">Фильтр сетчатый чугунный Ду 80 REON тип RSV06 (PN16, Траб.=150°С, Тmax=180°С) (6040,00/1,18/5,58=917,32), шт.
 </t>
  </si>
  <si>
    <t>ФЕР18-06-007-04
--------------------
Приказ Минстроя РФ от 30.01.14 №31/пр</t>
  </si>
  <si>
    <t xml:space="preserve">Установка фильтров диаметром : 50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</si>
  <si>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8448,27
105,98</t>
  </si>
  <si>
    <t>95,93
0,85</t>
  </si>
  <si>
    <t xml:space="preserve">18.70 Установка фильтров диаметром: 50 мм: ОЗП=16,45; ЭМ=9,1; ЗПМ=16,45; МАТ=1,83
 </t>
  </si>
  <si>
    <t>87,29
1,4</t>
  </si>
  <si>
    <t>11,41
0,06</t>
  </si>
  <si>
    <t>1,14
0,01</t>
  </si>
  <si>
    <t>ФССЦ-301-1216
--------------------
Приказ Минстроя России от 12.11.14 №703/пр</t>
  </si>
  <si>
    <t xml:space="preserve">Фильтры для очистки воды в трубопроводах систем отопления диаметром: 50 мм, шт.
 </t>
  </si>
  <si>
    <t xml:space="preserve">Фильтры для очистки воды в трубопроводах систем отопления диаметром:50 мм; МАТ=1,829
 </t>
  </si>
  <si>
    <t xml:space="preserve">Фильтр сетчатый чугунный Ду 50 REON тип RSV06 (PN16, Траб.=150°С, Тmax=180°С) (3148,00/1,18/5,58=478,10), шт.
 </t>
  </si>
  <si>
    <t>ФЕР18-06-007-02
--------------------
Приказ Минстроя РФ от 30.01.14 №31/пр</t>
  </si>
  <si>
    <t xml:space="preserve">Установка фильтров диаметром : 32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</si>
  <si>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5774,84
88,42</t>
  </si>
  <si>
    <t>66,53
0,51</t>
  </si>
  <si>
    <t xml:space="preserve">18.68 Установка фильтров диаметром: 32 мм: ОЗП=16,45; ЭМ=8,68; ЗПМ=16,45; МАТ=1,15
 </t>
  </si>
  <si>
    <t>57,74
0,84</t>
  </si>
  <si>
    <t>9,41
0,04</t>
  </si>
  <si>
    <t>ФЕР16-06-005-01
--------------------
Приказ Минстроя РФ от 30.01.14 №31/пр</t>
  </si>
  <si>
    <t xml:space="preserve">Установка счетчиков (водомеров) диаметром: до 40 мм, 1 счетчик (водомер)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</si>
  <si>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1178,36
4,43</t>
  </si>
  <si>
    <t xml:space="preserve">16.174 Установка счетчиков (водомеров) диаметром: до 40 мм: ОЗП=16,45; ЭМ=11,45; ЗПМ=16,45; МАТ=3,4
 </t>
  </si>
  <si>
    <t>ФССЦ-301-3165
--------------------
Приказ Минстроя России от 12.11.14 №703/пр</t>
  </si>
  <si>
    <t xml:space="preserve">Счетчики (водомеры) крыльчатые диаметром: 32 мм, шт.
 </t>
  </si>
  <si>
    <t xml:space="preserve">Счетчики (водомеры) крыльчатые диаметром 32 мм; МАТ=3,398
 </t>
  </si>
  <si>
    <t xml:space="preserve">Водосчетчик Ду32 (холодный) ВДХ с комплектом присоединительных сгонов (2601,00/1,18/5,58=395,02), шт
 </t>
  </si>
  <si>
    <t>ФЕРм08-03-481-20
--------------------
Приказ Минстроя РФ от 30.01.14 №31/пр</t>
  </si>
  <si>
    <t xml:space="preserve">Подготовка электрической машины переменного тока с короткозамкнутым ротором, со щитовыми подшипниками, поступающей в собранном виде, к испытанию, сдаче под наладку и пуску, присоединение к электрической сети, масса: до 0,15 т, 1 шт.
НР 81%=95%*0.85 от ФОТ
СП 52%=65%*0.8 от ФОТ
 </t>
  </si>
  <si>
    <t>32,87
12</t>
  </si>
  <si>
    <t xml:space="preserve">55.355 Подготовка электрической машины переменного тока с короткозамкнутым ротором, со щитовыми подшипниками, поступающей в собранном виде, к испытанию, сдаче под наладку и пуску, присоединение к электрической сети: ОЗП=16,45; ЭМ=10,09; ЗПМ=16,45; МАТ=9,7
 </t>
  </si>
  <si>
    <t>ФЕР18-05-001-01
--------------------
Приказ Минстроя РФ от 30.01.14 №31/пр</t>
  </si>
  <si>
    <t xml:space="preserve">Установка насосов центробежных с электродвигателем, масса агрегата: до 0,1 т, 1 насос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</si>
  <si>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2725,86
151,39</t>
  </si>
  <si>
    <t>15,54
0,85</t>
  </si>
  <si>
    <t xml:space="preserve">18.29 Установка насосов центробежных с электродвигателем, масса агрегата: до 0,1 т: ОЗП=16,45; ЭМ=9,24; ЗПМ=16,45; МАТ=3,67
 </t>
  </si>
  <si>
    <t>574,28
55,92</t>
  </si>
  <si>
    <t>16,3
0,06</t>
  </si>
  <si>
    <t>65,2
0,24</t>
  </si>
  <si>
    <t>ФССЦ-301-1494
--------------------
Приказ Минстроя России от 12.11.14 №703/пр</t>
  </si>
  <si>
    <t xml:space="preserve">Насосы центробежные: 8/18 с электродвигателем 4А 180 А2 массой агрегата до 0,1 т, компл.
 </t>
  </si>
  <si>
    <t xml:space="preserve">Hасосы центобежные 8/18 с электродвигателем 4А180А2 массой агрегата до 0,1т; МАТ=3,602
 </t>
  </si>
  <si>
    <t>ФССЦ-507-0983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</si>
  <si>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50 мм, шт.
 </t>
  </si>
  <si>
    <t xml:space="preserve">Фланцы стальные плоские приварные из стали ВСт3сп2, ВСт3сп3; давлением 1.0 МПа (10 кгс/см2), диаметром 50 мм; МАТ=4,969
 </t>
  </si>
  <si>
    <t>ФССЦ-507-0982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</si>
  <si>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40 мм, шт.
 </t>
  </si>
  <si>
    <t xml:space="preserve">Фланцы стальные плоские приварные из стали ВСт3сп2, ВСт3сп3; давлением 1.0 МПа (10 кгс/см2), диаметром 40 мм; МАТ=6,531
 </t>
  </si>
  <si>
    <t>ФССЦ-301-2678
--------------------
Приказ Минстроя России от 12.11.14 №703/пр</t>
  </si>
  <si>
    <t xml:space="preserve">Насос циркуляционный "GRUNDFOS" серии: 100, марки UPS-25х80 (220 В), шт.
 </t>
  </si>
  <si>
    <t xml:space="preserve">Насос циркуляционный 'GRUNDFOS' серии 100, марки UPS-25х80 (220 В); МАТ=5,693
 </t>
  </si>
  <si>
    <t>Прайс "Grundfos"</t>
  </si>
  <si>
    <t xml:space="preserve">Насос Magna1 32-120F G=6,4м3/ч, Н=6,4м (687,00 евро/1,18х63,32/ 5,58=6606,65), шт
 </t>
  </si>
  <si>
    <t>ФССЦ-507-0998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</si>
  <si>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32 мм, шт.
 </t>
  </si>
  <si>
    <t xml:space="preserve">Фланцы стальные плоские приварные из стали ВСт3сп2, ВСт3сп3; давлением 1,6 МПа (16 кгс/см2), диаметром 25 мм; МАТ=6,009
 </t>
  </si>
  <si>
    <t xml:space="preserve">Насос дренажный "Хозяин" НДП-250-5 (3744,00/1,18/5,58=568,62), шт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 </t>
  </si>
  <si>
    <t xml:space="preserve">Прибор, устанавливаемый на резьбовых соединениях, масса: до 1,5 кг, 1 шт.
НР 68%=80%*0.85 от ФОТ
СП 48%=60%*0.8 от ФОТ
 </t>
  </si>
  <si>
    <t>11,53
10,22</t>
  </si>
  <si>
    <t>ТССЦо-610-0002-00039
--------------------
с 01.07.2012 Приказ Деп.стр. №9-п от 02.04.12</t>
  </si>
  <si>
    <t xml:space="preserve">Датчик давления KPI 35, Danfoss (3856,43/3,83=1006,90), шт.
 </t>
  </si>
  <si>
    <t>ФЕР18-02-001-02
--------------------
Приказ Минстроя России от 12.11.14 №703/пр</t>
  </si>
  <si>
    <t xml:space="preserve">Установка водоподогревателей скоростных односекционных поверхностью нагрева одной секции: до 8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</si>
  <si>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17208,26
151,89</t>
  </si>
  <si>
    <t>108,66
1,69</t>
  </si>
  <si>
    <t xml:space="preserve">18.6. Установка водоподогревателей скоростных односекционных: ОЗП=16,45; ЭМ=9,54; ЗПМ=16,45; МАТ=2,35
 </t>
  </si>
  <si>
    <t>1036,64
27,76</t>
  </si>
  <si>
    <t>15,79
0,13</t>
  </si>
  <si>
    <t>ФССЦ-301-1602
--------------------
Приказ Минстроя России от 12.11.14 №703/пр</t>
  </si>
  <si>
    <t xml:space="preserve">Водонагреватели односекционные: № 10 с поверхностью нагрева одной секции 6,9 м2, шт.
 </t>
  </si>
  <si>
    <t xml:space="preserve">Водонагреватели односекционные N 10 с поверхностью нагрева одной секции 6,9 м2; МАТ=1,882
 </t>
  </si>
  <si>
    <t>ФССЦ-507-0986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</si>
  <si>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100 мм, шт.
 </t>
  </si>
  <si>
    <t xml:space="preserve">Фланцы стальные плоские приварные из стали ВСт3сп2, ВСт3сп3; давлением 1.0 МПа (10 кгс/см2), диаметром 100 мм; МАТ=5,606
 </t>
  </si>
  <si>
    <t>ФССЦ-507-0987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</si>
  <si>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125 мм, шт.
 </t>
  </si>
  <si>
    <t xml:space="preserve">Фланцы стальные плоские приварные из стали ВСт3сп2, ВСт3сп3; давлением 1.0 МПа (10 кгс/см2), диаметром 125 мм; МАТ=7,446
 </t>
  </si>
  <si>
    <t>ФССЦ-507-0988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</si>
  <si>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150 мм, шт.
 </t>
  </si>
  <si>
    <t xml:space="preserve">Фланцы стальные плоские приварные из стали ВСт3сп2, ВСт3сп3; давлением 1.0 МПа (10 кгс/см2), диаметром 150 мм; МАТ=7,861
 </t>
  </si>
  <si>
    <t>Прайс "Alfa Lawal", расчет ООО "Сигма"</t>
  </si>
  <si>
    <t xml:space="preserve">Теплообменник ГВС TL3-BFG Р=1,98/0,93м, количество пластин 103/101, площадь поверхности теплообмена 7,5кв.м. (2607,60 евро х63,32/3,83= 43110,50), шт
 </t>
  </si>
  <si>
    <t>3611,35
145,82</t>
  </si>
  <si>
    <t>150,38
0,68</t>
  </si>
  <si>
    <t xml:space="preserve">  68% =  80%*0.85 ФОТ (от 1435,82)  (Поз. 99, 119)</t>
  </si>
  <si>
    <t xml:space="preserve">  81% =  95%*0.85 ФОТ (от 592,2)  (Поз. 110)</t>
  </si>
  <si>
    <t xml:space="preserve">  98% =  128%*(0.9*0.85) ФОТ (от 21672,29)  (Поз. 64-72, 79, 87, 91, 94, 100, 103, 106-107, 111, 121)</t>
  </si>
  <si>
    <t xml:space="preserve">  48% =  60%*0.8 ФОТ (от 1435,82)  (Поз. 99, 119)</t>
  </si>
  <si>
    <t xml:space="preserve">  52% =  65%*0.8 ФОТ (от 592,2)  (Поз. 110)</t>
  </si>
  <si>
    <t xml:space="preserve">  56% =  83%*(0.85*0.8) ФОТ (от 21672,29)  (Поз. 64-72, 79, 87, 91, 94, 100, 103, 106-107, 111, 121)</t>
  </si>
  <si>
    <t>Итоги по разделу 5 Сантехнические работы теплового узла :</t>
  </si>
  <si>
    <t>137,77
0,68</t>
  </si>
  <si>
    <t xml:space="preserve">  Итого по разделу 5 Сантехнические работы теплового узла</t>
  </si>
  <si>
    <t xml:space="preserve">                           Раздел 6. Монтаж КИПиА</t>
  </si>
  <si>
    <t>ФЕРм11-03-001-01
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</si>
  <si>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</si>
  <si>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</si>
  <si>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58.22 Приборы, устанавливаемые на металлоконструкциях, щитах и пультах: ОЗП=16,45; МАТ=2,9
 </t>
  </si>
  <si>
    <t>Прайс "ОВЕН"</t>
  </si>
  <si>
    <t xml:space="preserve">Контроллер ТРМ232-РРРРРР.01 (12095,00/1,18/3,83=2676,24), шт
 </t>
  </si>
  <si>
    <t xml:space="preserve">Датчик температуры наружного воздуха ДТС 125-100М-В2-60 (651,36/1,18/3,83=144,13), шт
 </t>
  </si>
  <si>
    <t xml:space="preserve">Датчик температуры наружного воздуха ДТС 105-100М-В3-100 (767,00/1,18/3,83=169,71), шт
 </t>
  </si>
  <si>
    <t xml:space="preserve">Датчик температуры наружного воздуха ДТС 105-100М-В3-250 (906,24/1,18/3,83=200,52), шт
 </t>
  </si>
  <si>
    <t xml:space="preserve">Гильза для погружного датчика ГЗ.16.1.1.100 (693,84/1,18/5,58=105,38), шт
 </t>
  </si>
  <si>
    <t xml:space="preserve">Гильза для погружного датчика ГЗ.16.1.1.250 (719,80/1,18/5,58=109,32), шт
 </t>
  </si>
  <si>
    <t xml:space="preserve">Бобышки, штуцеры на условное давление: до 10 МПа, 100 шт.
НР 68%=80%*0.85 от ФОТ
СП 48%=60%*0.8 от ФОТ
 </t>
  </si>
  <si>
    <t>ФССЦ-108-0081
--------------------
Приказ Минстроя России от 12.11.14 №703/пр</t>
  </si>
  <si>
    <t xml:space="preserve">Бобышки скошенные, шт.
 </t>
  </si>
  <si>
    <t xml:space="preserve">Бобышки скошенные; МАТ=11,06
 </t>
  </si>
  <si>
    <t xml:space="preserve">Бобышка Б.У.М 20х1,5.60.1 (259,60/1,18/5,58=39,43), шт
 </t>
  </si>
  <si>
    <t>ФЕРм12-12-003-01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</si>
  <si>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32 мм, 1 шт.
НР 68%=80%*0.85 от ФОТ
СП 48%=60%*0.8 от ФОТ
 </t>
  </si>
  <si>
    <t>46,6
42,33</t>
  </si>
  <si>
    <t xml:space="preserve">59.168 Арматура фланцевая с электрическим приводом на условное давление до 4 МПа: ОЗП=16,45; ЭМ=8,95; ЗПМ=16,45; МАТ=6,07
 </t>
  </si>
  <si>
    <t>Прайс "Danfoss"</t>
  </si>
  <si>
    <t xml:space="preserve">Комплект: регулирующий клапан ГВС VF-2, фланцевый  с эл.приводом AMV 435, Тмакс=130гр.С, Ру=25бар, Кvs=16,0м3/ч, Ркл=2,0м, Ду32  (583,78х63,32/3,83=9651,42), шт
 </t>
  </si>
  <si>
    <t xml:space="preserve">Комплект: регулирующий клапан системы отопления VF-2, фланцевый  с эл.приводом AMV 435, Тмакс=130гр.С, Ру=25бар, Кvs=10,0м3/ч, Ркл=1,14м, Ду25  (548,25х63,32/3,83=9064,02), шт
 </t>
  </si>
  <si>
    <t>ФССЦ-507-0997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</si>
  <si>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25 мм, шт.
 </t>
  </si>
  <si>
    <t>ФЕРм11-02-002-02
--------------------
Приказ Минстроя РФ от 30.01.14 №31/пр</t>
  </si>
  <si>
    <t xml:space="preserve">Прибор, устанавливаемый на фланцевых соединениях, масса: до 5 кг, 1 шт.
НР 68%=80%*0.85 от ФОТ
СП 48%=60%*0.8 от ФОТ
 </t>
  </si>
  <si>
    <t>33,6
30,55</t>
  </si>
  <si>
    <t xml:space="preserve">58.4 Приборы, устанавливаемые на фланцевых соединениях: ОЗП=16,45; МАТ=3,83
 </t>
  </si>
  <si>
    <t xml:space="preserve">Клапан VFG21 с регулирующим блоком AFP, фланцевый, Ду25, Kvs=8,0м3/ч, Ркл=17,6м, Рнастр=0,9 бар, Тмакс=150гр.С, Ррег=0,5-3,0 бар, импульсная трубка 2шт (1259,67х63,32/3,83=20825,67), шт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</si>
  <si>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</si>
  <si>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</si>
  <si>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</si>
  <si>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</si>
  <si>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55.499 Шкаф (пульт) управления навесной: ОЗП=16,45; ЭМ=7,77; ЗПМ=16,45; МАТ=4,2
 </t>
  </si>
  <si>
    <t>324,32
51,98</t>
  </si>
  <si>
    <t>2,37
0,29</t>
  </si>
  <si>
    <t>Коммерческое предложение "ТК "Компакт"</t>
  </si>
  <si>
    <t xml:space="preserve">Шкаф управления теплового узла индивидуальной сборки с таймером (27180,00/3,83=7096,61), шт
 </t>
  </si>
  <si>
    <t>461,93
51,98</t>
  </si>
  <si>
    <t>19,99
0,29</t>
  </si>
  <si>
    <t xml:space="preserve">  68% =  80%*0.85 ФОТ (от 2818,47)  (Поз. 127, 129, 135, 138, 143)</t>
  </si>
  <si>
    <t xml:space="preserve">  81% =  95%*0.85 ФОТ (от 438,72)  (Поз. 146)</t>
  </si>
  <si>
    <t xml:space="preserve">  48% =  60%*0.8 ФОТ (от 2818,47)  (Поз. 127, 129, 135, 138, 143)</t>
  </si>
  <si>
    <t xml:space="preserve">  52% =  65%*0.8 ФОТ (от 438,72)  (Поз. 146)</t>
  </si>
  <si>
    <t>Итоги по разделу 6 Монтаж КИПиА :</t>
  </si>
  <si>
    <t xml:space="preserve">  Итого по разделу 6 Монтаж КИПиА</t>
  </si>
  <si>
    <t xml:space="preserve">                           Раздел 7. Общестроительные работы теплового узла</t>
  </si>
  <si>
    <t>14,27
0,23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</si>
  <si>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окрасок-2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</si>
  <si>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33,57
0,41</t>
  </si>
  <si>
    <t>905,79
0,64</t>
  </si>
  <si>
    <t xml:space="preserve">  69% =  90%*(0.9*0.85) ФОТ (от 223,93)  (Поз. 148-149)</t>
  </si>
  <si>
    <t xml:space="preserve">  77% =  100%*(0.9*0.85) ФОТ (от 3689,27)  (Поз. 150)</t>
  </si>
  <si>
    <t xml:space="preserve">  48% =  70%*(0.85*0.8) ФОТ (от 3913,2)  (Поз. 148-150)</t>
  </si>
  <si>
    <t>Итоги по разделу 7 Общестроительные работы теплового узла :</t>
  </si>
  <si>
    <t xml:space="preserve">  Итого по разделу 7 Общестроительные работы теплового узла</t>
  </si>
  <si>
    <t xml:space="preserve">                           Раздел 8. Электромонтажные работы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</si>
  <si>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</si>
  <si>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</si>
  <si>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256,35
151,9</t>
  </si>
  <si>
    <t>39,93
2,43</t>
  </si>
  <si>
    <t xml:space="preserve">55.320 Провод в резинобитумных трубках: ОЗП=16,45; ЭМ=9,87; ЗПМ=16,45; МАТ=4,29
 </t>
  </si>
  <si>
    <t>287,7
29,18</t>
  </si>
  <si>
    <t>16,16
0,18</t>
  </si>
  <si>
    <t>11,8
0,13</t>
  </si>
  <si>
    <t>ФССЦ-507-3484
--------------------
Приказ Минстроя России от 12.11.14 №703/пр</t>
  </si>
  <si>
    <t xml:space="preserve">Трубы поливинилхлоридные (ПВХ) диаметром: 16 мм, м
 </t>
  </si>
  <si>
    <t xml:space="preserve">Трубы поливинилхлоридные (ПВХ) диаметром 16 мм; МАТ=1,234
 </t>
  </si>
  <si>
    <t>ФЕРм08-02-390-01
--------------------
Приказ Минстроя РФ от 30.01.14 №31/пр</t>
  </si>
  <si>
    <t xml:space="preserve">Короба пластмассовые: шириной до 40 мм, 100 м
НР 81%=95%*0.85 от ФОТ
СП 52%=65%*0.8 от ФОТ
 </t>
  </si>
  <si>
    <t>237,65
154,92</t>
  </si>
  <si>
    <t>31,2
0,14</t>
  </si>
  <si>
    <t xml:space="preserve">55.282 Короба пластмассовые: ОЗП=16,45; ЭМ=4,32; ЗПМ=16,45; МАТ=1,58
 </t>
  </si>
  <si>
    <t>10,78
0,18</t>
  </si>
  <si>
    <t>16,29
0,01</t>
  </si>
  <si>
    <t>ФССЦ-509-1836
--------------------
Приказ Минстроя России от 12.11.14 №703/пр</t>
  </si>
  <si>
    <t xml:space="preserve">Кабель-канал (короб) "Электропласт": 60x40 мм, 100 м
 </t>
  </si>
  <si>
    <t xml:space="preserve">Кабель-канал (короб) 'Электропласт' 60x40 мм; МАТ=6,649
 </t>
  </si>
  <si>
    <t>ФЕРм08-02-399-01
--------------------
Приказ Минстроя РФ от 30.01.14 №31/пр</t>
  </si>
  <si>
    <t xml:space="preserve">Провод в коробах, сечением: до 6 мм2, 100 м
НР 81%=95%*0.85 от ФОТ
СП 52%=65%*0.8 от ФОТ
 </t>
  </si>
  <si>
    <t>41,55
26,51</t>
  </si>
  <si>
    <t>2,22
0,14</t>
  </si>
  <si>
    <t xml:space="preserve">55.292 Провода в коробах: ОЗП=16,45; ЭМ=9,87; ЗПМ=16,45; МАТ=3,93
 </t>
  </si>
  <si>
    <t>19,94
2,09</t>
  </si>
  <si>
    <t>2,82
0,01</t>
  </si>
  <si>
    <t>2,57
0,01</t>
  </si>
  <si>
    <t>ФССЦ-501-8482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</si>
  <si>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1,5 мм2, 1000 м
 </t>
  </si>
  <si>
    <t>0,03162
0,031*1,02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</si>
  <si>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мм2; МАТ=8,343
 </t>
  </si>
  <si>
    <t>ФССЦ-501-8491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</si>
  <si>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- 4 и сечением 1,5 мм2, 1000 м
 </t>
  </si>
  <si>
    <t>0,0204
0,02*1,02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</si>
  <si>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мм2; МАТ=8,024
 </t>
  </si>
  <si>
    <t>Прайс "ЭТМ"</t>
  </si>
  <si>
    <t xml:space="preserve">Провод ПВСнг-LS 2х0,75 (А) (23,50/1,18/5,58=3,57), м
 </t>
  </si>
  <si>
    <t>115,26
113*1,02</t>
  </si>
  <si>
    <t>ФЕРм08-03-574-01
--------------------
Приказ Минстроя РФ от 30.01.14 №31/пр</t>
  </si>
  <si>
    <t xml:space="preserve">Разводка по устройствам и подключение жил кабелей или проводов сечением: до 10 мм2, 100 жил
НР 81%=95%*0.85 от ФОТ
СП 52%=65%*0.8 от ФОТ
 </t>
  </si>
  <si>
    <t>273,07
166,66</t>
  </si>
  <si>
    <t xml:space="preserve">55.500 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устройствах: ОЗП=16,45; ЭМ=24,53; ЗПМ=16,45; МАТ=3,92
 </t>
  </si>
  <si>
    <t>17,97
0,76</t>
  </si>
  <si>
    <t>16,8
0,01</t>
  </si>
  <si>
    <t>336,39
32,21</t>
  </si>
  <si>
    <t>21,21
0,14</t>
  </si>
  <si>
    <t xml:space="preserve">  81% =  95%*0.85 ФОТ (от 3361,72)  (Поз. 153, 155, 157, 161)</t>
  </si>
  <si>
    <t xml:space="preserve">  52% =  65%*0.8 ФОТ (от 3361,72)  (Поз. 153, 155, 157, 161)</t>
  </si>
  <si>
    <t>Итоги по разделу 8 Электромонтажные работы :</t>
  </si>
  <si>
    <t xml:space="preserve">  Итого по разделу 8 Электромонтажные работы</t>
  </si>
  <si>
    <t xml:space="preserve">                           Раздел 9. Сопутствующие работы</t>
  </si>
  <si>
    <t xml:space="preserve">                                   Сопутствующие работы системы отопления</t>
  </si>
  <si>
    <t>ФЕР46-03-001-04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</si>
  <si>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40 мм, 100 отверстий
НР 84%=110%*(0.9*0.85) от ФОТ
СП 48%=70%*(0.85*0.8) от ФОТ
 </t>
  </si>
  <si>
    <t>2336,71
197,21</t>
  </si>
  <si>
    <t>823,72
223,88</t>
  </si>
  <si>
    <t xml:space="preserve">46.44 Сверление кольцевыми алмазными сверлами в железобетонных конструкциях с применением охлаждающей жидкости (воды): ОЗП=16,45; ЭМ=8,17; ЗПМ=16,45; МАТ=1,61
 </t>
  </si>
  <si>
    <t>8748,73
4787,68</t>
  </si>
  <si>
    <t>20,5
19,3</t>
  </si>
  <si>
    <t>26,65
25,09</t>
  </si>
  <si>
    <t>ФЕР46-03-001-20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</si>
  <si>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46-03-001-04, 100 отверстий
КОЭФ. К ПОЗИЦИИ:
Увеличение глубины отверстия на 20мм ПЗ=2 (ОЗП=2; ЭМ=2 к расх.; ЗПМ=2; МАТ=2 к расх.; ТЗ=2; ТЗМ=2)
НР 84%=110%*(0.9*0.85) от ФОТ
СП 48%=70%*(0.85*0.8) от ФОТ
 </t>
  </si>
  <si>
    <t>209,18
10,58</t>
  </si>
  <si>
    <t>67,02
22,5</t>
  </si>
  <si>
    <t>711,82
481,17</t>
  </si>
  <si>
    <t>1,1
1,94</t>
  </si>
  <si>
    <t>1,43
2,52</t>
  </si>
  <si>
    <t>ФЕР46-03-001-16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</si>
  <si>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160 мм, 100 отверстий
НР 84%=110%*(0.9*0.85) от ФОТ
СП 48%=70%*(0.85*0.8) от ФОТ
 </t>
  </si>
  <si>
    <t>9219,49
303,03</t>
  </si>
  <si>
    <t>1165,77
338,72</t>
  </si>
  <si>
    <t>380,97
222,88</t>
  </si>
  <si>
    <t>31,5
29,2</t>
  </si>
  <si>
    <t>1,26
1,17</t>
  </si>
  <si>
    <t>ФЕР46-03-001-32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</si>
  <si>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46-03-001-16, 100 отверстий
КОЭФ. К ПОЗИЦИИ:
Увеличение глубины отверстия на 20мм ПЗ=2 (ОЗП=2; ЭМ=2 к расх.; ЗПМ=2; МАТ=2 к расх.; ТЗ=2; ТЗМ=2)
НР 84%=110%*(0.9*0.85) от ФОТ
СП 48%=70%*(0.85*0.8) от ФОТ
 </t>
  </si>
  <si>
    <t>921,96
44,64</t>
  </si>
  <si>
    <t>102,26
34,34</t>
  </si>
  <si>
    <t>33,42
22,6</t>
  </si>
  <si>
    <t>4,64
2,96</t>
  </si>
  <si>
    <t>0,19
0,12</t>
  </si>
  <si>
    <t>ФЕРр57-10-1 прим.
--------------------
Приказ Минстроя РФ от 30.01.14 №31/пр</t>
  </si>
  <si>
    <t xml:space="preserve">Заделка выбоин в полах: цементных площадью до 0,25 м2, 100 мест
НР 68%=80%*0.85 от ФОТ
СП 54%=68%*0.8 от ФОТ
 </t>
  </si>
  <si>
    <t>1,34
(130+4)/100</t>
  </si>
  <si>
    <t>604,48
347,43</t>
  </si>
  <si>
    <t>29,29
3,22</t>
  </si>
  <si>
    <t xml:space="preserve">83.20 Заделка выбоин в полах: цементных: ОЗП=16,45; ЭМ=6,22; ЗПМ=16,45; МАТ=5,77
 </t>
  </si>
  <si>
    <t>244,12
70,98</t>
  </si>
  <si>
    <t>40,73
0,32</t>
  </si>
  <si>
    <t>54,58
0,43</t>
  </si>
  <si>
    <t>ФЕР46-03-009-06
--------------------
Приказ Минстроя РФ от 30.01.14 №31/пр</t>
  </si>
  <si>
    <t xml:space="preserve">Пробивка в кирпичных стенах отверстий круглых диаметром: до 50 мм при толщине стен до 25 см, 100 шт.
НР 84%=110%*(0.9*0.85) от ФОТ
СП 48%=70%*(0.85*0.8) от ФОТ
 </t>
  </si>
  <si>
    <t>1830,08
466,62</t>
  </si>
  <si>
    <t>1363,46
147,08</t>
  </si>
  <si>
    <t xml:space="preserve">46.49 Пробивка в кирпичных стенах отверстий круглых: ОЗП=16,45; ЭМ=5,23; ЗПМ=16,45
 </t>
  </si>
  <si>
    <t>10411,1
3532,43</t>
  </si>
  <si>
    <t>50,83
14,62</t>
  </si>
  <si>
    <t>74,21
21,35</t>
  </si>
  <si>
    <t>ФЕР46-03-012-01
--------------------
Приказ Минстроя РФ от 30.01.14 №31/пр</t>
  </si>
  <si>
    <t xml:space="preserve">Пробивка в бетонных конструкциях полов и стен борозд площадью сечения: до 20 см2, 100 м борозд
НР 84%=110%*(0.9*0.85) от ФОТ
СП 48%=70%*(0.85*0.8) от ФОТ
 </t>
  </si>
  <si>
    <t>944,03
263,76</t>
  </si>
  <si>
    <t>680,27
73,54</t>
  </si>
  <si>
    <t xml:space="preserve">46.52 Пробивка борозд в бетонных конструкциях: ОЗП=16,45; ЭМ=7,36; ЗПМ=16,45
 </t>
  </si>
  <si>
    <t>2789,78
674,06</t>
  </si>
  <si>
    <t>28,06
7,31</t>
  </si>
  <si>
    <t>15,64
4,07</t>
  </si>
  <si>
    <t>ФЕР46-03-017-05
--------------------
Приказ Минстроя РФ от 30.01.14 №31/пр</t>
  </si>
  <si>
    <t xml:space="preserve">Заделка отверстий, гнезд и борозд: в стенах и перегородках бетонных площадью до 0,1 м2, 1 м3 заделки
НР 84%=110%*(0.9*0.85) от ФОТ
СП 48%=70%*(0.85*0.8) от ФОТ
 </t>
  </si>
  <si>
    <t>1930,16
608,53</t>
  </si>
  <si>
    <t xml:space="preserve">46.55 Заделка отверстий, гнезд и борозд: в стенах и перегородках бетонных: ОЗП=16,45; ЭМ=11,35; ЗПМ=16,45; МАТ=5,06
 </t>
  </si>
  <si>
    <t>ФССЦ-101-0797
--------------------
Приказ Минстроя России от 12.11.14 №703/пр</t>
  </si>
  <si>
    <t xml:space="preserve">Проволока горячекатаная в мотках, диаметром 6,3-6,5 мм, т
 </t>
  </si>
  <si>
    <t xml:space="preserve">Проволока горячекатаная в мотках, диаметром 6,3-6,5 мм; МАТ=4,827
 </t>
  </si>
  <si>
    <t>ФССЦ-101-1805
--------------------
Приказ Минстроя России от 12.11.14 №703/пр</t>
  </si>
  <si>
    <t xml:space="preserve">Гвозди строительные, т
 </t>
  </si>
  <si>
    <t xml:space="preserve">Гвозди строительные; МАТ=3,002
 </t>
  </si>
  <si>
    <t>ФССЦ-102-0025
--------------------
Приказ Минстроя России от 12.11.14 №703/пр</t>
  </si>
  <si>
    <t xml:space="preserve">Бруски обрезные хвойных пород длиной: 4-6,5 м, шириной 75-150 мм, толщиной 40-75 мм, III сорта, м3
 </t>
  </si>
  <si>
    <t xml:space="preserve">Бруски обрезные хвойных пород длиной: 4-6,5 м, шириной 75-150 мм, толщиной 40-75 мм, III сорта; МАТ=5,438
 </t>
  </si>
  <si>
    <t>ФССЦ-102-0057
--------------------
Приказ Минстроя России от 12.11.14 №703/пр</t>
  </si>
  <si>
    <t xml:space="preserve">Доски обрезные хвойных пород длиной: 4-6,5 м, шириной 75-150 мм, толщиной 32-40 мм, III сорта, м3
 </t>
  </si>
  <si>
    <t xml:space="preserve">Доски обрезные хвойных пород длиной: 4-6,5 м, шириной 75-150 мм, толщиной 32-40 мм, III сорта; МАТ=4,675
 </t>
  </si>
  <si>
    <t>ФЕРр57-3-1
--------------------
Приказ Минстроя РФ от 30.01.14 №31/пр</t>
  </si>
  <si>
    <t xml:space="preserve">Разборка плинтусов: деревянных и из пластмассовых материалов, 100 м плинтуса
НР 68%=80%*0.85 от ФОТ
СП 54%=68%*0.8 от ФОТ
 </t>
  </si>
  <si>
    <t>29,41
29,41</t>
  </si>
  <si>
    <t xml:space="preserve">83.3 Разборка плинтусов: ОЗП=16,45
 </t>
  </si>
  <si>
    <t>ФЕР11-01-039-01
--------------------
Приказ Минстроя РФ от 30.01.14 №31/пр</t>
  </si>
  <si>
    <t xml:space="preserve">Устройство плинтусов: деревянных, 100 м плинтуса
НР 94%=123%*(0.9*0.85) от ФОТ
СП 51%=75%*(0.85*0.8) от ФОТ
 </t>
  </si>
  <si>
    <t>568,65
65,25</t>
  </si>
  <si>
    <t xml:space="preserve">11.95. Устройство плинтусов: деревянных: ОЗП=16,45; ЭМ=11,43; ЗПМ=16,45; МАТ=5,54
 </t>
  </si>
  <si>
    <t>ФССЦ-203-0352
--------------------
Приказ Минстроя России от 12.11.14 №703/пр</t>
  </si>
  <si>
    <t xml:space="preserve">Плинтуса из древесины тип: ПЛ-2, размером 19х54 мм, м
 </t>
  </si>
  <si>
    <t xml:space="preserve">Плинтусы из древесины тип ПЛ-2, 19х54мм; МАТ=5,547
 </t>
  </si>
  <si>
    <t>ФЕРр57-2-7
--------------------
Приказ Минстроя РФ от 30.01.14 №31/пр</t>
  </si>
  <si>
    <t xml:space="preserve">Разборка покрытий полов: из древесноволокнистых плит, 100 м2 покрытия
НР 68%=80%*0.85 от ФОТ
СП 54%=68%*0.8 от ФОТ
 </t>
  </si>
  <si>
    <t>90,25
86,5</t>
  </si>
  <si>
    <t>3,75
1,62</t>
  </si>
  <si>
    <t xml:space="preserve">83.2 Разборка покрытий полов: ОЗП=16,45; ЭМ=7,34; ЗПМ=16,45
 </t>
  </si>
  <si>
    <t>4,88
4,73</t>
  </si>
  <si>
    <t>11,09
0,12</t>
  </si>
  <si>
    <t>1,97
0,02</t>
  </si>
  <si>
    <t>ФЕР11-01-033-01
--------------------
Приказ Минстроя РФ от 30.01.14 №31/пр</t>
  </si>
  <si>
    <t xml:space="preserve">Устройство покрытий: дощатых толщиной 28 мм, 100 м2 покрытия
НР 94%=123%*(0.9*0.85) от ФОТ
СП 51%=75%*(0.85*0.8) от ФОТ
 </t>
  </si>
  <si>
    <t>6972,33
517,94</t>
  </si>
  <si>
    <t>97,78
7,83</t>
  </si>
  <si>
    <t xml:space="preserve">11.74. Устройство покрытий: дощатых: ОЗП=16,45; ЭМ=10,41; ЗПМ=16,45; МАТ=5,98
 </t>
  </si>
  <si>
    <t>180,68
22,86</t>
  </si>
  <si>
    <t>60,72
0,58</t>
  </si>
  <si>
    <t>10,78
0,1</t>
  </si>
  <si>
    <t>ФССЦ-203-0344
--------------------
Приказ Минстроя России от 12.11.14 №703/пр</t>
  </si>
  <si>
    <t xml:space="preserve">Доски для покрытия полов со шпунтом и гребнем из древесины антисептированные тип: ДП-27 толщиной 27 мм, шириной без гребня от 100 до 140 мм, м3
 </t>
  </si>
  <si>
    <t xml:space="preserve">Доски для покрытия полов со шпунтом и гребнем из древесины антисептированные тип ДП-27, толщиной 27мм, шириной без гребня от 100 до 140мм; МАТ=6,236
 </t>
  </si>
  <si>
    <t>ФЕРр68-12-4
--------------------
Приказ Минстроя РФ от 30.01.14 №31/пр</t>
  </si>
  <si>
    <t xml:space="preserve">Разборка покрытий и оснований: асфальтобетонных с помощью молотков отбойных, 100 м3 конструкций
НР 88%=104%*0.85 от ФОТ
СП 48%=60%*0.8 от ФОТ
 </t>
  </si>
  <si>
    <t>6008,44
2022,24</t>
  </si>
  <si>
    <t>3986,2
423,83</t>
  </si>
  <si>
    <t xml:space="preserve">93.23 Разборка покрытий и оснований: асфальтобетонных с помощью молотков отбойных: ОЗП=16,45; ЭМ=8,84; ЗПМ=16,45
 </t>
  </si>
  <si>
    <t>792,86
156,87</t>
  </si>
  <si>
    <t>243,35
41,39</t>
  </si>
  <si>
    <t>5,48
0,93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</si>
  <si>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</si>
  <si>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100% от ФОТ
СП 60% от ФОТ
 </t>
  </si>
  <si>
    <t xml:space="preserve">Мусор строительный, экскаваторами емк,ковша 0,5 м3: погрузка; ЭМ=11,56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</si>
  <si>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</si>
  <si>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</si>
  <si>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ЭМ=9,57
 </t>
  </si>
  <si>
    <t>ФЕР01-01-003-01
--------------------
Приказ Минстроя РФ от 30.01.14 №31/пр</t>
  </si>
  <si>
    <t xml:space="preserve">Разработка грунта в отвал экскаваторами «драглайн» или «обратная лопата» с ковшом вместимостью: 1 (1-1,2) м3, группа грунтов 1, 1000 м3 грунта
НР 73%=95%*(0.9*0.85) от ФОТ
СП 34%=50%*(0.85*0.8) от ФОТ
 </t>
  </si>
  <si>
    <t>1551,97
43,99</t>
  </si>
  <si>
    <t>1507,98
165,65</t>
  </si>
  <si>
    <t xml:space="preserve">1.2. Разработка грунта в отвал экскаваторами 'драглайн' или 'обратная лопата': ОЗП=16,45; ЭМ=10,83; ЗПМ=16,45
 </t>
  </si>
  <si>
    <t>146,99
24,52</t>
  </si>
  <si>
    <t>5,64
12,27</t>
  </si>
  <si>
    <t>0,05
0,11</t>
  </si>
  <si>
    <t>ФЕР01-02-057-01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</si>
  <si>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1, 100 м3 грунта
НР 61%=80%*(0.9*0.85) от ФОТ
СП 31%=45%*(0.85*0.8) от ФОТ
 </t>
  </si>
  <si>
    <t>920,4
920,4</t>
  </si>
  <si>
    <t xml:space="preserve">1.181 Разработка грунта вручную в траншеях, копание ям вручную без креплений для стоек и столбов: ОЗП=16,45
 </t>
  </si>
  <si>
    <t>ФЕР07-06-002-07
--------------------
Приказ Минстроя РФ от 30.01.14 №31/пр</t>
  </si>
  <si>
    <t xml:space="preserve">Устройство плит перекрытий каналов площадью: до 5 м2, 100 шт. сборных конструкций
НР 99%=130%*(0.9*0.85) от ФОТ
СП 58%=85%*(0.85*0.8) от ФОТ
 </t>
  </si>
  <si>
    <t>7019,12
1126,5</t>
  </si>
  <si>
    <t>5644,81
786,51</t>
  </si>
  <si>
    <t xml:space="preserve">7.98. Устройство плит перекрытий каналов: ОЗП=16,45; ЭМ=11,02; ЗПМ=16,45; МАТ=5,33
 </t>
  </si>
  <si>
    <t>6220,58
1293,81</t>
  </si>
  <si>
    <t>119,84
58,26</t>
  </si>
  <si>
    <t>11,98
5,83</t>
  </si>
  <si>
    <t>ФЕР01-01-033-01
--------------------
Приказ Минстроя РФ от 30.01.14 №31/пр</t>
  </si>
  <si>
    <t xml:space="preserve">Засыпка траншей и котлованов с перемещением грунта до 5 м бульдозерами мощностью: 59 кВт (80 л.с.), группа грунтов 1, 1000 м3 грунта
НР 73%=95%*(0.9*0.85) от ФОТ
СП 34%=50%*(0.85*0.8) от ФОТ
 </t>
  </si>
  <si>
    <t>451,97
88,16</t>
  </si>
  <si>
    <t xml:space="preserve">1.30. Засыпка траншей и котлованов бульдозерами мощностью 59; 79 кВт (80; 108 л.с.); ЭМ=14,91; ЗПМ=16,45
 </t>
  </si>
  <si>
    <t>60,65
13,05</t>
  </si>
  <si>
    <t xml:space="preserve">
7,6</t>
  </si>
  <si>
    <t xml:space="preserve">
0,07</t>
  </si>
  <si>
    <t>ФЕР27-04-007-01
--------------------
Приказ Минстроя РФ от 30.01.14 №31/пр</t>
  </si>
  <si>
    <t xml:space="preserve">Устройство оснований толщиной 15 см из щебня фракции 40-70 мм при укатке каменных материалов с пределом прочности на сжатие до 68,6 МПа (700 кгс/см2): однослойных, 1000 м2 основания
НР 121%=142%*0.85 от ФОТ
СП 65%=95%*(0.85*0.8) от ФОТ
 </t>
  </si>
  <si>
    <t>24545,99
301,96</t>
  </si>
  <si>
    <t>3756,43
471,12</t>
  </si>
  <si>
    <t xml:space="preserve">27.53 Устройство основания из щебня фракции 40-70 мм при укатке каменных материалов с пределом прочности на сжатие до 68,6 МПа (700 кгс/см2): ОЗП=16,45; ЭМ=9,55; ЗПМ=16,45; МАТ=8,75
 </t>
  </si>
  <si>
    <t>80,72
17,44</t>
  </si>
  <si>
    <t>36,96
36,24</t>
  </si>
  <si>
    <t>0,08
0,08</t>
  </si>
  <si>
    <t>ФЕР27-06-020-01
--------------------
Приказ Минстроя РФ от 30.01.14 №31/пр</t>
  </si>
  <si>
    <t xml:space="preserve">Устройство покрытия толщиной 4 см (10см) из горячих асфальтобетонных смесей плотных мелкозернистых типа АБВ, плотность каменных материалов: 2,5-2,9 т/м3, 1000 м2 покрытия
НР 121%=142%*0.85 от ФОТ
СП 65%=95%*(0.85*0.8) от ФОТ
 </t>
  </si>
  <si>
    <t>46666,3
368,45</t>
  </si>
  <si>
    <t>2386,22
262,54</t>
  </si>
  <si>
    <t xml:space="preserve">27.116 Устройство покрытий из горячих асфальтобетонных смесей: ОЗП=16,45; ЭМ=9,95; ЗПМ=16,45; МАТ=6,37
 </t>
  </si>
  <si>
    <t>53,42
9,72</t>
  </si>
  <si>
    <t>38,3
19,08</t>
  </si>
  <si>
    <t>0,09
0,04</t>
  </si>
  <si>
    <t>ФЕР27-06-021-01
--------------------
Приказ Минстроя РФ от 30.01.14 №31/пр</t>
  </si>
  <si>
    <t xml:space="preserve">На каждые 0,5 см изменения толщины покрытия добавлять или исключать: к расценке 27-06-020-01, 1000 м2 покрытия
КОЭФ. К ПОЗИЦИИ:
Поправка на толщину покрытия (10см-4см=6см) ПЗ=12 (ОЗП=12; ЭМ=12 к расх.; ЗПМ=12; МАТ=12 к расх.; ТЗ=12; ТЗМ=12)
НР 121%=142%*0.85 от ФОТ
СП 65%=95%*(0.85*0.8) от ФОТ
 </t>
  </si>
  <si>
    <t>65706,48
10,44</t>
  </si>
  <si>
    <t xml:space="preserve">                                   Сопутствующие работы теплового узла</t>
  </si>
  <si>
    <t>ФЕР16-07-003-07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</si>
  <si>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80 мм, 1 врезка
НР 98%=128%*(0.9*0.85) от ФОТ
СП 56%=83%*(0.85*0.8) от ФОТ
 </t>
  </si>
  <si>
    <t>583,24
71,77</t>
  </si>
  <si>
    <t>11,71
0,27</t>
  </si>
  <si>
    <t xml:space="preserve">16.189 Врезка в действующие внутренние сети трубопроводов отопления и водоснабжения диаметром: 80 мм: ОЗП=16,45; ЭМ=9,59; ЗПМ=16,45; МАТ=4,44
 </t>
  </si>
  <si>
    <t>224,6
8,88</t>
  </si>
  <si>
    <t>7,46
0,02</t>
  </si>
  <si>
    <t>14,92
0,04</t>
  </si>
  <si>
    <t xml:space="preserve">Ротаметр, счетчик, преобразователь, устанавливаемые на фланцевых соединениях, диаметр условного прохода: до 50 мм (Преобразователи расхода Ду50=2шт - существующие), 1 шт.
НР 68%=80%*0.85 от ФОТ
СП 48%=60%*0.8 от ФОТ
 </t>
  </si>
  <si>
    <t>47,83
27,01</t>
  </si>
  <si>
    <t>ФССЦ-507-1000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</si>
  <si>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50 мм, шт.
 </t>
  </si>
  <si>
    <t xml:space="preserve">Фланцы стальные плоские приварные из стали ВСт3сп2, ВСт3сп3; давлением 1,6 МПа (16 кгс/см2), диаметром 50 мм; МАТ=8,357
 </t>
  </si>
  <si>
    <t xml:space="preserve">Прибор, устанавливаемый на резьбовых соединениях, масса: до 1,5 кг (Термопреобразователи =2шт - существующие), 1 шт.
НР 68%=80%*0.85 от ФОТ
СП 48%=60%*0.8 от ФОТ
 </t>
  </si>
  <si>
    <t>35015,86
11343,68</t>
  </si>
  <si>
    <t>860,89
61,97</t>
  </si>
  <si>
    <t xml:space="preserve">  61% =  80%*(0.9*0.85) ФОТ (от 75,7)  (Поз. 184)</t>
  </si>
  <si>
    <t xml:space="preserve">  68% =  80%*0.85 ФОТ (от 9383,29)  (Поз. 166, 174, 177, 191, 193)</t>
  </si>
  <si>
    <t xml:space="preserve">  73% =  95%*(0.9*0.85) ФОТ (от 44,08)  (Поз. 183, 186)</t>
  </si>
  <si>
    <t xml:space="preserve">  88% =  104%*0.85 ФОТ (от 905,35)  (Поз. 180)</t>
  </si>
  <si>
    <t xml:space="preserve">  84% =  110%*(0.9*0.85) ФОТ (от 111683,83)  (Поз. 162-165, 167-169)</t>
  </si>
  <si>
    <t xml:space="preserve">  94% =  123%*(0.9*0.85) ФОТ (от 1916,22)  (Поз. 175, 178)</t>
  </si>
  <si>
    <t xml:space="preserve">  98% =  128%*(0.9*0.85) ФОТ (от 2370,12)  (Поз. 190)</t>
  </si>
  <si>
    <t xml:space="preserve">  99% =  130%*(0.9*0.85) ФОТ (от 3146,9)  (Поз. 185)</t>
  </si>
  <si>
    <t xml:space="preserve">  121% =  142%*0.85 ФОТ (от 52,37)  (Поз. 187-189)</t>
  </si>
  <si>
    <t xml:space="preserve">  31% =  45%*(0.85*0.8) ФОТ (от 75,7)  (Поз. 184)</t>
  </si>
  <si>
    <t xml:space="preserve">  34% =  50%*(0.85*0.8) ФОТ (от 44,08)  (Поз. 183, 186)</t>
  </si>
  <si>
    <t xml:space="preserve">  48% =  60%*0.8 ФОТ (от 2130,21)  (Поз. 180, 191, 193)</t>
  </si>
  <si>
    <t xml:space="preserve">  54% =  68%*0.8 ФОТ (от 8158,43)  (Поз. 166, 174, 177)</t>
  </si>
  <si>
    <t xml:space="preserve">  48% =  70%*(0.85*0.8) ФОТ (от 111683,83)  (Поз. 162-165, 167-169)</t>
  </si>
  <si>
    <t xml:space="preserve">  51% =  75%*(0.85*0.8) ФОТ (от 1916,22)  (Поз. 175, 178)</t>
  </si>
  <si>
    <t xml:space="preserve">  56% =  83%*(0.85*0.8) ФОТ (от 2370,12)  (Поз. 190)</t>
  </si>
  <si>
    <t xml:space="preserve">  58% =  85%*(0.85*0.8) ФОТ (от 3146,9)  (Поз. 185)</t>
  </si>
  <si>
    <t xml:space="preserve">  65% =  95%*(0.85*0.8) ФОТ (от 52,37)  (Поз. 187-189)</t>
  </si>
  <si>
    <t>Итоги по разделу 9 Сопутствующие работы :</t>
  </si>
  <si>
    <t>852,65
61,97</t>
  </si>
  <si>
    <t xml:space="preserve">  Итого по разделу 9 Сопутствующие работы</t>
  </si>
  <si>
    <t>Итого прямые затраты по смете в текущих ценах</t>
  </si>
  <si>
    <t>82973,17
15305,00</t>
  </si>
  <si>
    <t>3189,27
80,35</t>
  </si>
  <si>
    <t>Итоги по смете:</t>
  </si>
  <si>
    <t>3122,28
79,92</t>
  </si>
  <si>
    <t>66,99
0,43</t>
  </si>
  <si>
    <t xml:space="preserve">  ВСЕГО по смете</t>
  </si>
  <si>
    <t>Капитальный ремонт многоквартирного дома по адресу: Томская область, г.Томск, пр. Фрунзе, 220</t>
  </si>
  <si>
    <t>ЛОКАЛЬНЫЙ СМЕТНЫЙ РАСЧЕТ №  02-01-01</t>
  </si>
  <si>
    <t>Составлен(а) в текущих ценах по состоянию на 2 кв. 2015 года</t>
  </si>
  <si>
    <r>
      <t xml:space="preserve">на  </t>
    </r>
    <r>
      <rPr>
        <b/>
        <sz val="9"/>
        <rFont val="Tahoma"/>
        <family val="2"/>
        <charset val="204"/>
      </rPr>
      <t xml:space="preserve"> Капитальный ремонт внутренней инженерной системы теплоснабжения</t>
    </r>
  </si>
  <si>
    <t>Основание: заключение, проект 37-2015-ОВ</t>
  </si>
  <si>
    <t>Проведена проверка достоверности определения сметной стоимости</t>
  </si>
  <si>
    <t>Составил:____________________________</t>
  </si>
  <si>
    <t>3189,27
80,36</t>
  </si>
  <si>
    <t xml:space="preserve">  ВСЕГО по смете с понижающим коэффициентом К=0.9283226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</si>
</sst>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9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10" applyFont="1" applyBorder="1" applyAlignment="1">
      <alignment horizontal="left"/>
    </xf>
    <xf numFmtId="0" fontId="17" fillId="0" borderId="11" xfId="0" applyFont="1" applyBorder="1" applyAlignment="1">
      <alignment horizontal="center" vertical="top"/>
    </xf>
    <xf numFmtId="0" fontId="20" fillId="0" borderId="11" xfId="1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3" fillId="0" borderId="0" xfId="10" applyFont="1" applyAlignment="1">
      <alignment wrapText="1"/>
    </xf>
    <xf numFmtId="0" fontId="24" fillId="0" borderId="0" xfId="0" applyFont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2" xfId="10" applyFont="1" applyBorder="1">
      <alignment horizontal="right" inden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" xfId="4" applyFont="1" applyBorder="1" applyAlignment="1">
      <alignment horizontal="right" vertical="top" wrapText="1"/>
    </xf>
    <xf numFmtId="2" fontId="18" fillId="0" borderId="11" xfId="10" applyNumberFormat="1" applyFont="1" applyBorder="1">
      <alignment horizontal="right" inden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454"/>
  <sheetViews>
    <sheetView showGridLines="0" tabSelected="1" view="pageBreakPreview" topLeftCell="A2" zoomScale="104" zoomScaleNormal="104" zoomScaleSheetLayoutView="104" workbookViewId="0">
      <selection activeCell="C13" sqref="C13:E13"/>
    </sheetView>
  </sheetViews>
  <sheetFormatPr defaultColWidth="9.109375" defaultRowHeight="13.2" x14ac:dyDescent="0.25"/>
  <cols>
    <col min="1" max="1" width="4" style="48" customWidth="1"/>
    <col min="2" max="2" width="16.44140625" style="48" customWidth="1"/>
    <col min="3" max="3" width="30.88671875" style="48" customWidth="1"/>
    <col min="4" max="4" width="6.8867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10.554687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20" s="11" customFormat="1" x14ac:dyDescent="0.25">
      <c r="A1" s="97"/>
      <c r="B1" s="102"/>
      <c r="C1" s="97"/>
      <c r="D1" s="103"/>
      <c r="E1" s="104"/>
      <c r="F1" s="111" t="s">
        <v>1128</v>
      </c>
      <c r="G1" s="104"/>
      <c r="H1" s="105"/>
      <c r="I1" s="97"/>
      <c r="J1" s="97"/>
      <c r="K1" s="97"/>
      <c r="L1" s="97"/>
      <c r="M1" s="97"/>
      <c r="N1" s="98"/>
      <c r="O1" s="96"/>
      <c r="P1" s="96"/>
      <c r="Q1" s="96"/>
      <c r="R1" s="96"/>
      <c r="S1" s="96"/>
      <c r="T1" s="96"/>
    </row>
    <row r="2" spans="1:20" s="11" customFormat="1" x14ac:dyDescent="0.25">
      <c r="A2" s="106" t="s">
        <v>296</v>
      </c>
      <c r="B2" s="102"/>
      <c r="C2" s="98"/>
      <c r="D2" s="105"/>
      <c r="E2" s="103"/>
      <c r="F2" s="99" t="s">
        <v>81</v>
      </c>
      <c r="G2" s="99"/>
      <c r="H2" s="98"/>
      <c r="I2" s="100"/>
      <c r="J2" s="112" t="s">
        <v>297</v>
      </c>
      <c r="K2" s="112"/>
      <c r="L2" s="112"/>
      <c r="M2" s="112"/>
      <c r="N2" s="112"/>
      <c r="O2" s="96"/>
      <c r="P2" s="96"/>
      <c r="Q2" s="96"/>
      <c r="R2" s="96"/>
      <c r="S2" s="96"/>
      <c r="T2" s="96"/>
    </row>
    <row r="3" spans="1:20" s="11" customFormat="1" x14ac:dyDescent="0.25">
      <c r="A3" s="106" t="s">
        <v>298</v>
      </c>
      <c r="B3" s="98"/>
      <c r="C3" s="98"/>
      <c r="D3" s="98"/>
      <c r="E3" s="97"/>
      <c r="F3" s="97"/>
      <c r="G3" s="97"/>
      <c r="H3" s="97"/>
      <c r="I3" s="97"/>
      <c r="J3" s="112" t="s">
        <v>6</v>
      </c>
      <c r="K3" s="112"/>
      <c r="L3" s="112"/>
      <c r="M3" s="112"/>
      <c r="N3" s="112"/>
      <c r="O3" s="96"/>
      <c r="P3" s="96"/>
      <c r="Q3" s="96"/>
      <c r="R3" s="96"/>
      <c r="S3" s="96"/>
      <c r="T3" s="96"/>
    </row>
    <row r="4" spans="1:20" s="11" customFormat="1" x14ac:dyDescent="0.25">
      <c r="A4" s="97"/>
      <c r="B4" s="97"/>
      <c r="C4" s="97"/>
      <c r="D4" s="98"/>
      <c r="E4" s="103"/>
      <c r="F4" s="107" t="s">
        <v>1129</v>
      </c>
      <c r="G4" s="97"/>
      <c r="H4" s="98"/>
      <c r="I4" s="97"/>
      <c r="J4" s="112"/>
      <c r="K4" s="112"/>
      <c r="L4" s="112"/>
      <c r="M4" s="112"/>
      <c r="N4" s="112"/>
      <c r="O4" s="96"/>
      <c r="P4" s="96"/>
      <c r="Q4" s="96"/>
      <c r="R4" s="96"/>
      <c r="S4" s="96"/>
      <c r="T4" s="96"/>
    </row>
    <row r="5" spans="1:20" s="11" customFormat="1" x14ac:dyDescent="0.25">
      <c r="A5" s="97"/>
      <c r="B5" s="97"/>
      <c r="C5" s="97"/>
      <c r="D5" s="98"/>
      <c r="E5" s="103"/>
      <c r="F5" s="97" t="s">
        <v>82</v>
      </c>
      <c r="G5" s="97"/>
      <c r="H5" s="98"/>
      <c r="I5" s="97"/>
      <c r="J5" s="112"/>
      <c r="K5" s="112"/>
      <c r="L5" s="112"/>
      <c r="M5" s="112"/>
      <c r="N5" s="112"/>
      <c r="O5" s="96"/>
      <c r="P5" s="96"/>
      <c r="Q5" s="96"/>
      <c r="R5" s="96"/>
      <c r="S5" s="96"/>
      <c r="T5" s="96"/>
    </row>
    <row r="6" spans="1:20" s="11" customFormat="1" x14ac:dyDescent="0.25">
      <c r="A6" s="97"/>
      <c r="B6" s="97"/>
      <c r="C6" s="97"/>
      <c r="D6" s="98"/>
      <c r="E6" s="97"/>
      <c r="F6" s="97"/>
      <c r="G6" s="97"/>
      <c r="H6" s="97"/>
      <c r="I6" s="97"/>
      <c r="J6" s="112"/>
      <c r="K6" s="112"/>
      <c r="L6" s="112"/>
      <c r="M6" s="112"/>
      <c r="N6" s="112"/>
      <c r="O6" s="96"/>
      <c r="P6" s="96"/>
      <c r="Q6" s="96"/>
      <c r="R6" s="96"/>
      <c r="S6" s="96"/>
      <c r="T6" s="96"/>
    </row>
    <row r="7" spans="1:20" s="96" customFormat="1" x14ac:dyDescent="0.25">
      <c r="A7" s="97"/>
      <c r="B7" s="97"/>
      <c r="C7" s="97"/>
      <c r="D7" s="98"/>
      <c r="E7" s="97"/>
      <c r="F7" s="97"/>
      <c r="G7" s="97"/>
      <c r="H7" s="97"/>
      <c r="I7" s="97"/>
      <c r="J7" s="112"/>
      <c r="K7" s="112"/>
      <c r="L7" s="112"/>
      <c r="M7" s="112"/>
      <c r="N7" s="112"/>
    </row>
    <row r="8" spans="1:20" s="96" customFormat="1" x14ac:dyDescent="0.25">
      <c r="A8" s="97"/>
      <c r="B8" s="97"/>
      <c r="C8" s="97"/>
      <c r="D8" s="98"/>
      <c r="E8" s="97"/>
      <c r="F8" s="97"/>
      <c r="G8" s="97"/>
      <c r="H8" s="97"/>
      <c r="I8" s="97"/>
      <c r="J8" s="106"/>
      <c r="K8" s="106"/>
      <c r="L8" s="106"/>
      <c r="M8" s="106"/>
      <c r="N8" s="106"/>
    </row>
    <row r="9" spans="1:20" s="11" customFormat="1" x14ac:dyDescent="0.25">
      <c r="A9" s="97"/>
      <c r="B9" s="97"/>
      <c r="C9" s="108"/>
      <c r="D9" s="109" t="s">
        <v>1131</v>
      </c>
      <c r="E9" s="110"/>
      <c r="F9" s="110"/>
      <c r="G9" s="110"/>
      <c r="H9" s="110"/>
      <c r="I9" s="100"/>
      <c r="J9" s="100"/>
      <c r="K9" s="100"/>
      <c r="L9" s="100"/>
      <c r="M9" s="97"/>
      <c r="N9" s="98"/>
      <c r="O9" s="96"/>
      <c r="P9" s="96"/>
      <c r="Q9" s="96"/>
      <c r="R9" s="96"/>
      <c r="S9" s="96"/>
      <c r="T9" s="96"/>
    </row>
    <row r="10" spans="1:20" s="11" customFormat="1" x14ac:dyDescent="0.25">
      <c r="A10" s="59"/>
      <c r="B10" s="59"/>
      <c r="C10" s="59"/>
      <c r="D10" s="63" t="s">
        <v>312</v>
      </c>
      <c r="E10" s="61"/>
      <c r="F10" s="61"/>
      <c r="G10" s="61"/>
      <c r="H10" s="60"/>
      <c r="I10" s="62"/>
      <c r="J10" s="62"/>
      <c r="K10" s="62"/>
      <c r="L10" s="62"/>
      <c r="M10" s="59"/>
      <c r="N10" s="60"/>
    </row>
    <row r="11" spans="1:20" s="11" customFormat="1" ht="7.5" customHeight="1" x14ac:dyDescent="0.25">
      <c r="A11" s="64"/>
      <c r="B11" s="64"/>
      <c r="C11" s="59"/>
      <c r="D11" s="60"/>
      <c r="E11" s="59"/>
      <c r="F11" s="59"/>
      <c r="G11" s="59"/>
      <c r="H11" s="59"/>
      <c r="I11" s="59"/>
      <c r="J11" s="59"/>
      <c r="K11" s="60"/>
      <c r="L11" s="60"/>
      <c r="M11" s="59"/>
      <c r="N11" s="60"/>
    </row>
    <row r="12" spans="1:20" x14ac:dyDescent="0.25">
      <c r="A12" s="121" t="s">
        <v>1132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20" x14ac:dyDescent="0.25">
      <c r="A13" s="65" t="s">
        <v>301</v>
      </c>
      <c r="B13" s="66"/>
      <c r="C13" s="148">
        <f>I448</f>
        <v>2890281.2738079662</v>
      </c>
      <c r="D13" s="148"/>
      <c r="E13" s="148"/>
      <c r="F13" s="67" t="s">
        <v>300</v>
      </c>
      <c r="G13" s="68"/>
      <c r="H13" s="68"/>
      <c r="I13" s="117" t="s">
        <v>1133</v>
      </c>
      <c r="J13" s="118"/>
      <c r="K13" s="118"/>
      <c r="L13" s="118"/>
      <c r="M13" s="69"/>
      <c r="N13" s="70"/>
    </row>
    <row r="14" spans="1:20" x14ac:dyDescent="0.25">
      <c r="A14" s="65" t="s">
        <v>311</v>
      </c>
      <c r="B14" s="66"/>
      <c r="C14" s="71"/>
      <c r="D14" s="123">
        <v>489928.61</v>
      </c>
      <c r="E14" s="123"/>
      <c r="F14" s="67" t="s">
        <v>300</v>
      </c>
      <c r="G14" s="68"/>
      <c r="H14" s="68"/>
      <c r="I14" s="118"/>
      <c r="J14" s="118"/>
      <c r="K14" s="118"/>
      <c r="L14" s="118"/>
      <c r="M14" s="69"/>
      <c r="N14" s="70"/>
    </row>
    <row r="15" spans="1:20" x14ac:dyDescent="0.25">
      <c r="A15" s="101" t="s">
        <v>1130</v>
      </c>
      <c r="B15" s="70"/>
      <c r="C15" s="72"/>
      <c r="D15" s="73"/>
      <c r="E15" s="74"/>
      <c r="F15" s="75"/>
      <c r="G15" s="76"/>
      <c r="H15" s="76"/>
      <c r="I15" s="118"/>
      <c r="J15" s="118"/>
      <c r="K15" s="118"/>
      <c r="L15" s="118"/>
      <c r="M15" s="69"/>
      <c r="N15" s="70"/>
    </row>
    <row r="16" spans="1:20" ht="11.25" customHeight="1" x14ac:dyDescent="0.25">
      <c r="A16" s="77"/>
      <c r="B16" s="67"/>
      <c r="C16" s="67"/>
      <c r="D16" s="77"/>
      <c r="E16" s="68"/>
      <c r="F16" s="68"/>
      <c r="G16" s="68"/>
      <c r="H16" s="71"/>
      <c r="I16" s="68"/>
      <c r="J16" s="68"/>
      <c r="K16" s="68"/>
      <c r="L16" s="68"/>
      <c r="M16" s="68"/>
      <c r="N16" s="70" t="s">
        <v>300</v>
      </c>
    </row>
    <row r="17" spans="1:20" ht="12.75" customHeight="1" x14ac:dyDescent="0.25">
      <c r="A17" s="138" t="s">
        <v>83</v>
      </c>
      <c r="B17" s="138" t="s">
        <v>308</v>
      </c>
      <c r="C17" s="124" t="s">
        <v>313</v>
      </c>
      <c r="D17" s="124" t="s">
        <v>309</v>
      </c>
      <c r="E17" s="130" t="s">
        <v>314</v>
      </c>
      <c r="F17" s="131"/>
      <c r="G17" s="132"/>
      <c r="H17" s="124" t="s">
        <v>295</v>
      </c>
      <c r="I17" s="130" t="s">
        <v>315</v>
      </c>
      <c r="J17" s="136"/>
      <c r="K17" s="136"/>
      <c r="L17" s="127"/>
      <c r="M17" s="126" t="s">
        <v>310</v>
      </c>
      <c r="N17" s="127"/>
    </row>
    <row r="18" spans="1:20" s="50" customFormat="1" ht="38.25" customHeight="1" x14ac:dyDescent="0.25">
      <c r="A18" s="139"/>
      <c r="B18" s="139"/>
      <c r="C18" s="139"/>
      <c r="D18" s="139"/>
      <c r="E18" s="133"/>
      <c r="F18" s="134"/>
      <c r="G18" s="135"/>
      <c r="H18" s="139"/>
      <c r="I18" s="128"/>
      <c r="J18" s="137"/>
      <c r="K18" s="137"/>
      <c r="L18" s="129"/>
      <c r="M18" s="128"/>
      <c r="N18" s="129"/>
    </row>
    <row r="19" spans="1:20" s="50" customFormat="1" ht="12.75" customHeight="1" x14ac:dyDescent="0.25">
      <c r="A19" s="139"/>
      <c r="B19" s="139"/>
      <c r="C19" s="139"/>
      <c r="D19" s="139"/>
      <c r="E19" s="82" t="s">
        <v>303</v>
      </c>
      <c r="F19" s="82" t="s">
        <v>305</v>
      </c>
      <c r="G19" s="124" t="s">
        <v>307</v>
      </c>
      <c r="H19" s="139"/>
      <c r="I19" s="124" t="s">
        <v>303</v>
      </c>
      <c r="J19" s="124" t="s">
        <v>306</v>
      </c>
      <c r="K19" s="82" t="s">
        <v>305</v>
      </c>
      <c r="L19" s="124" t="s">
        <v>307</v>
      </c>
      <c r="M19" s="138" t="s">
        <v>299</v>
      </c>
      <c r="N19" s="124" t="s">
        <v>303</v>
      </c>
    </row>
    <row r="20" spans="1:20" s="50" customFormat="1" ht="11.25" customHeight="1" x14ac:dyDescent="0.25">
      <c r="A20" s="125"/>
      <c r="B20" s="125"/>
      <c r="C20" s="125"/>
      <c r="D20" s="125"/>
      <c r="E20" s="83" t="s">
        <v>302</v>
      </c>
      <c r="F20" s="82" t="s">
        <v>304</v>
      </c>
      <c r="G20" s="125"/>
      <c r="H20" s="125"/>
      <c r="I20" s="125"/>
      <c r="J20" s="125"/>
      <c r="K20" s="82" t="s">
        <v>304</v>
      </c>
      <c r="L20" s="125"/>
      <c r="M20" s="125"/>
      <c r="N20" s="125"/>
    </row>
    <row r="21" spans="1:20" x14ac:dyDescent="0.25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51"/>
      <c r="P21" s="51"/>
      <c r="Q21" s="51"/>
      <c r="R21" s="51"/>
      <c r="S21" s="51"/>
      <c r="T21" s="51"/>
    </row>
    <row r="22" spans="1:20" ht="17.850000000000001" customHeight="1" x14ac:dyDescent="0.25">
      <c r="A22" s="113" t="s">
        <v>317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20" ht="17.850000000000001" customHeight="1" x14ac:dyDescent="0.25">
      <c r="A23" s="115" t="s">
        <v>318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1:20" ht="68.400000000000006" x14ac:dyDescent="0.25">
      <c r="A24" s="85">
        <v>1</v>
      </c>
      <c r="B24" s="86" t="s">
        <v>319</v>
      </c>
      <c r="C24" s="86" t="s">
        <v>320</v>
      </c>
      <c r="D24" s="85">
        <v>0.61409999999999998</v>
      </c>
      <c r="E24" s="87" t="s">
        <v>321</v>
      </c>
      <c r="F24" s="87"/>
      <c r="G24" s="87"/>
      <c r="H24" s="88" t="s">
        <v>322</v>
      </c>
      <c r="I24" s="89">
        <v>1603.38</v>
      </c>
      <c r="J24" s="87">
        <v>1603.38</v>
      </c>
      <c r="K24" s="87"/>
      <c r="L24" s="87" t="str">
        <f>IF(0.6141*0=0," ",TEXT(,ROUND((0.6141*0*1),2)))</f>
        <v xml:space="preserve"> </v>
      </c>
      <c r="M24" s="87">
        <v>19.100000000000001</v>
      </c>
      <c r="N24" s="87">
        <v>11.73</v>
      </c>
    </row>
    <row r="25" spans="1:20" ht="57" x14ac:dyDescent="0.25">
      <c r="A25" s="85">
        <v>2</v>
      </c>
      <c r="B25" s="86" t="s">
        <v>323</v>
      </c>
      <c r="C25" s="86" t="s">
        <v>324</v>
      </c>
      <c r="D25" s="85">
        <v>2.02</v>
      </c>
      <c r="E25" s="87" t="s">
        <v>325</v>
      </c>
      <c r="F25" s="87" t="s">
        <v>326</v>
      </c>
      <c r="G25" s="87"/>
      <c r="H25" s="88" t="s">
        <v>327</v>
      </c>
      <c r="I25" s="89">
        <v>30348.94</v>
      </c>
      <c r="J25" s="87">
        <v>28766.36</v>
      </c>
      <c r="K25" s="87" t="s">
        <v>328</v>
      </c>
      <c r="L25" s="87" t="str">
        <f>IF(2.02*0=0," ",TEXT(,ROUND((2.02*0*1),2)))</f>
        <v xml:space="preserve"> </v>
      </c>
      <c r="M25" s="87" t="s">
        <v>329</v>
      </c>
      <c r="N25" s="87" t="s">
        <v>330</v>
      </c>
    </row>
    <row r="26" spans="1:20" ht="57" x14ac:dyDescent="0.25">
      <c r="A26" s="85">
        <v>3</v>
      </c>
      <c r="B26" s="86" t="s">
        <v>331</v>
      </c>
      <c r="C26" s="86" t="s">
        <v>332</v>
      </c>
      <c r="D26" s="85">
        <v>0.01</v>
      </c>
      <c r="E26" s="87" t="s">
        <v>333</v>
      </c>
      <c r="F26" s="87"/>
      <c r="G26" s="87"/>
      <c r="H26" s="88" t="s">
        <v>334</v>
      </c>
      <c r="I26" s="89">
        <v>68.900000000000006</v>
      </c>
      <c r="J26" s="87">
        <v>68.900000000000006</v>
      </c>
      <c r="K26" s="87"/>
      <c r="L26" s="87" t="str">
        <f>IF(0.01*0=0," ",TEXT(,ROUND((0.01*0*1),2)))</f>
        <v xml:space="preserve"> </v>
      </c>
      <c r="M26" s="87">
        <v>49.1</v>
      </c>
      <c r="N26" s="87">
        <v>0.49</v>
      </c>
    </row>
    <row r="27" spans="1:20" ht="102.6" x14ac:dyDescent="0.25">
      <c r="A27" s="85">
        <v>4</v>
      </c>
      <c r="B27" s="86" t="s">
        <v>335</v>
      </c>
      <c r="C27" s="86" t="s">
        <v>336</v>
      </c>
      <c r="D27" s="85">
        <v>7.95</v>
      </c>
      <c r="E27" s="87" t="s">
        <v>337</v>
      </c>
      <c r="F27" s="87">
        <v>6.54</v>
      </c>
      <c r="G27" s="87">
        <v>12.56</v>
      </c>
      <c r="H27" s="88" t="s">
        <v>338</v>
      </c>
      <c r="I27" s="89">
        <v>50059.56</v>
      </c>
      <c r="J27" s="87">
        <v>48637.46</v>
      </c>
      <c r="K27" s="87">
        <v>947.8</v>
      </c>
      <c r="L27" s="87" t="str">
        <f>IF(7.95*12.56=0," ",TEXT(,ROUND((7.95*12.56*4.75),2)))</f>
        <v>474,3</v>
      </c>
      <c r="M27" s="87">
        <v>43.6</v>
      </c>
      <c r="N27" s="87">
        <v>346.62</v>
      </c>
    </row>
    <row r="28" spans="1:20" ht="102.6" x14ac:dyDescent="0.25">
      <c r="A28" s="85">
        <v>5</v>
      </c>
      <c r="B28" s="86" t="s">
        <v>339</v>
      </c>
      <c r="C28" s="86" t="s">
        <v>340</v>
      </c>
      <c r="D28" s="85">
        <v>1.2450000000000001</v>
      </c>
      <c r="E28" s="87" t="s">
        <v>341</v>
      </c>
      <c r="F28" s="87">
        <v>16.32</v>
      </c>
      <c r="G28" s="87">
        <v>30.33</v>
      </c>
      <c r="H28" s="88" t="s">
        <v>342</v>
      </c>
      <c r="I28" s="89">
        <v>11957.48</v>
      </c>
      <c r="J28" s="87">
        <v>11407.7</v>
      </c>
      <c r="K28" s="87">
        <v>370.4</v>
      </c>
      <c r="L28" s="87" t="str">
        <f>IF(1.245*30.33=0," ",TEXT(,ROUND((1.245*30.33*4.75),2)))</f>
        <v>179,36</v>
      </c>
      <c r="M28" s="87">
        <v>65.3</v>
      </c>
      <c r="N28" s="87">
        <v>81.3</v>
      </c>
    </row>
    <row r="29" spans="1:20" ht="79.8" x14ac:dyDescent="0.25">
      <c r="A29" s="85">
        <v>6</v>
      </c>
      <c r="B29" s="86" t="s">
        <v>343</v>
      </c>
      <c r="C29" s="86" t="s">
        <v>344</v>
      </c>
      <c r="D29" s="85">
        <v>0.3</v>
      </c>
      <c r="E29" s="87" t="s">
        <v>345</v>
      </c>
      <c r="F29" s="87" t="s">
        <v>346</v>
      </c>
      <c r="G29" s="87">
        <v>10.53</v>
      </c>
      <c r="H29" s="88" t="s">
        <v>347</v>
      </c>
      <c r="I29" s="89">
        <v>2202.56</v>
      </c>
      <c r="J29" s="87">
        <v>1422.81</v>
      </c>
      <c r="K29" s="87" t="s">
        <v>348</v>
      </c>
      <c r="L29" s="87" t="str">
        <f>IF(0.3*10.53=0," ",TEXT(,ROUND((0.3*10.53*4.83),2)))</f>
        <v>15,26</v>
      </c>
      <c r="M29" s="87" t="s">
        <v>349</v>
      </c>
      <c r="N29" s="87" t="s">
        <v>350</v>
      </c>
    </row>
    <row r="30" spans="1:20" ht="17.850000000000001" customHeight="1" x14ac:dyDescent="0.25">
      <c r="A30" s="115" t="s">
        <v>351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1:20" ht="57" x14ac:dyDescent="0.25">
      <c r="A31" s="85">
        <v>7</v>
      </c>
      <c r="B31" s="86" t="s">
        <v>352</v>
      </c>
      <c r="C31" s="86" t="s">
        <v>353</v>
      </c>
      <c r="D31" s="85">
        <v>0.01</v>
      </c>
      <c r="E31" s="87" t="s">
        <v>354</v>
      </c>
      <c r="F31" s="87"/>
      <c r="G31" s="87"/>
      <c r="H31" s="88" t="s">
        <v>355</v>
      </c>
      <c r="I31" s="89">
        <v>1329.8</v>
      </c>
      <c r="J31" s="87">
        <v>1329.8</v>
      </c>
      <c r="K31" s="87"/>
      <c r="L31" s="87" t="str">
        <f>IF(0.01*0=0," ",TEXT(,ROUND((0.01*0*1),2)))</f>
        <v xml:space="preserve"> </v>
      </c>
      <c r="M31" s="87">
        <v>912.4</v>
      </c>
      <c r="N31" s="87">
        <v>9.1199999999999992</v>
      </c>
    </row>
    <row r="32" spans="1:20" ht="57" x14ac:dyDescent="0.25">
      <c r="A32" s="85">
        <v>8</v>
      </c>
      <c r="B32" s="86" t="s">
        <v>356</v>
      </c>
      <c r="C32" s="86" t="s">
        <v>357</v>
      </c>
      <c r="D32" s="85">
        <v>0.02</v>
      </c>
      <c r="E32" s="87" t="s">
        <v>358</v>
      </c>
      <c r="F32" s="87"/>
      <c r="G32" s="87"/>
      <c r="H32" s="88" t="s">
        <v>334</v>
      </c>
      <c r="I32" s="89">
        <v>446.21</v>
      </c>
      <c r="J32" s="87">
        <v>446.21</v>
      </c>
      <c r="K32" s="87"/>
      <c r="L32" s="87" t="str">
        <f>IF(0.02*0=0," ",TEXT(,ROUND((0.02*0*1),2)))</f>
        <v xml:space="preserve"> </v>
      </c>
      <c r="M32" s="87">
        <v>159</v>
      </c>
      <c r="N32" s="87">
        <v>3.18</v>
      </c>
    </row>
    <row r="33" spans="1:14" ht="193.8" x14ac:dyDescent="0.25">
      <c r="A33" s="85">
        <v>9</v>
      </c>
      <c r="B33" s="86" t="s">
        <v>359</v>
      </c>
      <c r="C33" s="86" t="s">
        <v>360</v>
      </c>
      <c r="D33" s="85">
        <v>2</v>
      </c>
      <c r="E33" s="87" t="s">
        <v>361</v>
      </c>
      <c r="F33" s="87">
        <v>5.75</v>
      </c>
      <c r="G33" s="87"/>
      <c r="H33" s="88" t="s">
        <v>362</v>
      </c>
      <c r="I33" s="89">
        <v>664.6</v>
      </c>
      <c r="J33" s="87">
        <v>533.17999999999995</v>
      </c>
      <c r="K33" s="87">
        <v>131.41999999999999</v>
      </c>
      <c r="L33" s="87" t="str">
        <f>IF(2*0=0," ",TEXT(,ROUND((2*0*4.43),2)))</f>
        <v xml:space="preserve"> </v>
      </c>
      <c r="M33" s="87">
        <v>1.85</v>
      </c>
      <c r="N33" s="87">
        <v>3.7</v>
      </c>
    </row>
    <row r="34" spans="1:14" ht="171" x14ac:dyDescent="0.25">
      <c r="A34" s="90">
        <v>10</v>
      </c>
      <c r="B34" s="91" t="s">
        <v>363</v>
      </c>
      <c r="C34" s="91" t="s">
        <v>364</v>
      </c>
      <c r="D34" s="90">
        <v>2</v>
      </c>
      <c r="E34" s="92" t="s">
        <v>365</v>
      </c>
      <c r="F34" s="92"/>
      <c r="G34" s="92"/>
      <c r="H34" s="93" t="s">
        <v>366</v>
      </c>
      <c r="I34" s="94">
        <v>201.74</v>
      </c>
      <c r="J34" s="92">
        <v>201.74</v>
      </c>
      <c r="K34" s="92"/>
      <c r="L34" s="92" t="str">
        <f>IF(2*0=0," ",TEXT(,ROUND((2*0*4.55),2)))</f>
        <v xml:space="preserve"> </v>
      </c>
      <c r="M34" s="92">
        <v>0.62</v>
      </c>
      <c r="N34" s="92">
        <v>1.24</v>
      </c>
    </row>
    <row r="35" spans="1:14" ht="22.8" x14ac:dyDescent="0.25">
      <c r="A35" s="119" t="s">
        <v>367</v>
      </c>
      <c r="B35" s="120"/>
      <c r="C35" s="120"/>
      <c r="D35" s="120"/>
      <c r="E35" s="120"/>
      <c r="F35" s="120"/>
      <c r="G35" s="120"/>
      <c r="H35" s="120"/>
      <c r="I35" s="89">
        <v>98883.17</v>
      </c>
      <c r="J35" s="87">
        <v>94417.54</v>
      </c>
      <c r="K35" s="87" t="s">
        <v>368</v>
      </c>
      <c r="L35" s="87">
        <v>668.94</v>
      </c>
      <c r="M35" s="87"/>
      <c r="N35" s="87" t="s">
        <v>369</v>
      </c>
    </row>
    <row r="36" spans="1:14" x14ac:dyDescent="0.25">
      <c r="A36" s="119" t="s">
        <v>370</v>
      </c>
      <c r="B36" s="120"/>
      <c r="C36" s="120"/>
      <c r="D36" s="120"/>
      <c r="E36" s="120"/>
      <c r="F36" s="120"/>
      <c r="G36" s="120"/>
      <c r="H36" s="120"/>
      <c r="I36" s="89">
        <v>60684.39</v>
      </c>
      <c r="J36" s="87"/>
      <c r="K36" s="87"/>
      <c r="L36" s="87"/>
      <c r="M36" s="87"/>
      <c r="N36" s="87"/>
    </row>
    <row r="37" spans="1:14" x14ac:dyDescent="0.25">
      <c r="A37" s="119" t="s">
        <v>371</v>
      </c>
      <c r="B37" s="120"/>
      <c r="C37" s="120"/>
      <c r="D37" s="120"/>
      <c r="E37" s="120"/>
      <c r="F37" s="120"/>
      <c r="G37" s="120"/>
      <c r="H37" s="120"/>
      <c r="I37" s="89"/>
      <c r="J37" s="87"/>
      <c r="K37" s="87"/>
      <c r="L37" s="87"/>
      <c r="M37" s="87"/>
      <c r="N37" s="87"/>
    </row>
    <row r="38" spans="1:14" x14ac:dyDescent="0.25">
      <c r="A38" s="119" t="s">
        <v>372</v>
      </c>
      <c r="B38" s="120"/>
      <c r="C38" s="120"/>
      <c r="D38" s="120"/>
      <c r="E38" s="120"/>
      <c r="F38" s="120"/>
      <c r="G38" s="120"/>
      <c r="H38" s="120"/>
      <c r="I38" s="89">
        <v>58756.74</v>
      </c>
      <c r="J38" s="87"/>
      <c r="K38" s="87"/>
      <c r="L38" s="87"/>
      <c r="M38" s="87"/>
      <c r="N38" s="87"/>
    </row>
    <row r="39" spans="1:14" x14ac:dyDescent="0.25">
      <c r="A39" s="119" t="s">
        <v>373</v>
      </c>
      <c r="B39" s="120"/>
      <c r="C39" s="120"/>
      <c r="D39" s="120"/>
      <c r="E39" s="120"/>
      <c r="F39" s="120"/>
      <c r="G39" s="120"/>
      <c r="H39" s="120"/>
      <c r="I39" s="89">
        <v>499.75</v>
      </c>
      <c r="J39" s="87"/>
      <c r="K39" s="87"/>
      <c r="L39" s="87"/>
      <c r="M39" s="87"/>
      <c r="N39" s="87"/>
    </row>
    <row r="40" spans="1:14" x14ac:dyDescent="0.25">
      <c r="A40" s="119" t="s">
        <v>374</v>
      </c>
      <c r="B40" s="120"/>
      <c r="C40" s="120"/>
      <c r="D40" s="120"/>
      <c r="E40" s="120"/>
      <c r="F40" s="120"/>
      <c r="G40" s="120"/>
      <c r="H40" s="120"/>
      <c r="I40" s="89">
        <v>1427.9</v>
      </c>
      <c r="J40" s="87"/>
      <c r="K40" s="87"/>
      <c r="L40" s="87"/>
      <c r="M40" s="87"/>
      <c r="N40" s="87"/>
    </row>
    <row r="41" spans="1:14" x14ac:dyDescent="0.25">
      <c r="A41" s="119" t="s">
        <v>375</v>
      </c>
      <c r="B41" s="120"/>
      <c r="C41" s="120"/>
      <c r="D41" s="120"/>
      <c r="E41" s="120"/>
      <c r="F41" s="120"/>
      <c r="G41" s="120"/>
      <c r="H41" s="120"/>
      <c r="I41" s="89">
        <v>38496.730000000003</v>
      </c>
      <c r="J41" s="87"/>
      <c r="K41" s="87"/>
      <c r="L41" s="87"/>
      <c r="M41" s="87"/>
      <c r="N41" s="87"/>
    </row>
    <row r="42" spans="1:14" x14ac:dyDescent="0.25">
      <c r="A42" s="119" t="s">
        <v>371</v>
      </c>
      <c r="B42" s="120"/>
      <c r="C42" s="120"/>
      <c r="D42" s="120"/>
      <c r="E42" s="120"/>
      <c r="F42" s="120"/>
      <c r="G42" s="120"/>
      <c r="H42" s="120"/>
      <c r="I42" s="89"/>
      <c r="J42" s="87"/>
      <c r="K42" s="87"/>
      <c r="L42" s="87"/>
      <c r="M42" s="87"/>
      <c r="N42" s="87"/>
    </row>
    <row r="43" spans="1:14" x14ac:dyDescent="0.25">
      <c r="A43" s="119" t="s">
        <v>376</v>
      </c>
      <c r="B43" s="120"/>
      <c r="C43" s="120"/>
      <c r="D43" s="120"/>
      <c r="E43" s="120"/>
      <c r="F43" s="120"/>
      <c r="G43" s="120"/>
      <c r="H43" s="120"/>
      <c r="I43" s="89">
        <v>37305.86</v>
      </c>
      <c r="J43" s="87"/>
      <c r="K43" s="87"/>
      <c r="L43" s="87"/>
      <c r="M43" s="87"/>
      <c r="N43" s="87"/>
    </row>
    <row r="44" spans="1:14" x14ac:dyDescent="0.25">
      <c r="A44" s="119" t="s">
        <v>377</v>
      </c>
      <c r="B44" s="120"/>
      <c r="C44" s="120"/>
      <c r="D44" s="120"/>
      <c r="E44" s="120"/>
      <c r="F44" s="120"/>
      <c r="G44" s="120"/>
      <c r="H44" s="120"/>
      <c r="I44" s="89">
        <v>352.76</v>
      </c>
      <c r="J44" s="87"/>
      <c r="K44" s="87"/>
      <c r="L44" s="87"/>
      <c r="M44" s="87"/>
      <c r="N44" s="87"/>
    </row>
    <row r="45" spans="1:14" x14ac:dyDescent="0.25">
      <c r="A45" s="119" t="s">
        <v>378</v>
      </c>
      <c r="B45" s="120"/>
      <c r="C45" s="120"/>
      <c r="D45" s="120"/>
      <c r="E45" s="120"/>
      <c r="F45" s="120"/>
      <c r="G45" s="120"/>
      <c r="H45" s="120"/>
      <c r="I45" s="89">
        <v>838.11</v>
      </c>
      <c r="J45" s="87"/>
      <c r="K45" s="87"/>
      <c r="L45" s="87"/>
      <c r="M45" s="87"/>
      <c r="N45" s="87"/>
    </row>
    <row r="46" spans="1:14" x14ac:dyDescent="0.25">
      <c r="A46" s="140" t="s">
        <v>379</v>
      </c>
      <c r="B46" s="114"/>
      <c r="C46" s="114"/>
      <c r="D46" s="114"/>
      <c r="E46" s="114"/>
      <c r="F46" s="114"/>
      <c r="G46" s="114"/>
      <c r="H46" s="114"/>
      <c r="I46" s="89"/>
      <c r="J46" s="87"/>
      <c r="K46" s="87"/>
      <c r="L46" s="87"/>
      <c r="M46" s="87"/>
      <c r="N46" s="87"/>
    </row>
    <row r="47" spans="1:14" ht="22.8" x14ac:dyDescent="0.25">
      <c r="A47" s="119" t="s">
        <v>380</v>
      </c>
      <c r="B47" s="120"/>
      <c r="C47" s="120"/>
      <c r="D47" s="120"/>
      <c r="E47" s="120"/>
      <c r="F47" s="120"/>
      <c r="G47" s="120"/>
      <c r="H47" s="120"/>
      <c r="I47" s="89">
        <v>196345.44</v>
      </c>
      <c r="J47" s="87"/>
      <c r="K47" s="87"/>
      <c r="L47" s="87"/>
      <c r="M47" s="87"/>
      <c r="N47" s="87" t="s">
        <v>381</v>
      </c>
    </row>
    <row r="48" spans="1:14" x14ac:dyDescent="0.25">
      <c r="A48" s="119" t="s">
        <v>382</v>
      </c>
      <c r="B48" s="120"/>
      <c r="C48" s="120"/>
      <c r="D48" s="120"/>
      <c r="E48" s="120"/>
      <c r="F48" s="120"/>
      <c r="G48" s="120"/>
      <c r="H48" s="120"/>
      <c r="I48" s="89">
        <v>1718.85</v>
      </c>
      <c r="J48" s="87"/>
      <c r="K48" s="87"/>
      <c r="L48" s="87"/>
      <c r="M48" s="87"/>
      <c r="N48" s="87">
        <v>4.9400000000000004</v>
      </c>
    </row>
    <row r="49" spans="1:14" ht="22.8" x14ac:dyDescent="0.25">
      <c r="A49" s="119" t="s">
        <v>383</v>
      </c>
      <c r="B49" s="120"/>
      <c r="C49" s="120"/>
      <c r="D49" s="120"/>
      <c r="E49" s="120"/>
      <c r="F49" s="120"/>
      <c r="G49" s="120"/>
      <c r="H49" s="120"/>
      <c r="I49" s="89">
        <v>198064.29</v>
      </c>
      <c r="J49" s="87"/>
      <c r="K49" s="87"/>
      <c r="L49" s="87"/>
      <c r="M49" s="87"/>
      <c r="N49" s="87" t="s">
        <v>369</v>
      </c>
    </row>
    <row r="50" spans="1:14" x14ac:dyDescent="0.25">
      <c r="A50" s="119" t="s">
        <v>384</v>
      </c>
      <c r="B50" s="120"/>
      <c r="C50" s="120"/>
      <c r="D50" s="120"/>
      <c r="E50" s="120"/>
      <c r="F50" s="120"/>
      <c r="G50" s="120"/>
      <c r="H50" s="120"/>
      <c r="I50" s="89"/>
      <c r="J50" s="87"/>
      <c r="K50" s="87"/>
      <c r="L50" s="87"/>
      <c r="M50" s="87"/>
      <c r="N50" s="87"/>
    </row>
    <row r="51" spans="1:14" x14ac:dyDescent="0.25">
      <c r="A51" s="119" t="s">
        <v>385</v>
      </c>
      <c r="B51" s="120"/>
      <c r="C51" s="120"/>
      <c r="D51" s="120"/>
      <c r="E51" s="120"/>
      <c r="F51" s="120"/>
      <c r="G51" s="120"/>
      <c r="H51" s="120"/>
      <c r="I51" s="89">
        <v>668.94</v>
      </c>
      <c r="J51" s="87"/>
      <c r="K51" s="87"/>
      <c r="L51" s="87"/>
      <c r="M51" s="87"/>
      <c r="N51" s="87"/>
    </row>
    <row r="52" spans="1:14" x14ac:dyDescent="0.25">
      <c r="A52" s="119" t="s">
        <v>386</v>
      </c>
      <c r="B52" s="120"/>
      <c r="C52" s="120"/>
      <c r="D52" s="120"/>
      <c r="E52" s="120"/>
      <c r="F52" s="120"/>
      <c r="G52" s="120"/>
      <c r="H52" s="120"/>
      <c r="I52" s="89">
        <v>3796.69</v>
      </c>
      <c r="J52" s="87"/>
      <c r="K52" s="87"/>
      <c r="L52" s="87"/>
      <c r="M52" s="87"/>
      <c r="N52" s="87"/>
    </row>
    <row r="53" spans="1:14" x14ac:dyDescent="0.25">
      <c r="A53" s="119" t="s">
        <v>387</v>
      </c>
      <c r="B53" s="120"/>
      <c r="C53" s="120"/>
      <c r="D53" s="120"/>
      <c r="E53" s="120"/>
      <c r="F53" s="120"/>
      <c r="G53" s="120"/>
      <c r="H53" s="120"/>
      <c r="I53" s="89">
        <v>95551.64</v>
      </c>
      <c r="J53" s="87"/>
      <c r="K53" s="87"/>
      <c r="L53" s="87"/>
      <c r="M53" s="87"/>
      <c r="N53" s="87"/>
    </row>
    <row r="54" spans="1:14" x14ac:dyDescent="0.25">
      <c r="A54" s="119" t="s">
        <v>388</v>
      </c>
      <c r="B54" s="120"/>
      <c r="C54" s="120"/>
      <c r="D54" s="120"/>
      <c r="E54" s="120"/>
      <c r="F54" s="120"/>
      <c r="G54" s="120"/>
      <c r="H54" s="120"/>
      <c r="I54" s="89">
        <v>60684.39</v>
      </c>
      <c r="J54" s="87"/>
      <c r="K54" s="87"/>
      <c r="L54" s="87"/>
      <c r="M54" s="87"/>
      <c r="N54" s="87"/>
    </row>
    <row r="55" spans="1:14" x14ac:dyDescent="0.25">
      <c r="A55" s="119" t="s">
        <v>389</v>
      </c>
      <c r="B55" s="120"/>
      <c r="C55" s="120"/>
      <c r="D55" s="120"/>
      <c r="E55" s="120"/>
      <c r="F55" s="120"/>
      <c r="G55" s="120"/>
      <c r="H55" s="120"/>
      <c r="I55" s="89">
        <v>38496.730000000003</v>
      </c>
      <c r="J55" s="87"/>
      <c r="K55" s="87"/>
      <c r="L55" s="87"/>
      <c r="M55" s="87"/>
      <c r="N55" s="87"/>
    </row>
    <row r="56" spans="1:14" ht="22.8" x14ac:dyDescent="0.25">
      <c r="A56" s="141" t="s">
        <v>390</v>
      </c>
      <c r="B56" s="142"/>
      <c r="C56" s="142"/>
      <c r="D56" s="142"/>
      <c r="E56" s="142"/>
      <c r="F56" s="142"/>
      <c r="G56" s="142"/>
      <c r="H56" s="142"/>
      <c r="I56" s="94">
        <v>198064.29</v>
      </c>
      <c r="J56" s="92"/>
      <c r="K56" s="92"/>
      <c r="L56" s="92"/>
      <c r="M56" s="92"/>
      <c r="N56" s="92" t="s">
        <v>369</v>
      </c>
    </row>
    <row r="57" spans="1:14" ht="17.850000000000001" customHeight="1" x14ac:dyDescent="0.25">
      <c r="A57" s="113" t="s">
        <v>391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</row>
    <row r="58" spans="1:14" ht="114" x14ac:dyDescent="0.25">
      <c r="A58" s="85">
        <v>11</v>
      </c>
      <c r="B58" s="86" t="s">
        <v>392</v>
      </c>
      <c r="C58" s="86" t="s">
        <v>393</v>
      </c>
      <c r="D58" s="85">
        <v>0.03</v>
      </c>
      <c r="E58" s="87" t="s">
        <v>394</v>
      </c>
      <c r="F58" s="87" t="s">
        <v>395</v>
      </c>
      <c r="G58" s="87">
        <v>70651.39</v>
      </c>
      <c r="H58" s="88" t="s">
        <v>396</v>
      </c>
      <c r="I58" s="89">
        <v>16536.400000000001</v>
      </c>
      <c r="J58" s="87">
        <v>2179.09</v>
      </c>
      <c r="K58" s="87" t="s">
        <v>397</v>
      </c>
      <c r="L58" s="87" t="str">
        <f>IF(0.03*70651.39=0," ",TEXT(,ROUND((0.03*70651.39*5.41),2)))</f>
        <v>11466,72</v>
      </c>
      <c r="M58" s="87" t="s">
        <v>398</v>
      </c>
      <c r="N58" s="87" t="s">
        <v>399</v>
      </c>
    </row>
    <row r="59" spans="1:14" ht="148.19999999999999" x14ac:dyDescent="0.25">
      <c r="A59" s="85">
        <v>12</v>
      </c>
      <c r="B59" s="86" t="s">
        <v>400</v>
      </c>
      <c r="C59" s="86" t="s">
        <v>401</v>
      </c>
      <c r="D59" s="85">
        <v>0.745</v>
      </c>
      <c r="E59" s="87" t="s">
        <v>402</v>
      </c>
      <c r="F59" s="87" t="s">
        <v>403</v>
      </c>
      <c r="G59" s="87">
        <v>6240.25</v>
      </c>
      <c r="H59" s="88" t="s">
        <v>404</v>
      </c>
      <c r="I59" s="89">
        <v>40037.42</v>
      </c>
      <c r="J59" s="87">
        <v>10969.85</v>
      </c>
      <c r="K59" s="87" t="s">
        <v>405</v>
      </c>
      <c r="L59" s="87" t="str">
        <f>IF(0.745*6240.25=0," ",TEXT(,ROUND((0.745*6240.25*5.74),2)))</f>
        <v>26685,18</v>
      </c>
      <c r="M59" s="87" t="s">
        <v>406</v>
      </c>
      <c r="N59" s="87" t="s">
        <v>407</v>
      </c>
    </row>
    <row r="60" spans="1:14" ht="148.19999999999999" x14ac:dyDescent="0.25">
      <c r="A60" s="85">
        <v>13</v>
      </c>
      <c r="B60" s="86" t="s">
        <v>408</v>
      </c>
      <c r="C60" s="86" t="s">
        <v>409</v>
      </c>
      <c r="D60" s="85">
        <v>0.5</v>
      </c>
      <c r="E60" s="87" t="s">
        <v>410</v>
      </c>
      <c r="F60" s="87" t="s">
        <v>411</v>
      </c>
      <c r="G60" s="87">
        <v>5353.21</v>
      </c>
      <c r="H60" s="88" t="s">
        <v>412</v>
      </c>
      <c r="I60" s="89">
        <v>23045.25</v>
      </c>
      <c r="J60" s="87">
        <v>6661.61</v>
      </c>
      <c r="K60" s="87" t="s">
        <v>413</v>
      </c>
      <c r="L60" s="87" t="str">
        <f>IF(0.5*5353.21=0," ",TEXT(,ROUND((0.5*5353.21*5.7),2)))</f>
        <v>15256,65</v>
      </c>
      <c r="M60" s="87" t="s">
        <v>414</v>
      </c>
      <c r="N60" s="87" t="s">
        <v>415</v>
      </c>
    </row>
    <row r="61" spans="1:14" ht="148.19999999999999" x14ac:dyDescent="0.25">
      <c r="A61" s="85">
        <v>14</v>
      </c>
      <c r="B61" s="86" t="s">
        <v>416</v>
      </c>
      <c r="C61" s="86" t="s">
        <v>417</v>
      </c>
      <c r="D61" s="85">
        <v>1.32</v>
      </c>
      <c r="E61" s="87" t="s">
        <v>418</v>
      </c>
      <c r="F61" s="87" t="s">
        <v>419</v>
      </c>
      <c r="G61" s="87">
        <v>4156.74</v>
      </c>
      <c r="H61" s="88" t="s">
        <v>420</v>
      </c>
      <c r="I61" s="89">
        <v>47276.84</v>
      </c>
      <c r="J61" s="87">
        <v>14825.34</v>
      </c>
      <c r="K61" s="87" t="s">
        <v>421</v>
      </c>
      <c r="L61" s="87" t="str">
        <f>IF(1.32*4156.74=0," ",TEXT(,ROUND((1.32*4156.74*5.47),2)))</f>
        <v>30013,33</v>
      </c>
      <c r="M61" s="87" t="s">
        <v>422</v>
      </c>
      <c r="N61" s="87" t="s">
        <v>423</v>
      </c>
    </row>
    <row r="62" spans="1:14" ht="148.19999999999999" x14ac:dyDescent="0.25">
      <c r="A62" s="85">
        <v>15</v>
      </c>
      <c r="B62" s="86" t="s">
        <v>424</v>
      </c>
      <c r="C62" s="86" t="s">
        <v>425</v>
      </c>
      <c r="D62" s="85">
        <v>0.95</v>
      </c>
      <c r="E62" s="87" t="s">
        <v>426</v>
      </c>
      <c r="F62" s="87" t="s">
        <v>427</v>
      </c>
      <c r="G62" s="87">
        <v>2855.5</v>
      </c>
      <c r="H62" s="88" t="s">
        <v>428</v>
      </c>
      <c r="I62" s="89">
        <v>26009.23</v>
      </c>
      <c r="J62" s="87">
        <v>5700.06</v>
      </c>
      <c r="K62" s="87" t="s">
        <v>429</v>
      </c>
      <c r="L62" s="87" t="str">
        <f>IF(0.95*2855.5=0," ",TEXT(,ROUND((0.95*2855.5*7.25),2)))</f>
        <v>19667,26</v>
      </c>
      <c r="M62" s="87" t="s">
        <v>430</v>
      </c>
      <c r="N62" s="87" t="s">
        <v>431</v>
      </c>
    </row>
    <row r="63" spans="1:14" ht="148.19999999999999" x14ac:dyDescent="0.25">
      <c r="A63" s="85">
        <v>16</v>
      </c>
      <c r="B63" s="86" t="s">
        <v>432</v>
      </c>
      <c r="C63" s="86" t="s">
        <v>433</v>
      </c>
      <c r="D63" s="85">
        <v>0.83</v>
      </c>
      <c r="E63" s="87" t="s">
        <v>434</v>
      </c>
      <c r="F63" s="87" t="s">
        <v>427</v>
      </c>
      <c r="G63" s="87">
        <v>3089.96</v>
      </c>
      <c r="H63" s="88" t="s">
        <v>435</v>
      </c>
      <c r="I63" s="89">
        <v>20236.419999999998</v>
      </c>
      <c r="J63" s="87">
        <v>4980.05</v>
      </c>
      <c r="K63" s="87" t="s">
        <v>436</v>
      </c>
      <c r="L63" s="87" t="str">
        <f>IF(0.83*3089.96=0," ",TEXT(,ROUND((0.83*3089.96*5.73),2)))</f>
        <v>14695,54</v>
      </c>
      <c r="M63" s="87" t="s">
        <v>430</v>
      </c>
      <c r="N63" s="87" t="s">
        <v>437</v>
      </c>
    </row>
    <row r="64" spans="1:14" ht="148.19999999999999" x14ac:dyDescent="0.25">
      <c r="A64" s="85">
        <v>17</v>
      </c>
      <c r="B64" s="86" t="s">
        <v>438</v>
      </c>
      <c r="C64" s="86" t="s">
        <v>439</v>
      </c>
      <c r="D64" s="85">
        <v>14.88</v>
      </c>
      <c r="E64" s="87" t="s">
        <v>440</v>
      </c>
      <c r="F64" s="87" t="s">
        <v>427</v>
      </c>
      <c r="G64" s="87">
        <v>2366.27</v>
      </c>
      <c r="H64" s="88" t="s">
        <v>441</v>
      </c>
      <c r="I64" s="89">
        <v>293342.98</v>
      </c>
      <c r="J64" s="87">
        <v>89280.89</v>
      </c>
      <c r="K64" s="87" t="s">
        <v>442</v>
      </c>
      <c r="L64" s="87" t="str">
        <f>IF(14.88*2366.27=0," ",TEXT(,ROUND((14.88*2366.27*5.51),2)))</f>
        <v>194007,64</v>
      </c>
      <c r="M64" s="87" t="s">
        <v>430</v>
      </c>
      <c r="N64" s="87" t="s">
        <v>443</v>
      </c>
    </row>
    <row r="65" spans="1:14" ht="148.19999999999999" x14ac:dyDescent="0.25">
      <c r="A65" s="85">
        <v>18</v>
      </c>
      <c r="B65" s="86" t="s">
        <v>444</v>
      </c>
      <c r="C65" s="86" t="s">
        <v>445</v>
      </c>
      <c r="D65" s="85">
        <v>1.28</v>
      </c>
      <c r="E65" s="87" t="s">
        <v>446</v>
      </c>
      <c r="F65" s="87" t="s">
        <v>427</v>
      </c>
      <c r="G65" s="87">
        <v>1988.81</v>
      </c>
      <c r="H65" s="88" t="s">
        <v>447</v>
      </c>
      <c r="I65" s="89">
        <v>23182.62</v>
      </c>
      <c r="J65" s="87">
        <v>7680.08</v>
      </c>
      <c r="K65" s="87" t="s">
        <v>448</v>
      </c>
      <c r="L65" s="87" t="str">
        <f>IF(1.28*1988.81=0," ",TEXT(,ROUND((1.28*1988.81*5.75),2)))</f>
        <v>14637,64</v>
      </c>
      <c r="M65" s="87" t="s">
        <v>430</v>
      </c>
      <c r="N65" s="87" t="s">
        <v>449</v>
      </c>
    </row>
    <row r="66" spans="1:14" ht="159.6" x14ac:dyDescent="0.25">
      <c r="A66" s="85">
        <v>19</v>
      </c>
      <c r="B66" s="86" t="s">
        <v>450</v>
      </c>
      <c r="C66" s="86" t="s">
        <v>451</v>
      </c>
      <c r="D66" s="85">
        <v>1.2450000000000001</v>
      </c>
      <c r="E66" s="87" t="s">
        <v>452</v>
      </c>
      <c r="F66" s="87">
        <v>55.64</v>
      </c>
      <c r="G66" s="87">
        <v>11.11</v>
      </c>
      <c r="H66" s="88" t="s">
        <v>453</v>
      </c>
      <c r="I66" s="89">
        <v>1559.82</v>
      </c>
      <c r="J66" s="87">
        <v>1373.57</v>
      </c>
      <c r="K66" s="87">
        <v>49.18</v>
      </c>
      <c r="L66" s="87" t="str">
        <f>IF(1.245*11.11=0," ",TEXT(,ROUND((1.245*11.11*9.91),2)))</f>
        <v>137,07</v>
      </c>
      <c r="M66" s="87">
        <v>5.76</v>
      </c>
      <c r="N66" s="87">
        <v>7.17</v>
      </c>
    </row>
    <row r="67" spans="1:14" ht="159.6" x14ac:dyDescent="0.25">
      <c r="A67" s="85">
        <v>20</v>
      </c>
      <c r="B67" s="86" t="s">
        <v>454</v>
      </c>
      <c r="C67" s="86" t="s">
        <v>455</v>
      </c>
      <c r="D67" s="85">
        <v>19.260000000000002</v>
      </c>
      <c r="E67" s="87" t="s">
        <v>456</v>
      </c>
      <c r="F67" s="87">
        <v>55.64</v>
      </c>
      <c r="G67" s="87">
        <v>4.28</v>
      </c>
      <c r="H67" s="88" t="s">
        <v>457</v>
      </c>
      <c r="I67" s="89">
        <v>22620.68</v>
      </c>
      <c r="J67" s="87">
        <v>21248.98</v>
      </c>
      <c r="K67" s="87">
        <v>760.77</v>
      </c>
      <c r="L67" s="87" t="str">
        <f>IF(19.26*4.28=0," ",TEXT(,ROUND((19.26*4.28*7.41),2)))</f>
        <v>610,83</v>
      </c>
      <c r="M67" s="87">
        <v>5.76</v>
      </c>
      <c r="N67" s="87">
        <v>110.94</v>
      </c>
    </row>
    <row r="68" spans="1:14" ht="57" x14ac:dyDescent="0.25">
      <c r="A68" s="85">
        <v>21</v>
      </c>
      <c r="B68" s="86" t="s">
        <v>458</v>
      </c>
      <c r="C68" s="86" t="s">
        <v>459</v>
      </c>
      <c r="D68" s="85">
        <v>230</v>
      </c>
      <c r="E68" s="87">
        <v>11.99</v>
      </c>
      <c r="F68" s="87"/>
      <c r="G68" s="87">
        <v>11.99</v>
      </c>
      <c r="H68" s="88" t="s">
        <v>460</v>
      </c>
      <c r="I68" s="89">
        <v>9048.2000000000007</v>
      </c>
      <c r="J68" s="87"/>
      <c r="K68" s="87"/>
      <c r="L68" s="87" t="str">
        <f>IF(230*11.99=0," ",TEXT(,ROUND((230*11.99*3.281),2)))</f>
        <v>9048,01</v>
      </c>
      <c r="M68" s="87"/>
      <c r="N68" s="87"/>
    </row>
    <row r="69" spans="1:14" ht="45.6" x14ac:dyDescent="0.25">
      <c r="A69" s="85">
        <v>22</v>
      </c>
      <c r="B69" s="86" t="s">
        <v>461</v>
      </c>
      <c r="C69" s="86" t="s">
        <v>462</v>
      </c>
      <c r="D69" s="85">
        <v>2</v>
      </c>
      <c r="E69" s="87">
        <v>58.78</v>
      </c>
      <c r="F69" s="87"/>
      <c r="G69" s="87">
        <v>58.78</v>
      </c>
      <c r="H69" s="88" t="s">
        <v>463</v>
      </c>
      <c r="I69" s="89">
        <v>655.98</v>
      </c>
      <c r="J69" s="87"/>
      <c r="K69" s="87"/>
      <c r="L69" s="87" t="str">
        <f>IF(2*58.78=0," ",TEXT(,ROUND((2*58.78*5.58),2)))</f>
        <v>655,98</v>
      </c>
      <c r="M69" s="87"/>
      <c r="N69" s="87"/>
    </row>
    <row r="70" spans="1:14" ht="45.6" x14ac:dyDescent="0.25">
      <c r="A70" s="85">
        <v>23</v>
      </c>
      <c r="B70" s="86" t="s">
        <v>461</v>
      </c>
      <c r="C70" s="86" t="s">
        <v>464</v>
      </c>
      <c r="D70" s="85">
        <v>26</v>
      </c>
      <c r="E70" s="87">
        <v>30.37</v>
      </c>
      <c r="F70" s="87"/>
      <c r="G70" s="87">
        <v>30.37</v>
      </c>
      <c r="H70" s="88" t="s">
        <v>463</v>
      </c>
      <c r="I70" s="89">
        <v>4405.96</v>
      </c>
      <c r="J70" s="87"/>
      <c r="K70" s="87"/>
      <c r="L70" s="87" t="str">
        <f>IF(26*30.37=0," ",TEXT(,ROUND((26*30.37*5.58),2)))</f>
        <v>4406,08</v>
      </c>
      <c r="M70" s="87"/>
      <c r="N70" s="87"/>
    </row>
    <row r="71" spans="1:14" ht="45.6" x14ac:dyDescent="0.25">
      <c r="A71" s="85">
        <v>24</v>
      </c>
      <c r="B71" s="86" t="s">
        <v>461</v>
      </c>
      <c r="C71" s="86" t="s">
        <v>465</v>
      </c>
      <c r="D71" s="85">
        <v>65</v>
      </c>
      <c r="E71" s="87">
        <v>19.14</v>
      </c>
      <c r="F71" s="87"/>
      <c r="G71" s="87">
        <v>19.14</v>
      </c>
      <c r="H71" s="88" t="s">
        <v>463</v>
      </c>
      <c r="I71" s="89">
        <v>6942</v>
      </c>
      <c r="J71" s="87"/>
      <c r="K71" s="87"/>
      <c r="L71" s="87" t="str">
        <f>IF(65*19.14=0," ",TEXT(,ROUND((65*19.14*5.58),2)))</f>
        <v>6942,08</v>
      </c>
      <c r="M71" s="87"/>
      <c r="N71" s="87"/>
    </row>
    <row r="72" spans="1:14" ht="68.400000000000006" x14ac:dyDescent="0.25">
      <c r="A72" s="85">
        <v>25</v>
      </c>
      <c r="B72" s="86" t="s">
        <v>466</v>
      </c>
      <c r="C72" s="86" t="s">
        <v>467</v>
      </c>
      <c r="D72" s="85">
        <v>2</v>
      </c>
      <c r="E72" s="87">
        <v>37.83</v>
      </c>
      <c r="F72" s="87"/>
      <c r="G72" s="87">
        <v>37.83</v>
      </c>
      <c r="H72" s="88" t="s">
        <v>463</v>
      </c>
      <c r="I72" s="89">
        <v>422.18</v>
      </c>
      <c r="J72" s="87"/>
      <c r="K72" s="87"/>
      <c r="L72" s="87" t="str">
        <f>IF(2*37.83=0," ",TEXT(,ROUND((2*37.83*5.58),2)))</f>
        <v>422,18</v>
      </c>
      <c r="M72" s="87"/>
      <c r="N72" s="87"/>
    </row>
    <row r="73" spans="1:14" ht="57" x14ac:dyDescent="0.25">
      <c r="A73" s="85">
        <v>26</v>
      </c>
      <c r="B73" s="86" t="s">
        <v>468</v>
      </c>
      <c r="C73" s="86" t="s">
        <v>469</v>
      </c>
      <c r="D73" s="85">
        <v>26</v>
      </c>
      <c r="E73" s="87">
        <v>180.43</v>
      </c>
      <c r="F73" s="87"/>
      <c r="G73" s="87">
        <v>180.43</v>
      </c>
      <c r="H73" s="88" t="s">
        <v>463</v>
      </c>
      <c r="I73" s="89">
        <v>26176.799999999999</v>
      </c>
      <c r="J73" s="87"/>
      <c r="K73" s="87"/>
      <c r="L73" s="87" t="str">
        <f>IF(26*180.43=0," ",TEXT(,ROUND((26*180.43*5.58),2)))</f>
        <v>26176,78</v>
      </c>
      <c r="M73" s="87"/>
      <c r="N73" s="87"/>
    </row>
    <row r="74" spans="1:14" ht="125.4" x14ac:dyDescent="0.25">
      <c r="A74" s="85">
        <v>27</v>
      </c>
      <c r="B74" s="86" t="s">
        <v>470</v>
      </c>
      <c r="C74" s="86" t="s">
        <v>471</v>
      </c>
      <c r="D74" s="85">
        <v>1</v>
      </c>
      <c r="E74" s="87" t="s">
        <v>472</v>
      </c>
      <c r="F74" s="87" t="s">
        <v>473</v>
      </c>
      <c r="G74" s="87">
        <v>185.23</v>
      </c>
      <c r="H74" s="88" t="s">
        <v>474</v>
      </c>
      <c r="I74" s="89">
        <v>3493.21</v>
      </c>
      <c r="J74" s="87">
        <v>217.74</v>
      </c>
      <c r="K74" s="87" t="s">
        <v>475</v>
      </c>
      <c r="L74" s="87" t="str">
        <f>IF(1*185.23=0," ",TEXT(,ROUND((1*185.23*17.13),2)))</f>
        <v>3172,99</v>
      </c>
      <c r="M74" s="87" t="s">
        <v>476</v>
      </c>
      <c r="N74" s="87" t="s">
        <v>476</v>
      </c>
    </row>
    <row r="75" spans="1:14" ht="125.4" x14ac:dyDescent="0.25">
      <c r="A75" s="85">
        <v>28</v>
      </c>
      <c r="B75" s="86" t="s">
        <v>477</v>
      </c>
      <c r="C75" s="86" t="s">
        <v>478</v>
      </c>
      <c r="D75" s="85">
        <v>2</v>
      </c>
      <c r="E75" s="87" t="s">
        <v>479</v>
      </c>
      <c r="F75" s="87"/>
      <c r="G75" s="87">
        <v>224.54</v>
      </c>
      <c r="H75" s="88" t="s">
        <v>480</v>
      </c>
      <c r="I75" s="89">
        <v>796.52</v>
      </c>
      <c r="J75" s="87">
        <v>82.48</v>
      </c>
      <c r="K75" s="87"/>
      <c r="L75" s="87" t="str">
        <f>IF(2*224.54=0," ",TEXT(,ROUND((2*224.54*1.59),2)))</f>
        <v>714,04</v>
      </c>
      <c r="M75" s="87">
        <v>0.25</v>
      </c>
      <c r="N75" s="87">
        <v>0.5</v>
      </c>
    </row>
    <row r="76" spans="1:14" ht="102.6" x14ac:dyDescent="0.25">
      <c r="A76" s="85">
        <v>29</v>
      </c>
      <c r="B76" s="86" t="s">
        <v>481</v>
      </c>
      <c r="C76" s="86" t="s">
        <v>482</v>
      </c>
      <c r="D76" s="85">
        <v>-2</v>
      </c>
      <c r="E76" s="87">
        <v>223.7</v>
      </c>
      <c r="F76" s="87"/>
      <c r="G76" s="87"/>
      <c r="H76" s="88" t="s">
        <v>483</v>
      </c>
      <c r="I76" s="89">
        <v>-710.48</v>
      </c>
      <c r="J76" s="87"/>
      <c r="K76" s="87"/>
      <c r="L76" s="87" t="str">
        <f>IF(-2*0=0," ",TEXT(,ROUND((-2*0*1.588),2)))</f>
        <v xml:space="preserve"> </v>
      </c>
      <c r="M76" s="87"/>
      <c r="N76" s="87"/>
    </row>
    <row r="77" spans="1:14" ht="57" x14ac:dyDescent="0.25">
      <c r="A77" s="85">
        <v>30</v>
      </c>
      <c r="B77" s="86" t="s">
        <v>484</v>
      </c>
      <c r="C77" s="86" t="s">
        <v>485</v>
      </c>
      <c r="D77" s="85">
        <v>2</v>
      </c>
      <c r="E77" s="87">
        <v>141.16</v>
      </c>
      <c r="F77" s="87"/>
      <c r="G77" s="87"/>
      <c r="H77" s="88" t="s">
        <v>486</v>
      </c>
      <c r="I77" s="89">
        <v>1081.28</v>
      </c>
      <c r="J77" s="87"/>
      <c r="K77" s="87"/>
      <c r="L77" s="87" t="str">
        <f>IF(2*0=0," ",TEXT(,ROUND((2*0*3.83),2)))</f>
        <v xml:space="preserve"> </v>
      </c>
      <c r="M77" s="87"/>
      <c r="N77" s="87"/>
    </row>
    <row r="78" spans="1:14" ht="171" x14ac:dyDescent="0.25">
      <c r="A78" s="85">
        <v>31</v>
      </c>
      <c r="B78" s="86" t="s">
        <v>487</v>
      </c>
      <c r="C78" s="86" t="s">
        <v>488</v>
      </c>
      <c r="D78" s="85">
        <v>0.15731999999999999</v>
      </c>
      <c r="E78" s="87" t="s">
        <v>489</v>
      </c>
      <c r="F78" s="87" t="s">
        <v>490</v>
      </c>
      <c r="G78" s="87">
        <v>19744.29</v>
      </c>
      <c r="H78" s="88" t="s">
        <v>491</v>
      </c>
      <c r="I78" s="89">
        <v>11319.15</v>
      </c>
      <c r="J78" s="87">
        <v>2577.9899999999998</v>
      </c>
      <c r="K78" s="87" t="s">
        <v>492</v>
      </c>
      <c r="L78" s="87" t="str">
        <f>IF(0.15732*19744.29=0," ",TEXT(,ROUND((0.15732*19744.29*2.68),2)))</f>
        <v>8324,54</v>
      </c>
      <c r="M78" s="87" t="s">
        <v>493</v>
      </c>
      <c r="N78" s="87" t="s">
        <v>494</v>
      </c>
    </row>
    <row r="79" spans="1:14" ht="57" x14ac:dyDescent="0.25">
      <c r="A79" s="85">
        <v>32</v>
      </c>
      <c r="B79" s="86" t="s">
        <v>495</v>
      </c>
      <c r="C79" s="86" t="s">
        <v>496</v>
      </c>
      <c r="D79" s="85">
        <v>-15.73</v>
      </c>
      <c r="E79" s="87">
        <v>197</v>
      </c>
      <c r="F79" s="87"/>
      <c r="G79" s="87">
        <v>197</v>
      </c>
      <c r="H79" s="88" t="s">
        <v>497</v>
      </c>
      <c r="I79" s="89">
        <v>-8276.9699999999993</v>
      </c>
      <c r="J79" s="87"/>
      <c r="K79" s="87"/>
      <c r="L79" s="87" t="str">
        <f>IF(-15.73*197=0," ",TEXT(,ROUND((-15.73*197*2.671),2)))</f>
        <v>-8276,92</v>
      </c>
      <c r="M79" s="87"/>
      <c r="N79" s="87"/>
    </row>
    <row r="80" spans="1:14" ht="45.6" x14ac:dyDescent="0.25">
      <c r="A80" s="85">
        <v>33</v>
      </c>
      <c r="B80" s="86" t="s">
        <v>461</v>
      </c>
      <c r="C80" s="86" t="s">
        <v>498</v>
      </c>
      <c r="D80" s="85">
        <v>6</v>
      </c>
      <c r="E80" s="87">
        <v>358.88</v>
      </c>
      <c r="F80" s="87"/>
      <c r="G80" s="87">
        <v>358.88</v>
      </c>
      <c r="H80" s="88" t="s">
        <v>463</v>
      </c>
      <c r="I80" s="89">
        <v>12015.3</v>
      </c>
      <c r="J80" s="87"/>
      <c r="K80" s="87"/>
      <c r="L80" s="87" t="str">
        <f>IF(6*358.88=0," ",TEXT(,ROUND((6*358.88*5.58),2)))</f>
        <v>12015,3</v>
      </c>
      <c r="M80" s="87"/>
      <c r="N80" s="87"/>
    </row>
    <row r="81" spans="1:14" ht="45.6" x14ac:dyDescent="0.25">
      <c r="A81" s="85">
        <v>34</v>
      </c>
      <c r="B81" s="86" t="s">
        <v>461</v>
      </c>
      <c r="C81" s="86" t="s">
        <v>499</v>
      </c>
      <c r="D81" s="85">
        <v>6</v>
      </c>
      <c r="E81" s="87">
        <v>282.79000000000002</v>
      </c>
      <c r="F81" s="87"/>
      <c r="G81" s="87">
        <v>282.79000000000002</v>
      </c>
      <c r="H81" s="88" t="s">
        <v>463</v>
      </c>
      <c r="I81" s="89">
        <v>9467.82</v>
      </c>
      <c r="J81" s="87"/>
      <c r="K81" s="87"/>
      <c r="L81" s="87" t="str">
        <f>IF(6*282.79=0," ",TEXT(,ROUND((6*282.79*5.58),2)))</f>
        <v>9467,81</v>
      </c>
      <c r="M81" s="87"/>
      <c r="N81" s="87"/>
    </row>
    <row r="82" spans="1:14" ht="171" x14ac:dyDescent="0.25">
      <c r="A82" s="85">
        <v>35</v>
      </c>
      <c r="B82" s="86" t="s">
        <v>500</v>
      </c>
      <c r="C82" s="86" t="s">
        <v>501</v>
      </c>
      <c r="D82" s="85">
        <v>2.3346</v>
      </c>
      <c r="E82" s="87" t="s">
        <v>502</v>
      </c>
      <c r="F82" s="87" t="s">
        <v>503</v>
      </c>
      <c r="G82" s="87">
        <v>17904.580000000002</v>
      </c>
      <c r="H82" s="88" t="s">
        <v>504</v>
      </c>
      <c r="I82" s="89">
        <v>347006.4</v>
      </c>
      <c r="J82" s="87">
        <v>25987.88</v>
      </c>
      <c r="K82" s="87" t="s">
        <v>505</v>
      </c>
      <c r="L82" s="87" t="str">
        <f>IF(2.3346*17904.58=0," ",TEXT(,ROUND((2.3346*17904.58*7.52),2)))</f>
        <v>314336,24</v>
      </c>
      <c r="M82" s="87" t="s">
        <v>506</v>
      </c>
      <c r="N82" s="87" t="s">
        <v>507</v>
      </c>
    </row>
    <row r="83" spans="1:14" ht="57" x14ac:dyDescent="0.25">
      <c r="A83" s="85">
        <v>36</v>
      </c>
      <c r="B83" s="86" t="s">
        <v>508</v>
      </c>
      <c r="C83" s="86" t="s">
        <v>509</v>
      </c>
      <c r="D83" s="85">
        <v>-233.5</v>
      </c>
      <c r="E83" s="87">
        <v>167</v>
      </c>
      <c r="F83" s="87"/>
      <c r="G83" s="87">
        <v>167</v>
      </c>
      <c r="H83" s="88" t="s">
        <v>510</v>
      </c>
      <c r="I83" s="89">
        <v>-306730.27</v>
      </c>
      <c r="J83" s="87"/>
      <c r="K83" s="87"/>
      <c r="L83" s="87" t="str">
        <f>IF(-233.5*167=0," ",TEXT(,ROUND((-233.5*167*7.866),2)))</f>
        <v>-306730,74</v>
      </c>
      <c r="M83" s="87"/>
      <c r="N83" s="87"/>
    </row>
    <row r="84" spans="1:14" ht="57" x14ac:dyDescent="0.25">
      <c r="A84" s="85">
        <v>37</v>
      </c>
      <c r="B84" s="86" t="s">
        <v>511</v>
      </c>
      <c r="C84" s="86" t="s">
        <v>512</v>
      </c>
      <c r="D84" s="85">
        <v>-103.2</v>
      </c>
      <c r="E84" s="87">
        <v>24.75</v>
      </c>
      <c r="F84" s="87"/>
      <c r="G84" s="87">
        <v>24.75</v>
      </c>
      <c r="H84" s="88" t="s">
        <v>513</v>
      </c>
      <c r="I84" s="89">
        <v>-5210.57</v>
      </c>
      <c r="J84" s="87"/>
      <c r="K84" s="87"/>
      <c r="L84" s="87" t="str">
        <f>IF(-103.2*24.75=0," ",TEXT(,ROUND((-103.2*24.75*2.04),2)))</f>
        <v>-5210,57</v>
      </c>
      <c r="M84" s="87"/>
      <c r="N84" s="87"/>
    </row>
    <row r="85" spans="1:14" ht="45.6" x14ac:dyDescent="0.25">
      <c r="A85" s="85">
        <v>38</v>
      </c>
      <c r="B85" s="86" t="s">
        <v>461</v>
      </c>
      <c r="C85" s="86" t="s">
        <v>514</v>
      </c>
      <c r="D85" s="85">
        <v>1297</v>
      </c>
      <c r="E85" s="87">
        <v>82.01</v>
      </c>
      <c r="F85" s="87"/>
      <c r="G85" s="87">
        <v>82.01</v>
      </c>
      <c r="H85" s="88" t="s">
        <v>463</v>
      </c>
      <c r="I85" s="89">
        <v>593533.14</v>
      </c>
      <c r="J85" s="87"/>
      <c r="K85" s="87"/>
      <c r="L85" s="87" t="str">
        <f>IF(1297*82.01=0," ",TEXT(,ROUND((1297*82.01*5.58),2)))</f>
        <v>593527,69</v>
      </c>
      <c r="M85" s="87"/>
      <c r="N85" s="87"/>
    </row>
    <row r="86" spans="1:14" ht="57" x14ac:dyDescent="0.25">
      <c r="A86" s="85">
        <v>39</v>
      </c>
      <c r="B86" s="86" t="s">
        <v>461</v>
      </c>
      <c r="C86" s="86" t="s">
        <v>515</v>
      </c>
      <c r="D86" s="85">
        <v>202</v>
      </c>
      <c r="E86" s="87">
        <v>44.8</v>
      </c>
      <c r="F86" s="87"/>
      <c r="G86" s="87">
        <v>44.8</v>
      </c>
      <c r="H86" s="88" t="s">
        <v>463</v>
      </c>
      <c r="I86" s="89">
        <v>50495.96</v>
      </c>
      <c r="J86" s="87"/>
      <c r="K86" s="87"/>
      <c r="L86" s="87" t="str">
        <f>IF(202*44.8=0," ",TEXT(,ROUND((202*44.8*5.58),2)))</f>
        <v>50496,77</v>
      </c>
      <c r="M86" s="87"/>
      <c r="N86" s="87"/>
    </row>
    <row r="87" spans="1:14" ht="45.6" x14ac:dyDescent="0.25">
      <c r="A87" s="85">
        <v>40</v>
      </c>
      <c r="B87" s="86" t="s">
        <v>461</v>
      </c>
      <c r="C87" s="86" t="s">
        <v>516</v>
      </c>
      <c r="D87" s="85">
        <v>193</v>
      </c>
      <c r="E87" s="87">
        <v>59.38</v>
      </c>
      <c r="F87" s="87"/>
      <c r="G87" s="87">
        <v>59.38</v>
      </c>
      <c r="H87" s="88" t="s">
        <v>463</v>
      </c>
      <c r="I87" s="89">
        <v>63948.62</v>
      </c>
      <c r="J87" s="87"/>
      <c r="K87" s="87"/>
      <c r="L87" s="87" t="str">
        <f>IF(193*59.38=0," ",TEXT(,ROUND((193*59.38*5.58),2)))</f>
        <v>63948,7</v>
      </c>
      <c r="M87" s="87"/>
      <c r="N87" s="87"/>
    </row>
    <row r="88" spans="1:14" ht="45.6" x14ac:dyDescent="0.25">
      <c r="A88" s="85">
        <v>41</v>
      </c>
      <c r="B88" s="86" t="s">
        <v>461</v>
      </c>
      <c r="C88" s="86" t="s">
        <v>517</v>
      </c>
      <c r="D88" s="85">
        <v>193</v>
      </c>
      <c r="E88" s="87">
        <v>53.16</v>
      </c>
      <c r="F88" s="87"/>
      <c r="G88" s="87">
        <v>53.16</v>
      </c>
      <c r="H88" s="88" t="s">
        <v>463</v>
      </c>
      <c r="I88" s="89">
        <v>57249.59</v>
      </c>
      <c r="J88" s="87"/>
      <c r="K88" s="87"/>
      <c r="L88" s="87" t="str">
        <f>IF(193*53.16=0," ",TEXT(,ROUND((193*53.16*5.58),2)))</f>
        <v>57250,13</v>
      </c>
      <c r="M88" s="87"/>
      <c r="N88" s="87"/>
    </row>
    <row r="89" spans="1:14" ht="45.6" x14ac:dyDescent="0.25">
      <c r="A89" s="85">
        <v>42</v>
      </c>
      <c r="B89" s="86" t="s">
        <v>518</v>
      </c>
      <c r="C89" s="86" t="s">
        <v>519</v>
      </c>
      <c r="D89" s="85">
        <v>2</v>
      </c>
      <c r="E89" s="87">
        <v>348.4</v>
      </c>
      <c r="F89" s="87"/>
      <c r="G89" s="87">
        <v>348.4</v>
      </c>
      <c r="H89" s="88" t="s">
        <v>463</v>
      </c>
      <c r="I89" s="89">
        <v>3888.14</v>
      </c>
      <c r="J89" s="87"/>
      <c r="K89" s="87"/>
      <c r="L89" s="87" t="str">
        <f>IF(2*348.4=0," ",TEXT(,ROUND((2*348.4*5.58),2)))</f>
        <v>3888,14</v>
      </c>
      <c r="M89" s="87"/>
      <c r="N89" s="87"/>
    </row>
    <row r="90" spans="1:14" ht="57" x14ac:dyDescent="0.25">
      <c r="A90" s="85">
        <v>43</v>
      </c>
      <c r="B90" s="86" t="s">
        <v>461</v>
      </c>
      <c r="C90" s="86" t="s">
        <v>520</v>
      </c>
      <c r="D90" s="85">
        <v>4</v>
      </c>
      <c r="E90" s="87">
        <v>235.56</v>
      </c>
      <c r="F90" s="87"/>
      <c r="G90" s="87">
        <v>235.56</v>
      </c>
      <c r="H90" s="88" t="s">
        <v>463</v>
      </c>
      <c r="I90" s="89">
        <v>5257.68</v>
      </c>
      <c r="J90" s="87"/>
      <c r="K90" s="87"/>
      <c r="L90" s="87" t="str">
        <f>IF(4*235.56=0," ",TEXT(,ROUND((4*235.56*5.58),2)))</f>
        <v>5257,7</v>
      </c>
      <c r="M90" s="87"/>
      <c r="N90" s="87"/>
    </row>
    <row r="91" spans="1:14" ht="57" x14ac:dyDescent="0.25">
      <c r="A91" s="90">
        <v>44</v>
      </c>
      <c r="B91" s="91" t="s">
        <v>461</v>
      </c>
      <c r="C91" s="91" t="s">
        <v>521</v>
      </c>
      <c r="D91" s="90">
        <v>5</v>
      </c>
      <c r="E91" s="92">
        <v>228.87</v>
      </c>
      <c r="F91" s="92"/>
      <c r="G91" s="92">
        <v>228.87</v>
      </c>
      <c r="H91" s="93" t="s">
        <v>463</v>
      </c>
      <c r="I91" s="94">
        <v>6385.45</v>
      </c>
      <c r="J91" s="92"/>
      <c r="K91" s="92"/>
      <c r="L91" s="92" t="str">
        <f>IF(5*228.87=0," ",TEXT(,ROUND((5*228.87*5.58),2)))</f>
        <v>6385,47</v>
      </c>
      <c r="M91" s="92"/>
      <c r="N91" s="92"/>
    </row>
    <row r="92" spans="1:14" ht="22.8" x14ac:dyDescent="0.25">
      <c r="A92" s="119" t="s">
        <v>367</v>
      </c>
      <c r="B92" s="120"/>
      <c r="C92" s="120"/>
      <c r="D92" s="120"/>
      <c r="E92" s="120"/>
      <c r="F92" s="120"/>
      <c r="G92" s="120"/>
      <c r="H92" s="120"/>
      <c r="I92" s="89">
        <v>1406508.75</v>
      </c>
      <c r="J92" s="87">
        <v>193765.61</v>
      </c>
      <c r="K92" s="87" t="s">
        <v>522</v>
      </c>
      <c r="L92" s="87">
        <v>1183400.81</v>
      </c>
      <c r="M92" s="87"/>
      <c r="N92" s="87" t="s">
        <v>523</v>
      </c>
    </row>
    <row r="93" spans="1:14" x14ac:dyDescent="0.25">
      <c r="A93" s="119" t="s">
        <v>370</v>
      </c>
      <c r="B93" s="120"/>
      <c r="C93" s="120"/>
      <c r="D93" s="120"/>
      <c r="E93" s="120"/>
      <c r="F93" s="120"/>
      <c r="G93" s="120"/>
      <c r="H93" s="120"/>
      <c r="I93" s="89">
        <v>192464.55</v>
      </c>
      <c r="J93" s="87"/>
      <c r="K93" s="87"/>
      <c r="L93" s="87"/>
      <c r="M93" s="87"/>
      <c r="N93" s="87"/>
    </row>
    <row r="94" spans="1:14" x14ac:dyDescent="0.25">
      <c r="A94" s="119" t="s">
        <v>371</v>
      </c>
      <c r="B94" s="120"/>
      <c r="C94" s="120"/>
      <c r="D94" s="120"/>
      <c r="E94" s="120"/>
      <c r="F94" s="120"/>
      <c r="G94" s="120"/>
      <c r="H94" s="120"/>
      <c r="I94" s="89"/>
      <c r="J94" s="87"/>
      <c r="K94" s="87"/>
      <c r="L94" s="87"/>
      <c r="M94" s="87"/>
      <c r="N94" s="87"/>
    </row>
    <row r="95" spans="1:14" x14ac:dyDescent="0.25">
      <c r="A95" s="119" t="s">
        <v>524</v>
      </c>
      <c r="B95" s="120"/>
      <c r="C95" s="120"/>
      <c r="D95" s="120"/>
      <c r="E95" s="120"/>
      <c r="F95" s="120"/>
      <c r="G95" s="120"/>
      <c r="H95" s="120"/>
      <c r="I95" s="89">
        <v>189545.11</v>
      </c>
      <c r="J95" s="87"/>
      <c r="K95" s="87"/>
      <c r="L95" s="87"/>
      <c r="M95" s="87"/>
      <c r="N95" s="87"/>
    </row>
    <row r="96" spans="1:14" x14ac:dyDescent="0.25">
      <c r="A96" s="119" t="s">
        <v>525</v>
      </c>
      <c r="B96" s="120"/>
      <c r="C96" s="120"/>
      <c r="D96" s="120"/>
      <c r="E96" s="120"/>
      <c r="F96" s="120"/>
      <c r="G96" s="120"/>
      <c r="H96" s="120"/>
      <c r="I96" s="89">
        <v>2919.44</v>
      </c>
      <c r="J96" s="87"/>
      <c r="K96" s="87"/>
      <c r="L96" s="87"/>
      <c r="M96" s="87"/>
      <c r="N96" s="87"/>
    </row>
    <row r="97" spans="1:14" x14ac:dyDescent="0.25">
      <c r="A97" s="119" t="s">
        <v>375</v>
      </c>
      <c r="B97" s="120"/>
      <c r="C97" s="120"/>
      <c r="D97" s="120"/>
      <c r="E97" s="120"/>
      <c r="F97" s="120"/>
      <c r="G97" s="120"/>
      <c r="H97" s="120"/>
      <c r="I97" s="89">
        <v>109915.87</v>
      </c>
      <c r="J97" s="87"/>
      <c r="K97" s="87"/>
      <c r="L97" s="87"/>
      <c r="M97" s="87"/>
      <c r="N97" s="87"/>
    </row>
    <row r="98" spans="1:14" x14ac:dyDescent="0.25">
      <c r="A98" s="119" t="s">
        <v>371</v>
      </c>
      <c r="B98" s="120"/>
      <c r="C98" s="120"/>
      <c r="D98" s="120"/>
      <c r="E98" s="120"/>
      <c r="F98" s="120"/>
      <c r="G98" s="120"/>
      <c r="H98" s="120"/>
      <c r="I98" s="89"/>
      <c r="J98" s="87"/>
      <c r="K98" s="87"/>
      <c r="L98" s="87"/>
      <c r="M98" s="87"/>
      <c r="N98" s="87"/>
    </row>
    <row r="99" spans="1:14" x14ac:dyDescent="0.25">
      <c r="A99" s="119" t="s">
        <v>526</v>
      </c>
      <c r="B99" s="120"/>
      <c r="C99" s="120"/>
      <c r="D99" s="120"/>
      <c r="E99" s="120"/>
      <c r="F99" s="120"/>
      <c r="G99" s="120"/>
      <c r="H99" s="120"/>
      <c r="I99" s="89">
        <v>108311.49</v>
      </c>
      <c r="J99" s="87"/>
      <c r="K99" s="87"/>
      <c r="L99" s="87"/>
      <c r="M99" s="87"/>
      <c r="N99" s="87"/>
    </row>
    <row r="100" spans="1:14" x14ac:dyDescent="0.25">
      <c r="A100" s="119" t="s">
        <v>527</v>
      </c>
      <c r="B100" s="120"/>
      <c r="C100" s="120"/>
      <c r="D100" s="120"/>
      <c r="E100" s="120"/>
      <c r="F100" s="120"/>
      <c r="G100" s="120"/>
      <c r="H100" s="120"/>
      <c r="I100" s="89">
        <v>1604.38</v>
      </c>
      <c r="J100" s="87"/>
      <c r="K100" s="87"/>
      <c r="L100" s="87"/>
      <c r="M100" s="87"/>
      <c r="N100" s="87"/>
    </row>
    <row r="101" spans="1:14" x14ac:dyDescent="0.25">
      <c r="A101" s="140" t="s">
        <v>528</v>
      </c>
      <c r="B101" s="114"/>
      <c r="C101" s="114"/>
      <c r="D101" s="114"/>
      <c r="E101" s="114"/>
      <c r="F101" s="114"/>
      <c r="G101" s="114"/>
      <c r="H101" s="114"/>
      <c r="I101" s="89"/>
      <c r="J101" s="87"/>
      <c r="K101" s="87"/>
      <c r="L101" s="87"/>
      <c r="M101" s="87"/>
      <c r="N101" s="87"/>
    </row>
    <row r="102" spans="1:14" ht="22.8" x14ac:dyDescent="0.25">
      <c r="A102" s="119" t="s">
        <v>380</v>
      </c>
      <c r="B102" s="120"/>
      <c r="C102" s="120"/>
      <c r="D102" s="120"/>
      <c r="E102" s="120"/>
      <c r="F102" s="120"/>
      <c r="G102" s="120"/>
      <c r="H102" s="120"/>
      <c r="I102" s="89">
        <v>1708518.37</v>
      </c>
      <c r="J102" s="87"/>
      <c r="K102" s="87"/>
      <c r="L102" s="87"/>
      <c r="M102" s="87"/>
      <c r="N102" s="87" t="s">
        <v>523</v>
      </c>
    </row>
    <row r="103" spans="1:14" x14ac:dyDescent="0.25">
      <c r="A103" s="119" t="s">
        <v>529</v>
      </c>
      <c r="B103" s="120"/>
      <c r="C103" s="120"/>
      <c r="D103" s="120"/>
      <c r="E103" s="120"/>
      <c r="F103" s="120"/>
      <c r="G103" s="120"/>
      <c r="H103" s="120"/>
      <c r="I103" s="89">
        <v>370.8</v>
      </c>
      <c r="J103" s="87"/>
      <c r="K103" s="87"/>
      <c r="L103" s="87"/>
      <c r="M103" s="87"/>
      <c r="N103" s="87"/>
    </row>
    <row r="104" spans="1:14" ht="22.8" x14ac:dyDescent="0.25">
      <c r="A104" s="119" t="s">
        <v>383</v>
      </c>
      <c r="B104" s="120"/>
      <c r="C104" s="120"/>
      <c r="D104" s="120"/>
      <c r="E104" s="120"/>
      <c r="F104" s="120"/>
      <c r="G104" s="120"/>
      <c r="H104" s="120"/>
      <c r="I104" s="89">
        <v>1708889.17</v>
      </c>
      <c r="J104" s="87"/>
      <c r="K104" s="87"/>
      <c r="L104" s="87"/>
      <c r="M104" s="87"/>
      <c r="N104" s="87" t="s">
        <v>523</v>
      </c>
    </row>
    <row r="105" spans="1:14" x14ac:dyDescent="0.25">
      <c r="A105" s="119" t="s">
        <v>384</v>
      </c>
      <c r="B105" s="120"/>
      <c r="C105" s="120"/>
      <c r="D105" s="120"/>
      <c r="E105" s="120"/>
      <c r="F105" s="120"/>
      <c r="G105" s="120"/>
      <c r="H105" s="120"/>
      <c r="I105" s="89"/>
      <c r="J105" s="87"/>
      <c r="K105" s="87"/>
      <c r="L105" s="87"/>
      <c r="M105" s="87"/>
      <c r="N105" s="87"/>
    </row>
    <row r="106" spans="1:14" x14ac:dyDescent="0.25">
      <c r="A106" s="119" t="s">
        <v>385</v>
      </c>
      <c r="B106" s="120"/>
      <c r="C106" s="120"/>
      <c r="D106" s="120"/>
      <c r="E106" s="120"/>
      <c r="F106" s="120"/>
      <c r="G106" s="120"/>
      <c r="H106" s="120"/>
      <c r="I106" s="89">
        <v>1183400.81</v>
      </c>
      <c r="J106" s="87"/>
      <c r="K106" s="87"/>
      <c r="L106" s="87"/>
      <c r="M106" s="87"/>
      <c r="N106" s="87"/>
    </row>
    <row r="107" spans="1:14" x14ac:dyDescent="0.25">
      <c r="A107" s="119" t="s">
        <v>386</v>
      </c>
      <c r="B107" s="120"/>
      <c r="C107" s="120"/>
      <c r="D107" s="120"/>
      <c r="E107" s="120"/>
      <c r="F107" s="120"/>
      <c r="G107" s="120"/>
      <c r="H107" s="120"/>
      <c r="I107" s="89">
        <v>28971.53</v>
      </c>
      <c r="J107" s="87"/>
      <c r="K107" s="87"/>
      <c r="L107" s="87"/>
      <c r="M107" s="87"/>
      <c r="N107" s="87"/>
    </row>
    <row r="108" spans="1:14" x14ac:dyDescent="0.25">
      <c r="A108" s="119" t="s">
        <v>387</v>
      </c>
      <c r="B108" s="120"/>
      <c r="C108" s="120"/>
      <c r="D108" s="120"/>
      <c r="E108" s="120"/>
      <c r="F108" s="120"/>
      <c r="G108" s="120"/>
      <c r="H108" s="120"/>
      <c r="I108" s="89">
        <v>196043.51</v>
      </c>
      <c r="J108" s="87"/>
      <c r="K108" s="87"/>
      <c r="L108" s="87"/>
      <c r="M108" s="87"/>
      <c r="N108" s="87"/>
    </row>
    <row r="109" spans="1:14" x14ac:dyDescent="0.25">
      <c r="A109" s="119" t="s">
        <v>530</v>
      </c>
      <c r="B109" s="120"/>
      <c r="C109" s="120"/>
      <c r="D109" s="120"/>
      <c r="E109" s="120"/>
      <c r="F109" s="120"/>
      <c r="G109" s="120"/>
      <c r="H109" s="120"/>
      <c r="I109" s="89">
        <v>370.8</v>
      </c>
      <c r="J109" s="87"/>
      <c r="K109" s="87"/>
      <c r="L109" s="87"/>
      <c r="M109" s="87"/>
      <c r="N109" s="87"/>
    </row>
    <row r="110" spans="1:14" x14ac:dyDescent="0.25">
      <c r="A110" s="119" t="s">
        <v>388</v>
      </c>
      <c r="B110" s="120"/>
      <c r="C110" s="120"/>
      <c r="D110" s="120"/>
      <c r="E110" s="120"/>
      <c r="F110" s="120"/>
      <c r="G110" s="120"/>
      <c r="H110" s="120"/>
      <c r="I110" s="89">
        <v>192464.55</v>
      </c>
      <c r="J110" s="87"/>
      <c r="K110" s="87"/>
      <c r="L110" s="87"/>
      <c r="M110" s="87"/>
      <c r="N110" s="87"/>
    </row>
    <row r="111" spans="1:14" x14ac:dyDescent="0.25">
      <c r="A111" s="119" t="s">
        <v>389</v>
      </c>
      <c r="B111" s="120"/>
      <c r="C111" s="120"/>
      <c r="D111" s="120"/>
      <c r="E111" s="120"/>
      <c r="F111" s="120"/>
      <c r="G111" s="120"/>
      <c r="H111" s="120"/>
      <c r="I111" s="89">
        <v>109915.87</v>
      </c>
      <c r="J111" s="87"/>
      <c r="K111" s="87"/>
      <c r="L111" s="87"/>
      <c r="M111" s="87"/>
      <c r="N111" s="87"/>
    </row>
    <row r="112" spans="1:14" ht="22.8" x14ac:dyDescent="0.25">
      <c r="A112" s="141" t="s">
        <v>531</v>
      </c>
      <c r="B112" s="142"/>
      <c r="C112" s="142"/>
      <c r="D112" s="142"/>
      <c r="E112" s="142"/>
      <c r="F112" s="142"/>
      <c r="G112" s="142"/>
      <c r="H112" s="142"/>
      <c r="I112" s="94">
        <v>1708889.17</v>
      </c>
      <c r="J112" s="92"/>
      <c r="K112" s="92"/>
      <c r="L112" s="92"/>
      <c r="M112" s="92"/>
      <c r="N112" s="92" t="s">
        <v>523</v>
      </c>
    </row>
    <row r="113" spans="1:14" ht="17.850000000000001" customHeight="1" x14ac:dyDescent="0.25">
      <c r="A113" s="113" t="s">
        <v>532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1:14" ht="148.19999999999999" x14ac:dyDescent="0.25">
      <c r="A114" s="85">
        <v>45</v>
      </c>
      <c r="B114" s="86" t="s">
        <v>533</v>
      </c>
      <c r="C114" s="86" t="s">
        <v>534</v>
      </c>
      <c r="D114" s="85">
        <v>2.2400000000000002</v>
      </c>
      <c r="E114" s="87" t="s">
        <v>535</v>
      </c>
      <c r="F114" s="87" t="s">
        <v>536</v>
      </c>
      <c r="G114" s="87">
        <v>202.72</v>
      </c>
      <c r="H114" s="88" t="s">
        <v>537</v>
      </c>
      <c r="I114" s="89">
        <v>4620.72</v>
      </c>
      <c r="J114" s="87">
        <v>2396.31</v>
      </c>
      <c r="K114" s="87" t="s">
        <v>538</v>
      </c>
      <c r="L114" s="87" t="str">
        <f>IF(2.24*202.72=0," ",TEXT(,ROUND((2.24*202.72*4.27),2)))</f>
        <v>1938,98</v>
      </c>
      <c r="M114" s="87" t="s">
        <v>539</v>
      </c>
      <c r="N114" s="87" t="s">
        <v>540</v>
      </c>
    </row>
    <row r="115" spans="1:14" ht="193.8" x14ac:dyDescent="0.25">
      <c r="A115" s="85">
        <v>46</v>
      </c>
      <c r="B115" s="86" t="s">
        <v>541</v>
      </c>
      <c r="C115" s="86" t="s">
        <v>542</v>
      </c>
      <c r="D115" s="85">
        <v>0.94259999999999999</v>
      </c>
      <c r="E115" s="87" t="s">
        <v>543</v>
      </c>
      <c r="F115" s="87" t="s">
        <v>544</v>
      </c>
      <c r="G115" s="87">
        <v>401.56</v>
      </c>
      <c r="H115" s="88" t="s">
        <v>545</v>
      </c>
      <c r="I115" s="89">
        <v>2886.87</v>
      </c>
      <c r="J115" s="87">
        <v>870.77</v>
      </c>
      <c r="K115" s="87" t="s">
        <v>546</v>
      </c>
      <c r="L115" s="87" t="str">
        <f>IF(0.9426*401.56=0," ",TEXT(,ROUND((0.9426*401.56*4.58),2)))</f>
        <v>1733,58</v>
      </c>
      <c r="M115" s="87" t="s">
        <v>547</v>
      </c>
      <c r="N115" s="87" t="s">
        <v>548</v>
      </c>
    </row>
    <row r="116" spans="1:14" ht="193.8" x14ac:dyDescent="0.25">
      <c r="A116" s="85">
        <v>47</v>
      </c>
      <c r="B116" s="86" t="s">
        <v>549</v>
      </c>
      <c r="C116" s="86" t="s">
        <v>550</v>
      </c>
      <c r="D116" s="85">
        <v>1.2974000000000001</v>
      </c>
      <c r="E116" s="87" t="s">
        <v>551</v>
      </c>
      <c r="F116" s="87" t="s">
        <v>552</v>
      </c>
      <c r="G116" s="87">
        <v>562.55999999999995</v>
      </c>
      <c r="H116" s="88" t="s">
        <v>553</v>
      </c>
      <c r="I116" s="89">
        <v>5392.44</v>
      </c>
      <c r="J116" s="87">
        <v>1594.08</v>
      </c>
      <c r="K116" s="87" t="s">
        <v>554</v>
      </c>
      <c r="L116" s="87" t="str">
        <f>IF(1.2974*562.56=0," ",TEXT(,ROUND((1.2974*562.56*4.94),2)))</f>
        <v>3605,53</v>
      </c>
      <c r="M116" s="87" t="s">
        <v>555</v>
      </c>
      <c r="N116" s="87" t="s">
        <v>556</v>
      </c>
    </row>
    <row r="117" spans="1:14" ht="159.6" x14ac:dyDescent="0.25">
      <c r="A117" s="85">
        <v>48</v>
      </c>
      <c r="B117" s="86" t="s">
        <v>557</v>
      </c>
      <c r="C117" s="86" t="s">
        <v>558</v>
      </c>
      <c r="D117" s="85">
        <v>7.25</v>
      </c>
      <c r="E117" s="87" t="s">
        <v>559</v>
      </c>
      <c r="F117" s="87">
        <v>71.44</v>
      </c>
      <c r="G117" s="87">
        <v>1320.96</v>
      </c>
      <c r="H117" s="88" t="s">
        <v>560</v>
      </c>
      <c r="I117" s="89">
        <v>64141.77</v>
      </c>
      <c r="J117" s="87">
        <v>25233.19</v>
      </c>
      <c r="K117" s="87">
        <v>5868.08</v>
      </c>
      <c r="L117" s="87" t="str">
        <f>IF(7.25*1320.96=0," ",TEXT(,ROUND((7.25*1320.96*3.45),2)))</f>
        <v>33040,51</v>
      </c>
      <c r="M117" s="87">
        <v>21.68</v>
      </c>
      <c r="N117" s="87">
        <v>157.18</v>
      </c>
    </row>
    <row r="118" spans="1:14" ht="68.400000000000006" x14ac:dyDescent="0.25">
      <c r="A118" s="85">
        <v>49</v>
      </c>
      <c r="B118" s="86" t="s">
        <v>561</v>
      </c>
      <c r="C118" s="86" t="s">
        <v>562</v>
      </c>
      <c r="D118" s="85">
        <v>-11.17</v>
      </c>
      <c r="E118" s="87">
        <v>542.4</v>
      </c>
      <c r="F118" s="87"/>
      <c r="G118" s="87">
        <v>542.4</v>
      </c>
      <c r="H118" s="88" t="s">
        <v>563</v>
      </c>
      <c r="I118" s="89">
        <v>-20738.669999999998</v>
      </c>
      <c r="J118" s="87"/>
      <c r="K118" s="87"/>
      <c r="L118" s="87" t="str">
        <f>IF(-11.17*542.4=0," ",TEXT(,ROUND((-11.17*542.4*3.423),2)))</f>
        <v>-20738,62</v>
      </c>
      <c r="M118" s="87"/>
      <c r="N118" s="87"/>
    </row>
    <row r="119" spans="1:14" ht="45.6" x14ac:dyDescent="0.25">
      <c r="A119" s="85">
        <v>50</v>
      </c>
      <c r="B119" s="86" t="s">
        <v>564</v>
      </c>
      <c r="C119" s="86" t="s">
        <v>565</v>
      </c>
      <c r="D119" s="85">
        <v>11.17</v>
      </c>
      <c r="E119" s="87">
        <v>633.61</v>
      </c>
      <c r="F119" s="87"/>
      <c r="G119" s="87">
        <v>633.61</v>
      </c>
      <c r="H119" s="88" t="s">
        <v>463</v>
      </c>
      <c r="I119" s="89">
        <v>39491.980000000003</v>
      </c>
      <c r="J119" s="87"/>
      <c r="K119" s="87"/>
      <c r="L119" s="87" t="str">
        <f>IF(11.17*633.61=0," ",TEXT(,ROUND((11.17*633.61*5.58),2)))</f>
        <v>39492,02</v>
      </c>
      <c r="M119" s="87"/>
      <c r="N119" s="87"/>
    </row>
    <row r="120" spans="1:14" ht="159.6" x14ac:dyDescent="0.25">
      <c r="A120" s="85">
        <v>51</v>
      </c>
      <c r="B120" s="86" t="s">
        <v>566</v>
      </c>
      <c r="C120" s="86" t="s">
        <v>567</v>
      </c>
      <c r="D120" s="85">
        <v>2.6</v>
      </c>
      <c r="E120" s="87" t="s">
        <v>568</v>
      </c>
      <c r="F120" s="87">
        <v>28.29</v>
      </c>
      <c r="G120" s="87">
        <v>2044.28</v>
      </c>
      <c r="H120" s="88" t="s">
        <v>569</v>
      </c>
      <c r="I120" s="89">
        <v>9988.34</v>
      </c>
      <c r="J120" s="87">
        <v>1717.56</v>
      </c>
      <c r="K120" s="87">
        <v>829.61</v>
      </c>
      <c r="L120" s="87" t="str">
        <f>IF(2.6*2044.28=0," ",TEXT(,ROUND((2.6*2044.28*1.4),2)))</f>
        <v>7441,18</v>
      </c>
      <c r="M120" s="87">
        <v>4.05</v>
      </c>
      <c r="N120" s="87">
        <v>10.53</v>
      </c>
    </row>
    <row r="121" spans="1:14" ht="79.8" x14ac:dyDescent="0.25">
      <c r="A121" s="85">
        <v>52</v>
      </c>
      <c r="B121" s="86" t="s">
        <v>570</v>
      </c>
      <c r="C121" s="86" t="s">
        <v>571</v>
      </c>
      <c r="D121" s="85">
        <v>-28.6</v>
      </c>
      <c r="E121" s="87">
        <v>142.44999999999999</v>
      </c>
      <c r="F121" s="87"/>
      <c r="G121" s="87">
        <v>142.44999999999999</v>
      </c>
      <c r="H121" s="88" t="s">
        <v>572</v>
      </c>
      <c r="I121" s="89">
        <v>-4351.2</v>
      </c>
      <c r="J121" s="87"/>
      <c r="K121" s="87"/>
      <c r="L121" s="87" t="str">
        <f>IF(-28.6*142.45=0," ",TEXT(,ROUND((-28.6*142.45*1.068),2)))</f>
        <v>-4351,11</v>
      </c>
      <c r="M121" s="87"/>
      <c r="N121" s="87"/>
    </row>
    <row r="122" spans="1:14" ht="45.6" x14ac:dyDescent="0.25">
      <c r="A122" s="85">
        <v>53</v>
      </c>
      <c r="B122" s="86" t="s">
        <v>461</v>
      </c>
      <c r="C122" s="86" t="s">
        <v>573</v>
      </c>
      <c r="D122" s="85" t="s">
        <v>574</v>
      </c>
      <c r="E122" s="87">
        <v>3.95</v>
      </c>
      <c r="F122" s="87"/>
      <c r="G122" s="87">
        <v>3.95</v>
      </c>
      <c r="H122" s="88" t="s">
        <v>463</v>
      </c>
      <c r="I122" s="89">
        <v>242.44</v>
      </c>
      <c r="J122" s="87"/>
      <c r="K122" s="87"/>
      <c r="L122" s="87" t="str">
        <f>IF(11*3.95=0," ",TEXT(,ROUND((11*3.95*5.58),2)))</f>
        <v>242,45</v>
      </c>
      <c r="M122" s="87"/>
      <c r="N122" s="87"/>
    </row>
    <row r="123" spans="1:14" ht="45.6" x14ac:dyDescent="0.25">
      <c r="A123" s="90">
        <v>54</v>
      </c>
      <c r="B123" s="91" t="s">
        <v>575</v>
      </c>
      <c r="C123" s="91" t="s">
        <v>576</v>
      </c>
      <c r="D123" s="90" t="s">
        <v>577</v>
      </c>
      <c r="E123" s="92">
        <v>71.34</v>
      </c>
      <c r="F123" s="92"/>
      <c r="G123" s="92">
        <v>71.34</v>
      </c>
      <c r="H123" s="93" t="s">
        <v>463</v>
      </c>
      <c r="I123" s="94">
        <v>7006.21</v>
      </c>
      <c r="J123" s="92"/>
      <c r="K123" s="92"/>
      <c r="L123" s="92" t="str">
        <f>IF(17.6*71.34=0," ",TEXT(,ROUND((17.6*71.34*5.58),2)))</f>
        <v>7006,16</v>
      </c>
      <c r="M123" s="92"/>
      <c r="N123" s="92"/>
    </row>
    <row r="124" spans="1:14" ht="22.8" x14ac:dyDescent="0.25">
      <c r="A124" s="119" t="s">
        <v>367</v>
      </c>
      <c r="B124" s="120"/>
      <c r="C124" s="120"/>
      <c r="D124" s="120"/>
      <c r="E124" s="120"/>
      <c r="F124" s="120"/>
      <c r="G124" s="120"/>
      <c r="H124" s="120"/>
      <c r="I124" s="89">
        <v>108680.9</v>
      </c>
      <c r="J124" s="87">
        <v>31811.91</v>
      </c>
      <c r="K124" s="87" t="s">
        <v>578</v>
      </c>
      <c r="L124" s="87">
        <v>69410.52</v>
      </c>
      <c r="M124" s="87"/>
      <c r="N124" s="87" t="s">
        <v>579</v>
      </c>
    </row>
    <row r="125" spans="1:14" x14ac:dyDescent="0.25">
      <c r="A125" s="119" t="s">
        <v>370</v>
      </c>
      <c r="B125" s="120"/>
      <c r="C125" s="120"/>
      <c r="D125" s="120"/>
      <c r="E125" s="120"/>
      <c r="F125" s="120"/>
      <c r="G125" s="120"/>
      <c r="H125" s="120"/>
      <c r="I125" s="89">
        <v>24115.18</v>
      </c>
      <c r="J125" s="87"/>
      <c r="K125" s="87"/>
      <c r="L125" s="87"/>
      <c r="M125" s="87"/>
      <c r="N125" s="87"/>
    </row>
    <row r="126" spans="1:14" x14ac:dyDescent="0.25">
      <c r="A126" s="119" t="s">
        <v>371</v>
      </c>
      <c r="B126" s="120"/>
      <c r="C126" s="120"/>
      <c r="D126" s="120"/>
      <c r="E126" s="120"/>
      <c r="F126" s="120"/>
      <c r="G126" s="120"/>
      <c r="H126" s="120"/>
      <c r="I126" s="89"/>
      <c r="J126" s="87"/>
      <c r="K126" s="87"/>
      <c r="L126" s="87"/>
      <c r="M126" s="87"/>
      <c r="N126" s="87"/>
    </row>
    <row r="127" spans="1:14" x14ac:dyDescent="0.25">
      <c r="A127" s="119" t="s">
        <v>580</v>
      </c>
      <c r="B127" s="120"/>
      <c r="C127" s="120"/>
      <c r="D127" s="120"/>
      <c r="E127" s="120"/>
      <c r="F127" s="120"/>
      <c r="G127" s="120"/>
      <c r="H127" s="120"/>
      <c r="I127" s="89">
        <v>3363.1</v>
      </c>
      <c r="J127" s="87"/>
      <c r="K127" s="87"/>
      <c r="L127" s="87"/>
      <c r="M127" s="87"/>
      <c r="N127" s="87"/>
    </row>
    <row r="128" spans="1:14" x14ac:dyDescent="0.25">
      <c r="A128" s="119" t="s">
        <v>581</v>
      </c>
      <c r="B128" s="120"/>
      <c r="C128" s="120"/>
      <c r="D128" s="120"/>
      <c r="E128" s="120"/>
      <c r="F128" s="120"/>
      <c r="G128" s="120"/>
      <c r="H128" s="120"/>
      <c r="I128" s="89">
        <v>20752.080000000002</v>
      </c>
      <c r="J128" s="87"/>
      <c r="K128" s="87"/>
      <c r="L128" s="87"/>
      <c r="M128" s="87"/>
      <c r="N128" s="87"/>
    </row>
    <row r="129" spans="1:14" x14ac:dyDescent="0.25">
      <c r="A129" s="119" t="s">
        <v>375</v>
      </c>
      <c r="B129" s="120"/>
      <c r="C129" s="120"/>
      <c r="D129" s="120"/>
      <c r="E129" s="120"/>
      <c r="F129" s="120"/>
      <c r="G129" s="120"/>
      <c r="H129" s="120"/>
      <c r="I129" s="89">
        <v>15275.91</v>
      </c>
      <c r="J129" s="87"/>
      <c r="K129" s="87"/>
      <c r="L129" s="87"/>
      <c r="M129" s="87"/>
      <c r="N129" s="87"/>
    </row>
    <row r="130" spans="1:14" x14ac:dyDescent="0.25">
      <c r="A130" s="119" t="s">
        <v>371</v>
      </c>
      <c r="B130" s="120"/>
      <c r="C130" s="120"/>
      <c r="D130" s="120"/>
      <c r="E130" s="120"/>
      <c r="F130" s="120"/>
      <c r="G130" s="120"/>
      <c r="H130" s="120"/>
      <c r="I130" s="89"/>
      <c r="J130" s="87"/>
      <c r="K130" s="87"/>
      <c r="L130" s="87"/>
      <c r="M130" s="87"/>
      <c r="N130" s="87"/>
    </row>
    <row r="131" spans="1:14" x14ac:dyDescent="0.25">
      <c r="A131" s="119" t="s">
        <v>582</v>
      </c>
      <c r="B131" s="120"/>
      <c r="C131" s="120"/>
      <c r="D131" s="120"/>
      <c r="E131" s="120"/>
      <c r="F131" s="120"/>
      <c r="G131" s="120"/>
      <c r="H131" s="120"/>
      <c r="I131" s="89">
        <v>15275.91</v>
      </c>
      <c r="J131" s="87"/>
      <c r="K131" s="87"/>
      <c r="L131" s="87"/>
      <c r="M131" s="87"/>
      <c r="N131" s="87"/>
    </row>
    <row r="132" spans="1:14" x14ac:dyDescent="0.25">
      <c r="A132" s="140" t="s">
        <v>583</v>
      </c>
      <c r="B132" s="114"/>
      <c r="C132" s="114"/>
      <c r="D132" s="114"/>
      <c r="E132" s="114"/>
      <c r="F132" s="114"/>
      <c r="G132" s="114"/>
      <c r="H132" s="114"/>
      <c r="I132" s="89"/>
      <c r="J132" s="87"/>
      <c r="K132" s="87"/>
      <c r="L132" s="87"/>
      <c r="M132" s="87"/>
      <c r="N132" s="87"/>
    </row>
    <row r="133" spans="1:14" ht="22.8" x14ac:dyDescent="0.25">
      <c r="A133" s="119" t="s">
        <v>584</v>
      </c>
      <c r="B133" s="120"/>
      <c r="C133" s="120"/>
      <c r="D133" s="120"/>
      <c r="E133" s="120"/>
      <c r="F133" s="120"/>
      <c r="G133" s="120"/>
      <c r="H133" s="120"/>
      <c r="I133" s="89">
        <v>18602.68</v>
      </c>
      <c r="J133" s="87"/>
      <c r="K133" s="87"/>
      <c r="L133" s="87"/>
      <c r="M133" s="87"/>
      <c r="N133" s="87" t="s">
        <v>585</v>
      </c>
    </row>
    <row r="134" spans="1:14" x14ac:dyDescent="0.25">
      <c r="A134" s="119" t="s">
        <v>586</v>
      </c>
      <c r="B134" s="120"/>
      <c r="C134" s="120"/>
      <c r="D134" s="120"/>
      <c r="E134" s="120"/>
      <c r="F134" s="120"/>
      <c r="G134" s="120"/>
      <c r="H134" s="120"/>
      <c r="I134" s="89">
        <v>103467.35</v>
      </c>
      <c r="J134" s="87"/>
      <c r="K134" s="87"/>
      <c r="L134" s="87"/>
      <c r="M134" s="87"/>
      <c r="N134" s="87">
        <v>167.71</v>
      </c>
    </row>
    <row r="135" spans="1:14" x14ac:dyDescent="0.25">
      <c r="A135" s="119" t="s">
        <v>587</v>
      </c>
      <c r="B135" s="120"/>
      <c r="C135" s="120"/>
      <c r="D135" s="120"/>
      <c r="E135" s="120"/>
      <c r="F135" s="120"/>
      <c r="G135" s="120"/>
      <c r="H135" s="120"/>
      <c r="I135" s="89">
        <v>26001.96</v>
      </c>
      <c r="J135" s="87"/>
      <c r="K135" s="87"/>
      <c r="L135" s="87"/>
      <c r="M135" s="87"/>
      <c r="N135" s="87"/>
    </row>
    <row r="136" spans="1:14" ht="22.8" x14ac:dyDescent="0.25">
      <c r="A136" s="119" t="s">
        <v>383</v>
      </c>
      <c r="B136" s="120"/>
      <c r="C136" s="120"/>
      <c r="D136" s="120"/>
      <c r="E136" s="120"/>
      <c r="F136" s="120"/>
      <c r="G136" s="120"/>
      <c r="H136" s="120"/>
      <c r="I136" s="89">
        <v>148071.99</v>
      </c>
      <c r="J136" s="87"/>
      <c r="K136" s="87"/>
      <c r="L136" s="87"/>
      <c r="M136" s="87"/>
      <c r="N136" s="87" t="s">
        <v>579</v>
      </c>
    </row>
    <row r="137" spans="1:14" x14ac:dyDescent="0.25">
      <c r="A137" s="119" t="s">
        <v>384</v>
      </c>
      <c r="B137" s="120"/>
      <c r="C137" s="120"/>
      <c r="D137" s="120"/>
      <c r="E137" s="120"/>
      <c r="F137" s="120"/>
      <c r="G137" s="120"/>
      <c r="H137" s="120"/>
      <c r="I137" s="89"/>
      <c r="J137" s="87"/>
      <c r="K137" s="87"/>
      <c r="L137" s="87"/>
      <c r="M137" s="87"/>
      <c r="N137" s="87"/>
    </row>
    <row r="138" spans="1:14" x14ac:dyDescent="0.25">
      <c r="A138" s="119" t="s">
        <v>385</v>
      </c>
      <c r="B138" s="120"/>
      <c r="C138" s="120"/>
      <c r="D138" s="120"/>
      <c r="E138" s="120"/>
      <c r="F138" s="120"/>
      <c r="G138" s="120"/>
      <c r="H138" s="120"/>
      <c r="I138" s="89">
        <v>69410.52</v>
      </c>
      <c r="J138" s="87"/>
      <c r="K138" s="87"/>
      <c r="L138" s="87"/>
      <c r="M138" s="87"/>
      <c r="N138" s="87"/>
    </row>
    <row r="139" spans="1:14" x14ac:dyDescent="0.25">
      <c r="A139" s="119" t="s">
        <v>386</v>
      </c>
      <c r="B139" s="120"/>
      <c r="C139" s="120"/>
      <c r="D139" s="120"/>
      <c r="E139" s="120"/>
      <c r="F139" s="120"/>
      <c r="G139" s="120"/>
      <c r="H139" s="120"/>
      <c r="I139" s="89">
        <v>7458.47</v>
      </c>
      <c r="J139" s="87"/>
      <c r="K139" s="87"/>
      <c r="L139" s="87"/>
      <c r="M139" s="87"/>
      <c r="N139" s="87"/>
    </row>
    <row r="140" spans="1:14" x14ac:dyDescent="0.25">
      <c r="A140" s="119" t="s">
        <v>387</v>
      </c>
      <c r="B140" s="120"/>
      <c r="C140" s="120"/>
      <c r="D140" s="120"/>
      <c r="E140" s="120"/>
      <c r="F140" s="120"/>
      <c r="G140" s="120"/>
      <c r="H140" s="120"/>
      <c r="I140" s="89">
        <v>31824.81</v>
      </c>
      <c r="J140" s="87"/>
      <c r="K140" s="87"/>
      <c r="L140" s="87"/>
      <c r="M140" s="87"/>
      <c r="N140" s="87"/>
    </row>
    <row r="141" spans="1:14" x14ac:dyDescent="0.25">
      <c r="A141" s="119" t="s">
        <v>388</v>
      </c>
      <c r="B141" s="120"/>
      <c r="C141" s="120"/>
      <c r="D141" s="120"/>
      <c r="E141" s="120"/>
      <c r="F141" s="120"/>
      <c r="G141" s="120"/>
      <c r="H141" s="120"/>
      <c r="I141" s="89">
        <v>24115.18</v>
      </c>
      <c r="J141" s="87"/>
      <c r="K141" s="87"/>
      <c r="L141" s="87"/>
      <c r="M141" s="87"/>
      <c r="N141" s="87"/>
    </row>
    <row r="142" spans="1:14" x14ac:dyDescent="0.25">
      <c r="A142" s="119" t="s">
        <v>389</v>
      </c>
      <c r="B142" s="120"/>
      <c r="C142" s="120"/>
      <c r="D142" s="120"/>
      <c r="E142" s="120"/>
      <c r="F142" s="120"/>
      <c r="G142" s="120"/>
      <c r="H142" s="120"/>
      <c r="I142" s="89">
        <v>15275.91</v>
      </c>
      <c r="J142" s="87"/>
      <c r="K142" s="87"/>
      <c r="L142" s="87"/>
      <c r="M142" s="87"/>
      <c r="N142" s="87"/>
    </row>
    <row r="143" spans="1:14" ht="22.8" x14ac:dyDescent="0.25">
      <c r="A143" s="141" t="s">
        <v>588</v>
      </c>
      <c r="B143" s="142"/>
      <c r="C143" s="142"/>
      <c r="D143" s="142"/>
      <c r="E143" s="142"/>
      <c r="F143" s="142"/>
      <c r="G143" s="142"/>
      <c r="H143" s="142"/>
      <c r="I143" s="94">
        <v>148071.99</v>
      </c>
      <c r="J143" s="92"/>
      <c r="K143" s="92"/>
      <c r="L143" s="92"/>
      <c r="M143" s="92"/>
      <c r="N143" s="92" t="s">
        <v>579</v>
      </c>
    </row>
    <row r="144" spans="1:14" ht="17.850000000000001" customHeight="1" x14ac:dyDescent="0.25">
      <c r="A144" s="113" t="s">
        <v>589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1:14" ht="114" x14ac:dyDescent="0.25">
      <c r="A145" s="85">
        <v>55</v>
      </c>
      <c r="B145" s="86" t="s">
        <v>590</v>
      </c>
      <c r="C145" s="86" t="s">
        <v>591</v>
      </c>
      <c r="D145" s="85">
        <v>2.1000000000000001E-2</v>
      </c>
      <c r="E145" s="87" t="s">
        <v>592</v>
      </c>
      <c r="F145" s="87" t="s">
        <v>593</v>
      </c>
      <c r="G145" s="87">
        <v>46157.59</v>
      </c>
      <c r="H145" s="88" t="s">
        <v>594</v>
      </c>
      <c r="I145" s="89">
        <v>8549.4</v>
      </c>
      <c r="J145" s="87">
        <v>1415.93</v>
      </c>
      <c r="K145" s="87" t="s">
        <v>595</v>
      </c>
      <c r="L145" s="87" t="str">
        <f>IF(0.021*46157.59=0," ",TEXT(,ROUND((0.021*46157.59*5.34),2)))</f>
        <v>5176,11</v>
      </c>
      <c r="M145" s="87" t="s">
        <v>596</v>
      </c>
      <c r="N145" s="87" t="s">
        <v>597</v>
      </c>
    </row>
    <row r="146" spans="1:14" ht="102.6" x14ac:dyDescent="0.25">
      <c r="A146" s="85">
        <v>56</v>
      </c>
      <c r="B146" s="86" t="s">
        <v>598</v>
      </c>
      <c r="C146" s="86" t="s">
        <v>599</v>
      </c>
      <c r="D146" s="85">
        <v>-21.21</v>
      </c>
      <c r="E146" s="87">
        <v>41.88</v>
      </c>
      <c r="F146" s="87"/>
      <c r="G146" s="87">
        <v>41.88</v>
      </c>
      <c r="H146" s="88" t="s">
        <v>600</v>
      </c>
      <c r="I146" s="89">
        <v>-4698.0200000000004</v>
      </c>
      <c r="J146" s="87"/>
      <c r="K146" s="87"/>
      <c r="L146" s="87" t="str">
        <f>IF(-21.21*41.88=0," ",TEXT(,ROUND((-21.21*41.88*5.289),2)))</f>
        <v>-4698,09</v>
      </c>
      <c r="M146" s="87"/>
      <c r="N146" s="87"/>
    </row>
    <row r="147" spans="1:14" ht="125.4" x14ac:dyDescent="0.25">
      <c r="A147" s="85">
        <v>57</v>
      </c>
      <c r="B147" s="86" t="s">
        <v>601</v>
      </c>
      <c r="C147" s="86" t="s">
        <v>602</v>
      </c>
      <c r="D147" s="85">
        <v>6.06</v>
      </c>
      <c r="E147" s="87">
        <v>19.399999999999999</v>
      </c>
      <c r="F147" s="87"/>
      <c r="G147" s="87">
        <v>19.399999999999999</v>
      </c>
      <c r="H147" s="88" t="s">
        <v>603</v>
      </c>
      <c r="I147" s="89">
        <v>494.01</v>
      </c>
      <c r="J147" s="87"/>
      <c r="K147" s="87"/>
      <c r="L147" s="87" t="str">
        <f>IF(6.06*19.4=0," ",TEXT(,ROUND((6.06*19.4*4.202),2)))</f>
        <v>494</v>
      </c>
      <c r="M147" s="87"/>
      <c r="N147" s="87"/>
    </row>
    <row r="148" spans="1:14" ht="125.4" x14ac:dyDescent="0.25">
      <c r="A148" s="85">
        <v>58</v>
      </c>
      <c r="B148" s="86" t="s">
        <v>604</v>
      </c>
      <c r="C148" s="86" t="s">
        <v>605</v>
      </c>
      <c r="D148" s="85">
        <v>15.15</v>
      </c>
      <c r="E148" s="87">
        <v>26.5</v>
      </c>
      <c r="F148" s="87"/>
      <c r="G148" s="87">
        <v>26.5</v>
      </c>
      <c r="H148" s="88" t="s">
        <v>606</v>
      </c>
      <c r="I148" s="89">
        <v>1596.66</v>
      </c>
      <c r="J148" s="87"/>
      <c r="K148" s="87"/>
      <c r="L148" s="87" t="str">
        <f>IF(15.15*26.5=0," ",TEXT(,ROUND((15.15*26.5*3.977),2)))</f>
        <v>1596,67</v>
      </c>
      <c r="M148" s="87"/>
      <c r="N148" s="87"/>
    </row>
    <row r="149" spans="1:14" ht="148.19999999999999" x14ac:dyDescent="0.25">
      <c r="A149" s="85">
        <v>59</v>
      </c>
      <c r="B149" s="86" t="s">
        <v>533</v>
      </c>
      <c r="C149" s="86" t="s">
        <v>534</v>
      </c>
      <c r="D149" s="85">
        <v>2.5999999999999999E-2</v>
      </c>
      <c r="E149" s="87" t="s">
        <v>535</v>
      </c>
      <c r="F149" s="87" t="s">
        <v>536</v>
      </c>
      <c r="G149" s="87">
        <v>202.72</v>
      </c>
      <c r="H149" s="88" t="s">
        <v>537</v>
      </c>
      <c r="I149" s="89">
        <v>53.63</v>
      </c>
      <c r="J149" s="87">
        <v>27.81</v>
      </c>
      <c r="K149" s="87" t="s">
        <v>607</v>
      </c>
      <c r="L149" s="87" t="str">
        <f>IF(0.026*202.72=0," ",TEXT(,ROUND((0.026*202.72*4.27),2)))</f>
        <v>22,51</v>
      </c>
      <c r="M149" s="87" t="s">
        <v>539</v>
      </c>
      <c r="N149" s="87">
        <v>0.16</v>
      </c>
    </row>
    <row r="150" spans="1:14" ht="193.8" x14ac:dyDescent="0.25">
      <c r="A150" s="85">
        <v>60</v>
      </c>
      <c r="B150" s="86" t="s">
        <v>541</v>
      </c>
      <c r="C150" s="86" t="s">
        <v>608</v>
      </c>
      <c r="D150" s="85">
        <v>2.5999999999999999E-2</v>
      </c>
      <c r="E150" s="87" t="s">
        <v>543</v>
      </c>
      <c r="F150" s="87" t="s">
        <v>609</v>
      </c>
      <c r="G150" s="87">
        <v>401.56</v>
      </c>
      <c r="H150" s="88" t="s">
        <v>545</v>
      </c>
      <c r="I150" s="89">
        <v>79.63</v>
      </c>
      <c r="J150" s="87">
        <v>24.02</v>
      </c>
      <c r="K150" s="87" t="s">
        <v>610</v>
      </c>
      <c r="L150" s="87" t="str">
        <f>IF(0.026*401.56=0," ",TEXT(,ROUND((0.026*401.56*4.58),2)))</f>
        <v>47,82</v>
      </c>
      <c r="M150" s="87" t="s">
        <v>611</v>
      </c>
      <c r="N150" s="87">
        <v>0.16</v>
      </c>
    </row>
    <row r="151" spans="1:14" ht="159.6" x14ac:dyDescent="0.25">
      <c r="A151" s="85">
        <v>61</v>
      </c>
      <c r="B151" s="86" t="s">
        <v>566</v>
      </c>
      <c r="C151" s="86" t="s">
        <v>567</v>
      </c>
      <c r="D151" s="85">
        <v>1.4</v>
      </c>
      <c r="E151" s="87" t="s">
        <v>568</v>
      </c>
      <c r="F151" s="87">
        <v>28.29</v>
      </c>
      <c r="G151" s="87">
        <v>2044.28</v>
      </c>
      <c r="H151" s="88" t="s">
        <v>569</v>
      </c>
      <c r="I151" s="89">
        <v>5378.34</v>
      </c>
      <c r="J151" s="87">
        <v>924.84</v>
      </c>
      <c r="K151" s="87">
        <v>446.71</v>
      </c>
      <c r="L151" s="87" t="str">
        <f>IF(1.4*2044.28=0," ",TEXT(,ROUND((1.4*2044.28*1.4),2)))</f>
        <v>4006,79</v>
      </c>
      <c r="M151" s="87">
        <v>4.05</v>
      </c>
      <c r="N151" s="87">
        <v>5.67</v>
      </c>
    </row>
    <row r="152" spans="1:14" ht="79.8" x14ac:dyDescent="0.25">
      <c r="A152" s="85">
        <v>62</v>
      </c>
      <c r="B152" s="86" t="s">
        <v>570</v>
      </c>
      <c r="C152" s="86" t="s">
        <v>571</v>
      </c>
      <c r="D152" s="85">
        <v>-15.4</v>
      </c>
      <c r="E152" s="87">
        <v>142.44999999999999</v>
      </c>
      <c r="F152" s="87"/>
      <c r="G152" s="87">
        <v>142.44999999999999</v>
      </c>
      <c r="H152" s="88" t="s">
        <v>572</v>
      </c>
      <c r="I152" s="89">
        <v>-2342.96</v>
      </c>
      <c r="J152" s="87"/>
      <c r="K152" s="87"/>
      <c r="L152" s="87" t="str">
        <f>IF(-15.4*142.45=0," ",TEXT(,ROUND((-15.4*142.45*1.068),2)))</f>
        <v>-2342,9</v>
      </c>
      <c r="M152" s="87"/>
      <c r="N152" s="87"/>
    </row>
    <row r="153" spans="1:14" ht="45.6" x14ac:dyDescent="0.25">
      <c r="A153" s="90">
        <v>63</v>
      </c>
      <c r="B153" s="91" t="s">
        <v>461</v>
      </c>
      <c r="C153" s="91" t="s">
        <v>612</v>
      </c>
      <c r="D153" s="90" t="s">
        <v>613</v>
      </c>
      <c r="E153" s="92">
        <v>7.9</v>
      </c>
      <c r="F153" s="92"/>
      <c r="G153" s="92">
        <v>7.9</v>
      </c>
      <c r="H153" s="93" t="s">
        <v>463</v>
      </c>
      <c r="I153" s="94">
        <v>678.83</v>
      </c>
      <c r="J153" s="92"/>
      <c r="K153" s="92"/>
      <c r="L153" s="92" t="str">
        <f>IF(15.4*7.9=0," ",TEXT(,ROUND((15.4*7.9*5.58),2)))</f>
        <v>678,86</v>
      </c>
      <c r="M153" s="92"/>
      <c r="N153" s="92"/>
    </row>
    <row r="154" spans="1:14" ht="22.8" x14ac:dyDescent="0.25">
      <c r="A154" s="119" t="s">
        <v>367</v>
      </c>
      <c r="B154" s="120"/>
      <c r="C154" s="120"/>
      <c r="D154" s="120"/>
      <c r="E154" s="120"/>
      <c r="F154" s="120"/>
      <c r="G154" s="120"/>
      <c r="H154" s="120"/>
      <c r="I154" s="89">
        <v>9789.52</v>
      </c>
      <c r="J154" s="87">
        <v>2392.6</v>
      </c>
      <c r="K154" s="87" t="s">
        <v>614</v>
      </c>
      <c r="L154" s="87">
        <v>4981.76</v>
      </c>
      <c r="M154" s="87"/>
      <c r="N154" s="87" t="s">
        <v>615</v>
      </c>
    </row>
    <row r="155" spans="1:14" x14ac:dyDescent="0.25">
      <c r="A155" s="119" t="s">
        <v>370</v>
      </c>
      <c r="B155" s="120"/>
      <c r="C155" s="120"/>
      <c r="D155" s="120"/>
      <c r="E155" s="120"/>
      <c r="F155" s="120"/>
      <c r="G155" s="120"/>
      <c r="H155" s="120"/>
      <c r="I155" s="89">
        <v>2658.94</v>
      </c>
      <c r="J155" s="87"/>
      <c r="K155" s="87"/>
      <c r="L155" s="87"/>
      <c r="M155" s="87"/>
      <c r="N155" s="87"/>
    </row>
    <row r="156" spans="1:14" x14ac:dyDescent="0.25">
      <c r="A156" s="119" t="s">
        <v>371</v>
      </c>
      <c r="B156" s="120"/>
      <c r="C156" s="120"/>
      <c r="D156" s="120"/>
      <c r="E156" s="120"/>
      <c r="F156" s="120"/>
      <c r="G156" s="120"/>
      <c r="H156" s="120"/>
      <c r="I156" s="89"/>
      <c r="J156" s="87"/>
      <c r="K156" s="87"/>
      <c r="L156" s="87"/>
      <c r="M156" s="87"/>
      <c r="N156" s="87"/>
    </row>
    <row r="157" spans="1:14" x14ac:dyDescent="0.25">
      <c r="A157" s="119" t="s">
        <v>616</v>
      </c>
      <c r="B157" s="120"/>
      <c r="C157" s="120"/>
      <c r="D157" s="120"/>
      <c r="E157" s="120"/>
      <c r="F157" s="120"/>
      <c r="G157" s="120"/>
      <c r="H157" s="120"/>
      <c r="I157" s="89">
        <v>35.83</v>
      </c>
      <c r="J157" s="87"/>
      <c r="K157" s="87"/>
      <c r="L157" s="87"/>
      <c r="M157" s="87"/>
      <c r="N157" s="87"/>
    </row>
    <row r="158" spans="1:14" x14ac:dyDescent="0.25">
      <c r="A158" s="119" t="s">
        <v>617</v>
      </c>
      <c r="B158" s="120"/>
      <c r="C158" s="120"/>
      <c r="D158" s="120"/>
      <c r="E158" s="120"/>
      <c r="F158" s="120"/>
      <c r="G158" s="120"/>
      <c r="H158" s="120"/>
      <c r="I158" s="89">
        <v>712.13</v>
      </c>
      <c r="J158" s="87"/>
      <c r="K158" s="87"/>
      <c r="L158" s="87"/>
      <c r="M158" s="87"/>
      <c r="N158" s="87"/>
    </row>
    <row r="159" spans="1:14" x14ac:dyDescent="0.25">
      <c r="A159" s="119" t="s">
        <v>618</v>
      </c>
      <c r="B159" s="120"/>
      <c r="C159" s="120"/>
      <c r="D159" s="120"/>
      <c r="E159" s="120"/>
      <c r="F159" s="120"/>
      <c r="G159" s="120"/>
      <c r="H159" s="120"/>
      <c r="I159" s="89">
        <v>1910.98</v>
      </c>
      <c r="J159" s="87"/>
      <c r="K159" s="87"/>
      <c r="L159" s="87"/>
      <c r="M159" s="87"/>
      <c r="N159" s="87"/>
    </row>
    <row r="160" spans="1:14" x14ac:dyDescent="0.25">
      <c r="A160" s="119" t="s">
        <v>375</v>
      </c>
      <c r="B160" s="120"/>
      <c r="C160" s="120"/>
      <c r="D160" s="120"/>
      <c r="E160" s="120"/>
      <c r="F160" s="120"/>
      <c r="G160" s="120"/>
      <c r="H160" s="120"/>
      <c r="I160" s="89">
        <v>1519.03</v>
      </c>
      <c r="J160" s="87"/>
      <c r="K160" s="87"/>
      <c r="L160" s="87"/>
      <c r="M160" s="87"/>
      <c r="N160" s="87"/>
    </row>
    <row r="161" spans="1:14" x14ac:dyDescent="0.25">
      <c r="A161" s="119" t="s">
        <v>371</v>
      </c>
      <c r="B161" s="120"/>
      <c r="C161" s="120"/>
      <c r="D161" s="120"/>
      <c r="E161" s="120"/>
      <c r="F161" s="120"/>
      <c r="G161" s="120"/>
      <c r="H161" s="120"/>
      <c r="I161" s="89"/>
      <c r="J161" s="87"/>
      <c r="K161" s="87"/>
      <c r="L161" s="87"/>
      <c r="M161" s="87"/>
      <c r="N161" s="87"/>
    </row>
    <row r="162" spans="1:14" x14ac:dyDescent="0.25">
      <c r="A162" s="119" t="s">
        <v>619</v>
      </c>
      <c r="B162" s="120"/>
      <c r="C162" s="120"/>
      <c r="D162" s="120"/>
      <c r="E162" s="120"/>
      <c r="F162" s="120"/>
      <c r="G162" s="120"/>
      <c r="H162" s="120"/>
      <c r="I162" s="89">
        <v>468.85</v>
      </c>
      <c r="J162" s="87"/>
      <c r="K162" s="87"/>
      <c r="L162" s="87"/>
      <c r="M162" s="87"/>
      <c r="N162" s="87"/>
    </row>
    <row r="163" spans="1:14" x14ac:dyDescent="0.25">
      <c r="A163" s="119" t="s">
        <v>620</v>
      </c>
      <c r="B163" s="120"/>
      <c r="C163" s="120"/>
      <c r="D163" s="120"/>
      <c r="E163" s="120"/>
      <c r="F163" s="120"/>
      <c r="G163" s="120"/>
      <c r="H163" s="120"/>
      <c r="I163" s="89">
        <v>1050.18</v>
      </c>
      <c r="J163" s="87"/>
      <c r="K163" s="87"/>
      <c r="L163" s="87"/>
      <c r="M163" s="87"/>
      <c r="N163" s="87"/>
    </row>
    <row r="164" spans="1:14" x14ac:dyDescent="0.25">
      <c r="A164" s="140" t="s">
        <v>621</v>
      </c>
      <c r="B164" s="114"/>
      <c r="C164" s="114"/>
      <c r="D164" s="114"/>
      <c r="E164" s="114"/>
      <c r="F164" s="114"/>
      <c r="G164" s="114"/>
      <c r="H164" s="114"/>
      <c r="I164" s="89"/>
      <c r="J164" s="87"/>
      <c r="K164" s="87"/>
      <c r="L164" s="87"/>
      <c r="M164" s="87"/>
      <c r="N164" s="87"/>
    </row>
    <row r="165" spans="1:14" ht="22.8" x14ac:dyDescent="0.25">
      <c r="A165" s="119" t="s">
        <v>622</v>
      </c>
      <c r="B165" s="120"/>
      <c r="C165" s="120"/>
      <c r="D165" s="120"/>
      <c r="E165" s="120"/>
      <c r="F165" s="120"/>
      <c r="G165" s="120"/>
      <c r="H165" s="120"/>
      <c r="I165" s="89">
        <v>11510.56</v>
      </c>
      <c r="J165" s="87"/>
      <c r="K165" s="87"/>
      <c r="L165" s="87"/>
      <c r="M165" s="87"/>
      <c r="N165" s="87" t="s">
        <v>597</v>
      </c>
    </row>
    <row r="166" spans="1:14" x14ac:dyDescent="0.25">
      <c r="A166" s="119" t="s">
        <v>587</v>
      </c>
      <c r="B166" s="120"/>
      <c r="C166" s="120"/>
      <c r="D166" s="120"/>
      <c r="E166" s="120"/>
      <c r="F166" s="120"/>
      <c r="G166" s="120"/>
      <c r="H166" s="120"/>
      <c r="I166" s="89">
        <v>-1928.52</v>
      </c>
      <c r="J166" s="87"/>
      <c r="K166" s="87"/>
      <c r="L166" s="87"/>
      <c r="M166" s="87"/>
      <c r="N166" s="87"/>
    </row>
    <row r="167" spans="1:14" x14ac:dyDescent="0.25">
      <c r="A167" s="119" t="s">
        <v>584</v>
      </c>
      <c r="B167" s="120"/>
      <c r="C167" s="120"/>
      <c r="D167" s="120"/>
      <c r="E167" s="120"/>
      <c r="F167" s="120"/>
      <c r="G167" s="120"/>
      <c r="H167" s="120"/>
      <c r="I167" s="89">
        <v>194.02</v>
      </c>
      <c r="J167" s="87"/>
      <c r="K167" s="87"/>
      <c r="L167" s="87"/>
      <c r="M167" s="87"/>
      <c r="N167" s="87">
        <v>0.32</v>
      </c>
    </row>
    <row r="168" spans="1:14" x14ac:dyDescent="0.25">
      <c r="A168" s="119" t="s">
        <v>586</v>
      </c>
      <c r="B168" s="120"/>
      <c r="C168" s="120"/>
      <c r="D168" s="120"/>
      <c r="E168" s="120"/>
      <c r="F168" s="120"/>
      <c r="G168" s="120"/>
      <c r="H168" s="120"/>
      <c r="I168" s="89">
        <v>4191.43</v>
      </c>
      <c r="J168" s="87"/>
      <c r="K168" s="87"/>
      <c r="L168" s="87"/>
      <c r="M168" s="87"/>
      <c r="N168" s="87">
        <v>5.67</v>
      </c>
    </row>
    <row r="169" spans="1:14" ht="22.8" x14ac:dyDescent="0.25">
      <c r="A169" s="119" t="s">
        <v>383</v>
      </c>
      <c r="B169" s="120"/>
      <c r="C169" s="120"/>
      <c r="D169" s="120"/>
      <c r="E169" s="120"/>
      <c r="F169" s="120"/>
      <c r="G169" s="120"/>
      <c r="H169" s="120"/>
      <c r="I169" s="89">
        <v>13967.49</v>
      </c>
      <c r="J169" s="87"/>
      <c r="K169" s="87"/>
      <c r="L169" s="87"/>
      <c r="M169" s="87"/>
      <c r="N169" s="87" t="s">
        <v>615</v>
      </c>
    </row>
    <row r="170" spans="1:14" x14ac:dyDescent="0.25">
      <c r="A170" s="119" t="s">
        <v>384</v>
      </c>
      <c r="B170" s="120"/>
      <c r="C170" s="120"/>
      <c r="D170" s="120"/>
      <c r="E170" s="120"/>
      <c r="F170" s="120"/>
      <c r="G170" s="120"/>
      <c r="H170" s="120"/>
      <c r="I170" s="89"/>
      <c r="J170" s="87"/>
      <c r="K170" s="87"/>
      <c r="L170" s="87"/>
      <c r="M170" s="87"/>
      <c r="N170" s="87"/>
    </row>
    <row r="171" spans="1:14" x14ac:dyDescent="0.25">
      <c r="A171" s="119" t="s">
        <v>385</v>
      </c>
      <c r="B171" s="120"/>
      <c r="C171" s="120"/>
      <c r="D171" s="120"/>
      <c r="E171" s="120"/>
      <c r="F171" s="120"/>
      <c r="G171" s="120"/>
      <c r="H171" s="120"/>
      <c r="I171" s="89">
        <v>4981.76</v>
      </c>
      <c r="J171" s="87"/>
      <c r="K171" s="87"/>
      <c r="L171" s="87"/>
      <c r="M171" s="87"/>
      <c r="N171" s="87"/>
    </row>
    <row r="172" spans="1:14" x14ac:dyDescent="0.25">
      <c r="A172" s="119" t="s">
        <v>386</v>
      </c>
      <c r="B172" s="120"/>
      <c r="C172" s="120"/>
      <c r="D172" s="120"/>
      <c r="E172" s="120"/>
      <c r="F172" s="120"/>
      <c r="G172" s="120"/>
      <c r="H172" s="120"/>
      <c r="I172" s="89">
        <v>2415.16</v>
      </c>
      <c r="J172" s="87"/>
      <c r="K172" s="87"/>
      <c r="L172" s="87"/>
      <c r="M172" s="87"/>
      <c r="N172" s="87"/>
    </row>
    <row r="173" spans="1:14" x14ac:dyDescent="0.25">
      <c r="A173" s="119" t="s">
        <v>387</v>
      </c>
      <c r="B173" s="120"/>
      <c r="C173" s="120"/>
      <c r="D173" s="120"/>
      <c r="E173" s="120"/>
      <c r="F173" s="120"/>
      <c r="G173" s="120"/>
      <c r="H173" s="120"/>
      <c r="I173" s="89">
        <v>2698.37</v>
      </c>
      <c r="J173" s="87"/>
      <c r="K173" s="87"/>
      <c r="L173" s="87"/>
      <c r="M173" s="87"/>
      <c r="N173" s="87"/>
    </row>
    <row r="174" spans="1:14" x14ac:dyDescent="0.25">
      <c r="A174" s="119" t="s">
        <v>388</v>
      </c>
      <c r="B174" s="120"/>
      <c r="C174" s="120"/>
      <c r="D174" s="120"/>
      <c r="E174" s="120"/>
      <c r="F174" s="120"/>
      <c r="G174" s="120"/>
      <c r="H174" s="120"/>
      <c r="I174" s="89">
        <v>2658.94</v>
      </c>
      <c r="J174" s="87"/>
      <c r="K174" s="87"/>
      <c r="L174" s="87"/>
      <c r="M174" s="87"/>
      <c r="N174" s="87"/>
    </row>
    <row r="175" spans="1:14" x14ac:dyDescent="0.25">
      <c r="A175" s="119" t="s">
        <v>389</v>
      </c>
      <c r="B175" s="120"/>
      <c r="C175" s="120"/>
      <c r="D175" s="120"/>
      <c r="E175" s="120"/>
      <c r="F175" s="120"/>
      <c r="G175" s="120"/>
      <c r="H175" s="120"/>
      <c r="I175" s="89">
        <v>1519.03</v>
      </c>
      <c r="J175" s="87"/>
      <c r="K175" s="87"/>
      <c r="L175" s="87"/>
      <c r="M175" s="87"/>
      <c r="N175" s="87"/>
    </row>
    <row r="176" spans="1:14" ht="22.8" x14ac:dyDescent="0.25">
      <c r="A176" s="141" t="s">
        <v>623</v>
      </c>
      <c r="B176" s="142"/>
      <c r="C176" s="142"/>
      <c r="D176" s="142"/>
      <c r="E176" s="142"/>
      <c r="F176" s="142"/>
      <c r="G176" s="142"/>
      <c r="H176" s="142"/>
      <c r="I176" s="94">
        <v>13967.49</v>
      </c>
      <c r="J176" s="92"/>
      <c r="K176" s="92"/>
      <c r="L176" s="92"/>
      <c r="M176" s="92"/>
      <c r="N176" s="92" t="s">
        <v>615</v>
      </c>
    </row>
    <row r="177" spans="1:14" ht="17.850000000000001" customHeight="1" x14ac:dyDescent="0.25">
      <c r="A177" s="113" t="s">
        <v>624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1:14" ht="148.19999999999999" x14ac:dyDescent="0.25">
      <c r="A178" s="85">
        <v>64</v>
      </c>
      <c r="B178" s="86" t="s">
        <v>400</v>
      </c>
      <c r="C178" s="86" t="s">
        <v>401</v>
      </c>
      <c r="D178" s="85">
        <v>0.15</v>
      </c>
      <c r="E178" s="87" t="s">
        <v>402</v>
      </c>
      <c r="F178" s="87" t="s">
        <v>403</v>
      </c>
      <c r="G178" s="87">
        <v>6240.25</v>
      </c>
      <c r="H178" s="88" t="s">
        <v>404</v>
      </c>
      <c r="I178" s="89">
        <v>8061.23</v>
      </c>
      <c r="J178" s="87">
        <v>2208.69</v>
      </c>
      <c r="K178" s="87" t="s">
        <v>625</v>
      </c>
      <c r="L178" s="87" t="str">
        <f>IF(0.15*6240.25=0," ",TEXT(,ROUND((0.15*6240.25*5.74),2)))</f>
        <v>5372,86</v>
      </c>
      <c r="M178" s="87" t="s">
        <v>406</v>
      </c>
      <c r="N178" s="87" t="s">
        <v>626</v>
      </c>
    </row>
    <row r="179" spans="1:14" ht="148.19999999999999" x14ac:dyDescent="0.25">
      <c r="A179" s="85">
        <v>65</v>
      </c>
      <c r="B179" s="86" t="s">
        <v>408</v>
      </c>
      <c r="C179" s="86" t="s">
        <v>409</v>
      </c>
      <c r="D179" s="85">
        <v>0.1</v>
      </c>
      <c r="E179" s="87" t="s">
        <v>410</v>
      </c>
      <c r="F179" s="87" t="s">
        <v>411</v>
      </c>
      <c r="G179" s="87">
        <v>5353.21</v>
      </c>
      <c r="H179" s="88" t="s">
        <v>412</v>
      </c>
      <c r="I179" s="89">
        <v>4609.05</v>
      </c>
      <c r="J179" s="87">
        <v>1332.32</v>
      </c>
      <c r="K179" s="87" t="s">
        <v>627</v>
      </c>
      <c r="L179" s="87" t="str">
        <f>IF(0.1*5353.21=0," ",TEXT(,ROUND((0.1*5353.21*5.7),2)))</f>
        <v>3051,33</v>
      </c>
      <c r="M179" s="87" t="s">
        <v>414</v>
      </c>
      <c r="N179" s="87" t="s">
        <v>628</v>
      </c>
    </row>
    <row r="180" spans="1:14" ht="148.19999999999999" x14ac:dyDescent="0.25">
      <c r="A180" s="85">
        <v>66</v>
      </c>
      <c r="B180" s="86" t="s">
        <v>629</v>
      </c>
      <c r="C180" s="86" t="s">
        <v>630</v>
      </c>
      <c r="D180" s="85">
        <v>0.02</v>
      </c>
      <c r="E180" s="87" t="s">
        <v>631</v>
      </c>
      <c r="F180" s="87" t="s">
        <v>427</v>
      </c>
      <c r="G180" s="87">
        <v>2578.88</v>
      </c>
      <c r="H180" s="88" t="s">
        <v>632</v>
      </c>
      <c r="I180" s="89">
        <v>441.95</v>
      </c>
      <c r="J180" s="87">
        <v>120</v>
      </c>
      <c r="K180" s="87" t="s">
        <v>633</v>
      </c>
      <c r="L180" s="87" t="str">
        <f>IF(0.02*2578.88=0," ",TEXT(,ROUND((0.02*2578.88*5.98),2)))</f>
        <v>308,43</v>
      </c>
      <c r="M180" s="87" t="s">
        <v>430</v>
      </c>
      <c r="N180" s="87">
        <v>0.76</v>
      </c>
    </row>
    <row r="181" spans="1:14" ht="148.19999999999999" x14ac:dyDescent="0.25">
      <c r="A181" s="85">
        <v>67</v>
      </c>
      <c r="B181" s="86" t="s">
        <v>444</v>
      </c>
      <c r="C181" s="86" t="s">
        <v>445</v>
      </c>
      <c r="D181" s="85">
        <v>0.04</v>
      </c>
      <c r="E181" s="87" t="s">
        <v>446</v>
      </c>
      <c r="F181" s="87" t="s">
        <v>427</v>
      </c>
      <c r="G181" s="87">
        <v>1988.81</v>
      </c>
      <c r="H181" s="88" t="s">
        <v>447</v>
      </c>
      <c r="I181" s="89">
        <v>724.46</v>
      </c>
      <c r="J181" s="87">
        <v>240</v>
      </c>
      <c r="K181" s="87" t="s">
        <v>634</v>
      </c>
      <c r="L181" s="87" t="str">
        <f>IF(0.04*1988.81=0," ",TEXT(,ROUND((0.04*1988.81*5.75),2)))</f>
        <v>457,43</v>
      </c>
      <c r="M181" s="87" t="s">
        <v>430</v>
      </c>
      <c r="N181" s="87" t="s">
        <v>635</v>
      </c>
    </row>
    <row r="182" spans="1:14" ht="159.6" x14ac:dyDescent="0.25">
      <c r="A182" s="85">
        <v>68</v>
      </c>
      <c r="B182" s="86" t="s">
        <v>636</v>
      </c>
      <c r="C182" s="86" t="s">
        <v>637</v>
      </c>
      <c r="D182" s="85">
        <v>0.02</v>
      </c>
      <c r="E182" s="87" t="s">
        <v>638</v>
      </c>
      <c r="F182" s="87" t="s">
        <v>639</v>
      </c>
      <c r="G182" s="87">
        <v>7335.38</v>
      </c>
      <c r="H182" s="88" t="s">
        <v>640</v>
      </c>
      <c r="I182" s="89">
        <v>1259.6400000000001</v>
      </c>
      <c r="J182" s="87">
        <v>212.04</v>
      </c>
      <c r="K182" s="87" t="s">
        <v>641</v>
      </c>
      <c r="L182" s="87" t="str">
        <f>IF(0.02*7335.38=0," ",TEXT(,ROUND((0.02*7335.38*6.88),2)))</f>
        <v>1009,35</v>
      </c>
      <c r="M182" s="87" t="s">
        <v>642</v>
      </c>
      <c r="N182" s="87" t="s">
        <v>643</v>
      </c>
    </row>
    <row r="183" spans="1:14" ht="159.6" x14ac:dyDescent="0.25">
      <c r="A183" s="85">
        <v>69</v>
      </c>
      <c r="B183" s="86" t="s">
        <v>644</v>
      </c>
      <c r="C183" s="86" t="s">
        <v>645</v>
      </c>
      <c r="D183" s="85">
        <v>0.06</v>
      </c>
      <c r="E183" s="87" t="s">
        <v>646</v>
      </c>
      <c r="F183" s="87" t="s">
        <v>647</v>
      </c>
      <c r="G183" s="87">
        <v>6085.07</v>
      </c>
      <c r="H183" s="88" t="s">
        <v>648</v>
      </c>
      <c r="I183" s="89">
        <v>2996.89</v>
      </c>
      <c r="J183" s="87">
        <v>520.08000000000004</v>
      </c>
      <c r="K183" s="87" t="s">
        <v>649</v>
      </c>
      <c r="L183" s="87" t="str">
        <f>IF(0.06*6085.07=0," ",TEXT(,ROUND((0.06*6085.07*6.55),2)))</f>
        <v>2391,43</v>
      </c>
      <c r="M183" s="87" t="s">
        <v>650</v>
      </c>
      <c r="N183" s="87" t="s">
        <v>651</v>
      </c>
    </row>
    <row r="184" spans="1:14" ht="159.6" x14ac:dyDescent="0.25">
      <c r="A184" s="85">
        <v>70</v>
      </c>
      <c r="B184" s="86" t="s">
        <v>652</v>
      </c>
      <c r="C184" s="86" t="s">
        <v>653</v>
      </c>
      <c r="D184" s="85">
        <v>0.04</v>
      </c>
      <c r="E184" s="87" t="s">
        <v>654</v>
      </c>
      <c r="F184" s="87" t="s">
        <v>655</v>
      </c>
      <c r="G184" s="87">
        <v>4319.0600000000004</v>
      </c>
      <c r="H184" s="88" t="s">
        <v>656</v>
      </c>
      <c r="I184" s="89">
        <v>1459.12</v>
      </c>
      <c r="J184" s="87">
        <v>269.85000000000002</v>
      </c>
      <c r="K184" s="87" t="s">
        <v>657</v>
      </c>
      <c r="L184" s="87" t="str">
        <f>IF(0.04*4319.06=0," ",TEXT(,ROUND((0.04*4319.06*6.7),2)))</f>
        <v>1157,51</v>
      </c>
      <c r="M184" s="87" t="s">
        <v>658</v>
      </c>
      <c r="N184" s="87" t="s">
        <v>659</v>
      </c>
    </row>
    <row r="185" spans="1:14" ht="159.6" x14ac:dyDescent="0.25">
      <c r="A185" s="85">
        <v>71</v>
      </c>
      <c r="B185" s="86" t="s">
        <v>450</v>
      </c>
      <c r="C185" s="86" t="s">
        <v>451</v>
      </c>
      <c r="D185" s="85">
        <v>0.27</v>
      </c>
      <c r="E185" s="87" t="s">
        <v>452</v>
      </c>
      <c r="F185" s="87">
        <v>55.64</v>
      </c>
      <c r="G185" s="87">
        <v>11.11</v>
      </c>
      <c r="H185" s="88" t="s">
        <v>453</v>
      </c>
      <c r="I185" s="89">
        <v>338.28</v>
      </c>
      <c r="J185" s="87">
        <v>297.88</v>
      </c>
      <c r="K185" s="87">
        <v>10.67</v>
      </c>
      <c r="L185" s="87" t="str">
        <f>IF(0.27*11.11=0," ",TEXT(,ROUND((0.27*11.11*9.91),2)))</f>
        <v>29,73</v>
      </c>
      <c r="M185" s="87">
        <v>5.76</v>
      </c>
      <c r="N185" s="87">
        <v>1.56</v>
      </c>
    </row>
    <row r="186" spans="1:14" ht="159.6" x14ac:dyDescent="0.25">
      <c r="A186" s="85">
        <v>72</v>
      </c>
      <c r="B186" s="86" t="s">
        <v>454</v>
      </c>
      <c r="C186" s="86" t="s">
        <v>455</v>
      </c>
      <c r="D186" s="85">
        <v>0.16</v>
      </c>
      <c r="E186" s="87" t="s">
        <v>456</v>
      </c>
      <c r="F186" s="87">
        <v>55.64</v>
      </c>
      <c r="G186" s="87">
        <v>4.28</v>
      </c>
      <c r="H186" s="88" t="s">
        <v>457</v>
      </c>
      <c r="I186" s="89">
        <v>187.92</v>
      </c>
      <c r="J186" s="87">
        <v>176.52</v>
      </c>
      <c r="K186" s="87">
        <v>6.32</v>
      </c>
      <c r="L186" s="87" t="str">
        <f>IF(0.16*4.28=0," ",TEXT(,ROUND((0.16*4.28*7.41),2)))</f>
        <v>5,07</v>
      </c>
      <c r="M186" s="87">
        <v>5.76</v>
      </c>
      <c r="N186" s="87">
        <v>0.92</v>
      </c>
    </row>
    <row r="187" spans="1:14" ht="57" x14ac:dyDescent="0.25">
      <c r="A187" s="85">
        <v>73</v>
      </c>
      <c r="B187" s="86" t="s">
        <v>458</v>
      </c>
      <c r="C187" s="86" t="s">
        <v>459</v>
      </c>
      <c r="D187" s="85">
        <v>130</v>
      </c>
      <c r="E187" s="87">
        <v>11.99</v>
      </c>
      <c r="F187" s="87"/>
      <c r="G187" s="87">
        <v>11.99</v>
      </c>
      <c r="H187" s="88" t="s">
        <v>460</v>
      </c>
      <c r="I187" s="89">
        <v>5114.2</v>
      </c>
      <c r="J187" s="87"/>
      <c r="K187" s="87"/>
      <c r="L187" s="87" t="str">
        <f>IF(130*11.99=0," ",TEXT(,ROUND((130*11.99*3.281),2)))</f>
        <v>5114,09</v>
      </c>
      <c r="M187" s="87"/>
      <c r="N187" s="87"/>
    </row>
    <row r="188" spans="1:14" ht="45.6" x14ac:dyDescent="0.25">
      <c r="A188" s="85">
        <v>74</v>
      </c>
      <c r="B188" s="86" t="s">
        <v>461</v>
      </c>
      <c r="C188" s="86" t="s">
        <v>660</v>
      </c>
      <c r="D188" s="85">
        <v>3</v>
      </c>
      <c r="E188" s="87">
        <v>108.74</v>
      </c>
      <c r="F188" s="87"/>
      <c r="G188" s="87">
        <v>108.74</v>
      </c>
      <c r="H188" s="88" t="s">
        <v>463</v>
      </c>
      <c r="I188" s="89">
        <v>1820.31</v>
      </c>
      <c r="J188" s="87"/>
      <c r="K188" s="87"/>
      <c r="L188" s="87" t="str">
        <f>IF(3*108.74=0," ",TEXT(,ROUND((3*108.74*5.58),2)))</f>
        <v>1820,31</v>
      </c>
      <c r="M188" s="87"/>
      <c r="N188" s="87"/>
    </row>
    <row r="189" spans="1:14" ht="45.6" x14ac:dyDescent="0.25">
      <c r="A189" s="85">
        <v>75</v>
      </c>
      <c r="B189" s="86" t="s">
        <v>461</v>
      </c>
      <c r="C189" s="86" t="s">
        <v>661</v>
      </c>
      <c r="D189" s="85">
        <v>6</v>
      </c>
      <c r="E189" s="87">
        <v>66.22</v>
      </c>
      <c r="F189" s="87"/>
      <c r="G189" s="87">
        <v>66.22</v>
      </c>
      <c r="H189" s="88" t="s">
        <v>463</v>
      </c>
      <c r="I189" s="89">
        <v>2217.06</v>
      </c>
      <c r="J189" s="87"/>
      <c r="K189" s="87"/>
      <c r="L189" s="87" t="str">
        <f>IF(6*66.22=0," ",TEXT(,ROUND((6*66.22*5.58),2)))</f>
        <v>2217,05</v>
      </c>
      <c r="M189" s="87"/>
      <c r="N189" s="87"/>
    </row>
    <row r="190" spans="1:14" ht="45.6" x14ac:dyDescent="0.25">
      <c r="A190" s="85">
        <v>76</v>
      </c>
      <c r="B190" s="86" t="s">
        <v>461</v>
      </c>
      <c r="C190" s="86" t="s">
        <v>662</v>
      </c>
      <c r="D190" s="85">
        <v>5</v>
      </c>
      <c r="E190" s="87">
        <v>22.78</v>
      </c>
      <c r="F190" s="87"/>
      <c r="G190" s="87">
        <v>22.78</v>
      </c>
      <c r="H190" s="88" t="s">
        <v>463</v>
      </c>
      <c r="I190" s="89">
        <v>635.54999999999995</v>
      </c>
      <c r="J190" s="87"/>
      <c r="K190" s="87"/>
      <c r="L190" s="87" t="str">
        <f>IF(5*22.78=0," ",TEXT(,ROUND((5*22.78*5.58),2)))</f>
        <v>635,56</v>
      </c>
      <c r="M190" s="87"/>
      <c r="N190" s="87"/>
    </row>
    <row r="191" spans="1:14" ht="68.400000000000006" x14ac:dyDescent="0.25">
      <c r="A191" s="85">
        <v>77</v>
      </c>
      <c r="B191" s="86" t="s">
        <v>663</v>
      </c>
      <c r="C191" s="86" t="s">
        <v>664</v>
      </c>
      <c r="D191" s="85">
        <v>28</v>
      </c>
      <c r="E191" s="87">
        <v>37.83</v>
      </c>
      <c r="F191" s="87"/>
      <c r="G191" s="87">
        <v>37.83</v>
      </c>
      <c r="H191" s="88" t="s">
        <v>463</v>
      </c>
      <c r="I191" s="89">
        <v>5910.52</v>
      </c>
      <c r="J191" s="87"/>
      <c r="K191" s="87"/>
      <c r="L191" s="87" t="str">
        <f>IF(28*37.83=0," ",TEXT(,ROUND((28*37.83*5.58),2)))</f>
        <v>5910,56</v>
      </c>
      <c r="M191" s="87"/>
      <c r="N191" s="87"/>
    </row>
    <row r="192" spans="1:14" ht="45.6" x14ac:dyDescent="0.25">
      <c r="A192" s="85">
        <v>78</v>
      </c>
      <c r="B192" s="86" t="s">
        <v>461</v>
      </c>
      <c r="C192" s="86" t="s">
        <v>665</v>
      </c>
      <c r="D192" s="85">
        <v>1</v>
      </c>
      <c r="E192" s="87">
        <v>91.12</v>
      </c>
      <c r="F192" s="87"/>
      <c r="G192" s="87">
        <v>91.12</v>
      </c>
      <c r="H192" s="88" t="s">
        <v>463</v>
      </c>
      <c r="I192" s="89">
        <v>508.45</v>
      </c>
      <c r="J192" s="87"/>
      <c r="K192" s="87"/>
      <c r="L192" s="87" t="str">
        <f>IF(1*91.12=0," ",TEXT(,ROUND((1*91.12*5.58),2)))</f>
        <v>508,45</v>
      </c>
      <c r="M192" s="87"/>
      <c r="N192" s="87"/>
    </row>
    <row r="193" spans="1:14" ht="136.80000000000001" x14ac:dyDescent="0.25">
      <c r="A193" s="85">
        <v>79</v>
      </c>
      <c r="B193" s="86" t="s">
        <v>666</v>
      </c>
      <c r="C193" s="86" t="s">
        <v>667</v>
      </c>
      <c r="D193" s="85">
        <v>1</v>
      </c>
      <c r="E193" s="87" t="s">
        <v>668</v>
      </c>
      <c r="F193" s="87" t="s">
        <v>669</v>
      </c>
      <c r="G193" s="87">
        <v>1032.5899999999999</v>
      </c>
      <c r="H193" s="88" t="s">
        <v>670</v>
      </c>
      <c r="I193" s="89">
        <v>8104.74</v>
      </c>
      <c r="J193" s="87">
        <v>685.38</v>
      </c>
      <c r="K193" s="87" t="s">
        <v>671</v>
      </c>
      <c r="L193" s="87" t="str">
        <f>IF(1*1032.59=0," ",TEXT(,ROUND((1*1032.59*7.05),2)))</f>
        <v>7279,76</v>
      </c>
      <c r="M193" s="87" t="s">
        <v>672</v>
      </c>
      <c r="N193" s="87" t="s">
        <v>672</v>
      </c>
    </row>
    <row r="194" spans="1:14" ht="45.6" x14ac:dyDescent="0.25">
      <c r="A194" s="85">
        <v>80</v>
      </c>
      <c r="B194" s="86" t="s">
        <v>518</v>
      </c>
      <c r="C194" s="86" t="s">
        <v>519</v>
      </c>
      <c r="D194" s="85">
        <v>2</v>
      </c>
      <c r="E194" s="87">
        <v>348.4</v>
      </c>
      <c r="F194" s="87"/>
      <c r="G194" s="87">
        <v>348.4</v>
      </c>
      <c r="H194" s="88" t="s">
        <v>463</v>
      </c>
      <c r="I194" s="89">
        <v>3888.14</v>
      </c>
      <c r="J194" s="87"/>
      <c r="K194" s="87"/>
      <c r="L194" s="87" t="str">
        <f>IF(2*348.4=0," ",TEXT(,ROUND((2*348.4*5.58),2)))</f>
        <v>3888,14</v>
      </c>
      <c r="M194" s="87"/>
      <c r="N194" s="87"/>
    </row>
    <row r="195" spans="1:14" ht="57" x14ac:dyDescent="0.25">
      <c r="A195" s="85">
        <v>81</v>
      </c>
      <c r="B195" s="86" t="s">
        <v>461</v>
      </c>
      <c r="C195" s="86" t="s">
        <v>673</v>
      </c>
      <c r="D195" s="85">
        <v>6</v>
      </c>
      <c r="E195" s="87">
        <v>324.70999999999998</v>
      </c>
      <c r="F195" s="87"/>
      <c r="G195" s="87">
        <v>324.70999999999998</v>
      </c>
      <c r="H195" s="88" t="s">
        <v>463</v>
      </c>
      <c r="I195" s="89">
        <v>10871.28</v>
      </c>
      <c r="J195" s="87"/>
      <c r="K195" s="87"/>
      <c r="L195" s="87" t="str">
        <f>IF(6*324.71=0," ",TEXT(,ROUND((6*324.71*5.58),2)))</f>
        <v>10871,29</v>
      </c>
      <c r="M195" s="87"/>
      <c r="N195" s="87"/>
    </row>
    <row r="196" spans="1:14" ht="57" x14ac:dyDescent="0.25">
      <c r="A196" s="85">
        <v>82</v>
      </c>
      <c r="B196" s="86" t="s">
        <v>461</v>
      </c>
      <c r="C196" s="86" t="s">
        <v>674</v>
      </c>
      <c r="D196" s="85">
        <v>3</v>
      </c>
      <c r="E196" s="87">
        <v>370.27</v>
      </c>
      <c r="F196" s="87"/>
      <c r="G196" s="87">
        <v>370.27</v>
      </c>
      <c r="H196" s="88" t="s">
        <v>463</v>
      </c>
      <c r="I196" s="89">
        <v>6198.33</v>
      </c>
      <c r="J196" s="87"/>
      <c r="K196" s="87"/>
      <c r="L196" s="87" t="str">
        <f>IF(3*370.27=0," ",TEXT(,ROUND((3*370.27*5.58),2)))</f>
        <v>6198,32</v>
      </c>
      <c r="M196" s="87"/>
      <c r="N196" s="87"/>
    </row>
    <row r="197" spans="1:14" ht="45.6" x14ac:dyDescent="0.25">
      <c r="A197" s="85">
        <v>83</v>
      </c>
      <c r="B197" s="86" t="s">
        <v>518</v>
      </c>
      <c r="C197" s="86" t="s">
        <v>675</v>
      </c>
      <c r="D197" s="85">
        <v>1</v>
      </c>
      <c r="E197" s="87">
        <v>279.89999999999998</v>
      </c>
      <c r="F197" s="87"/>
      <c r="G197" s="87">
        <v>279.89999999999998</v>
      </c>
      <c r="H197" s="88" t="s">
        <v>463</v>
      </c>
      <c r="I197" s="89">
        <v>1561.84</v>
      </c>
      <c r="J197" s="87"/>
      <c r="K197" s="87"/>
      <c r="L197" s="87" t="str">
        <f>IF(1*279.9=0," ",TEXT(,ROUND((1*279.9*5.58),2)))</f>
        <v>1561,84</v>
      </c>
      <c r="M197" s="87"/>
      <c r="N197" s="87"/>
    </row>
    <row r="198" spans="1:14" ht="57" x14ac:dyDescent="0.25">
      <c r="A198" s="85">
        <v>84</v>
      </c>
      <c r="B198" s="86" t="s">
        <v>461</v>
      </c>
      <c r="C198" s="86" t="s">
        <v>520</v>
      </c>
      <c r="D198" s="85">
        <v>1</v>
      </c>
      <c r="E198" s="87">
        <v>235.56</v>
      </c>
      <c r="F198" s="87"/>
      <c r="G198" s="87">
        <v>235.56</v>
      </c>
      <c r="H198" s="88" t="s">
        <v>463</v>
      </c>
      <c r="I198" s="89">
        <v>1314.42</v>
      </c>
      <c r="J198" s="87"/>
      <c r="K198" s="87"/>
      <c r="L198" s="87" t="str">
        <f>IF(1*235.56=0," ",TEXT(,ROUND((1*235.56*5.58),2)))</f>
        <v>1314,42</v>
      </c>
      <c r="M198" s="87"/>
      <c r="N198" s="87"/>
    </row>
    <row r="199" spans="1:14" ht="57" x14ac:dyDescent="0.25">
      <c r="A199" s="85">
        <v>85</v>
      </c>
      <c r="B199" s="86" t="s">
        <v>461</v>
      </c>
      <c r="C199" s="86" t="s">
        <v>676</v>
      </c>
      <c r="D199" s="85">
        <v>3</v>
      </c>
      <c r="E199" s="87">
        <v>228.87</v>
      </c>
      <c r="F199" s="87"/>
      <c r="G199" s="87">
        <v>228.87</v>
      </c>
      <c r="H199" s="88" t="s">
        <v>463</v>
      </c>
      <c r="I199" s="89">
        <v>3831.27</v>
      </c>
      <c r="J199" s="87"/>
      <c r="K199" s="87"/>
      <c r="L199" s="87" t="str">
        <f>IF(3*228.87=0," ",TEXT(,ROUND((3*228.87*5.58),2)))</f>
        <v>3831,28</v>
      </c>
      <c r="M199" s="87"/>
      <c r="N199" s="87"/>
    </row>
    <row r="200" spans="1:14" ht="57" x14ac:dyDescent="0.25">
      <c r="A200" s="85">
        <v>86</v>
      </c>
      <c r="B200" s="86" t="s">
        <v>461</v>
      </c>
      <c r="C200" s="86" t="s">
        <v>677</v>
      </c>
      <c r="D200" s="85">
        <v>1</v>
      </c>
      <c r="E200" s="87">
        <v>258.19</v>
      </c>
      <c r="F200" s="87"/>
      <c r="G200" s="87">
        <v>258.19</v>
      </c>
      <c r="H200" s="88" t="s">
        <v>463</v>
      </c>
      <c r="I200" s="89">
        <v>1440.7</v>
      </c>
      <c r="J200" s="87"/>
      <c r="K200" s="87"/>
      <c r="L200" s="87" t="str">
        <f>IF(1*258.19=0," ",TEXT(,ROUND((1*258.19*5.58),2)))</f>
        <v>1440,7</v>
      </c>
      <c r="M200" s="87"/>
      <c r="N200" s="87"/>
    </row>
    <row r="201" spans="1:14" ht="114" x14ac:dyDescent="0.25">
      <c r="A201" s="85">
        <v>87</v>
      </c>
      <c r="B201" s="86" t="s">
        <v>678</v>
      </c>
      <c r="C201" s="86" t="s">
        <v>679</v>
      </c>
      <c r="D201" s="85">
        <v>2</v>
      </c>
      <c r="E201" s="87" t="s">
        <v>680</v>
      </c>
      <c r="F201" s="87" t="s">
        <v>681</v>
      </c>
      <c r="G201" s="87">
        <v>83.08</v>
      </c>
      <c r="H201" s="88" t="s">
        <v>682</v>
      </c>
      <c r="I201" s="89">
        <v>1535.88</v>
      </c>
      <c r="J201" s="87">
        <v>597.41999999999996</v>
      </c>
      <c r="K201" s="87" t="s">
        <v>683</v>
      </c>
      <c r="L201" s="87" t="str">
        <f>IF(2*83.08=0," ",TEXT(,ROUND((2*83.08*4.24),2)))</f>
        <v>704,52</v>
      </c>
      <c r="M201" s="87" t="s">
        <v>684</v>
      </c>
      <c r="N201" s="87" t="s">
        <v>685</v>
      </c>
    </row>
    <row r="202" spans="1:14" ht="91.2" x14ac:dyDescent="0.25">
      <c r="A202" s="85">
        <v>88</v>
      </c>
      <c r="B202" s="86" t="s">
        <v>686</v>
      </c>
      <c r="C202" s="86" t="s">
        <v>687</v>
      </c>
      <c r="D202" s="85">
        <v>-2</v>
      </c>
      <c r="E202" s="87">
        <v>60.7</v>
      </c>
      <c r="F202" s="87"/>
      <c r="G202" s="87">
        <v>60.7</v>
      </c>
      <c r="H202" s="88" t="s">
        <v>688</v>
      </c>
      <c r="I202" s="89">
        <v>-548.36</v>
      </c>
      <c r="J202" s="87"/>
      <c r="K202" s="87"/>
      <c r="L202" s="87" t="str">
        <f>IF(-2*60.7=0," ",TEXT(,ROUND((-2*60.7*4.517),2)))</f>
        <v>-548,36</v>
      </c>
      <c r="M202" s="87"/>
      <c r="N202" s="87"/>
    </row>
    <row r="203" spans="1:14" ht="45.6" x14ac:dyDescent="0.25">
      <c r="A203" s="85">
        <v>89</v>
      </c>
      <c r="B203" s="86" t="s">
        <v>468</v>
      </c>
      <c r="C203" s="86" t="s">
        <v>689</v>
      </c>
      <c r="D203" s="85">
        <v>2</v>
      </c>
      <c r="E203" s="87">
        <v>43.44</v>
      </c>
      <c r="F203" s="87"/>
      <c r="G203" s="87">
        <v>43.44</v>
      </c>
      <c r="H203" s="88" t="s">
        <v>463</v>
      </c>
      <c r="I203" s="89">
        <v>484.8</v>
      </c>
      <c r="J203" s="87"/>
      <c r="K203" s="87"/>
      <c r="L203" s="87" t="str">
        <f>IF(2*43.44=0," ",TEXT(,ROUND((2*43.44*5.58),2)))</f>
        <v>484,79</v>
      </c>
      <c r="M203" s="87"/>
      <c r="N203" s="87"/>
    </row>
    <row r="204" spans="1:14" ht="45.6" x14ac:dyDescent="0.25">
      <c r="A204" s="85">
        <v>90</v>
      </c>
      <c r="B204" s="86" t="s">
        <v>468</v>
      </c>
      <c r="C204" s="86" t="s">
        <v>690</v>
      </c>
      <c r="D204" s="85">
        <v>2</v>
      </c>
      <c r="E204" s="87">
        <v>10.78</v>
      </c>
      <c r="F204" s="87"/>
      <c r="G204" s="87">
        <v>10.78</v>
      </c>
      <c r="H204" s="88" t="s">
        <v>463</v>
      </c>
      <c r="I204" s="89">
        <v>120.3</v>
      </c>
      <c r="J204" s="87"/>
      <c r="K204" s="87"/>
      <c r="L204" s="87" t="str">
        <f>IF(2*10.78=0," ",TEXT(,ROUND((2*10.78*5.58),2)))</f>
        <v>120,3</v>
      </c>
      <c r="M204" s="87"/>
      <c r="N204" s="87"/>
    </row>
    <row r="205" spans="1:14" ht="125.4" x14ac:dyDescent="0.25">
      <c r="A205" s="85">
        <v>91</v>
      </c>
      <c r="B205" s="86" t="s">
        <v>477</v>
      </c>
      <c r="C205" s="86" t="s">
        <v>478</v>
      </c>
      <c r="D205" s="85">
        <v>24</v>
      </c>
      <c r="E205" s="87" t="s">
        <v>479</v>
      </c>
      <c r="F205" s="87"/>
      <c r="G205" s="87">
        <v>224.54</v>
      </c>
      <c r="H205" s="88" t="s">
        <v>480</v>
      </c>
      <c r="I205" s="89">
        <v>9558.24</v>
      </c>
      <c r="J205" s="87">
        <v>989.76</v>
      </c>
      <c r="K205" s="87"/>
      <c r="L205" s="87" t="str">
        <f>IF(24*224.54=0," ",TEXT(,ROUND((24*224.54*1.59),2)))</f>
        <v>8568,45</v>
      </c>
      <c r="M205" s="87">
        <v>0.25</v>
      </c>
      <c r="N205" s="87">
        <v>6</v>
      </c>
    </row>
    <row r="206" spans="1:14" ht="102.6" x14ac:dyDescent="0.25">
      <c r="A206" s="85">
        <v>92</v>
      </c>
      <c r="B206" s="86" t="s">
        <v>481</v>
      </c>
      <c r="C206" s="86" t="s">
        <v>482</v>
      </c>
      <c r="D206" s="85">
        <v>-24</v>
      </c>
      <c r="E206" s="87">
        <v>223.7</v>
      </c>
      <c r="F206" s="87"/>
      <c r="G206" s="87"/>
      <c r="H206" s="88" t="s">
        <v>483</v>
      </c>
      <c r="I206" s="89">
        <v>-8525.76</v>
      </c>
      <c r="J206" s="87"/>
      <c r="K206" s="87"/>
      <c r="L206" s="87" t="str">
        <f>IF(-24*0=0," ",TEXT(,ROUND((-24*0*1.588),2)))</f>
        <v xml:space="preserve"> </v>
      </c>
      <c r="M206" s="87"/>
      <c r="N206" s="87"/>
    </row>
    <row r="207" spans="1:14" ht="57" x14ac:dyDescent="0.25">
      <c r="A207" s="85">
        <v>93</v>
      </c>
      <c r="B207" s="86" t="s">
        <v>484</v>
      </c>
      <c r="C207" s="86" t="s">
        <v>485</v>
      </c>
      <c r="D207" s="85">
        <v>24</v>
      </c>
      <c r="E207" s="87">
        <v>141.16</v>
      </c>
      <c r="F207" s="87"/>
      <c r="G207" s="87"/>
      <c r="H207" s="88" t="s">
        <v>486</v>
      </c>
      <c r="I207" s="89">
        <v>12975.36</v>
      </c>
      <c r="J207" s="87"/>
      <c r="K207" s="87"/>
      <c r="L207" s="87" t="str">
        <f>IF(24*0=0," ",TEXT(,ROUND((24*0*3.83),2)))</f>
        <v xml:space="preserve"> </v>
      </c>
      <c r="M207" s="87"/>
      <c r="N207" s="87"/>
    </row>
    <row r="208" spans="1:14" ht="125.4" x14ac:dyDescent="0.25">
      <c r="A208" s="85">
        <v>94</v>
      </c>
      <c r="B208" s="86" t="s">
        <v>691</v>
      </c>
      <c r="C208" s="86" t="s">
        <v>692</v>
      </c>
      <c r="D208" s="85">
        <v>9</v>
      </c>
      <c r="E208" s="87" t="s">
        <v>693</v>
      </c>
      <c r="F208" s="87"/>
      <c r="G208" s="87">
        <v>335.96</v>
      </c>
      <c r="H208" s="88" t="s">
        <v>694</v>
      </c>
      <c r="I208" s="89">
        <v>3670.29</v>
      </c>
      <c r="J208" s="87">
        <v>495.45</v>
      </c>
      <c r="K208" s="87"/>
      <c r="L208" s="87" t="str">
        <f>IF(9*335.96=0," ",TEXT(,ROUND((9*335.96*1.05),2)))</f>
        <v>3174,82</v>
      </c>
      <c r="M208" s="87">
        <v>0.36</v>
      </c>
      <c r="N208" s="87">
        <v>3.24</v>
      </c>
    </row>
    <row r="209" spans="1:14" ht="68.400000000000006" x14ac:dyDescent="0.25">
      <c r="A209" s="85">
        <v>95</v>
      </c>
      <c r="B209" s="86" t="s">
        <v>695</v>
      </c>
      <c r="C209" s="86" t="s">
        <v>696</v>
      </c>
      <c r="D209" s="85">
        <v>-9</v>
      </c>
      <c r="E209" s="87">
        <v>334.1</v>
      </c>
      <c r="F209" s="87"/>
      <c r="G209" s="87">
        <v>334.1</v>
      </c>
      <c r="H209" s="88" t="s">
        <v>697</v>
      </c>
      <c r="I209" s="89">
        <v>-3118.14</v>
      </c>
      <c r="J209" s="87"/>
      <c r="K209" s="87"/>
      <c r="L209" s="87" t="str">
        <f>IF(-9*334.1=0," ",TEXT(,ROUND((-9*334.1*1.037),2)))</f>
        <v>-3118,16</v>
      </c>
      <c r="M209" s="87"/>
      <c r="N209" s="87"/>
    </row>
    <row r="210" spans="1:14" ht="45.6" x14ac:dyDescent="0.25">
      <c r="A210" s="85">
        <v>96</v>
      </c>
      <c r="B210" s="86" t="s">
        <v>461</v>
      </c>
      <c r="C210" s="86" t="s">
        <v>698</v>
      </c>
      <c r="D210" s="85">
        <v>3</v>
      </c>
      <c r="E210" s="87">
        <v>27.34</v>
      </c>
      <c r="F210" s="87"/>
      <c r="G210" s="87">
        <v>27.34</v>
      </c>
      <c r="H210" s="88" t="s">
        <v>463</v>
      </c>
      <c r="I210" s="89">
        <v>457.68</v>
      </c>
      <c r="J210" s="87"/>
      <c r="K210" s="87"/>
      <c r="L210" s="87" t="str">
        <f>IF(3*27.34=0," ",TEXT(,ROUND((3*27.34*5.58),2)))</f>
        <v>457,67</v>
      </c>
      <c r="M210" s="87"/>
      <c r="N210" s="87"/>
    </row>
    <row r="211" spans="1:14" ht="45.6" x14ac:dyDescent="0.25">
      <c r="A211" s="85">
        <v>97</v>
      </c>
      <c r="B211" s="86" t="s">
        <v>461</v>
      </c>
      <c r="C211" s="86" t="s">
        <v>699</v>
      </c>
      <c r="D211" s="85">
        <v>6</v>
      </c>
      <c r="E211" s="87">
        <v>27.34</v>
      </c>
      <c r="F211" s="87"/>
      <c r="G211" s="87">
        <v>27.34</v>
      </c>
      <c r="H211" s="88" t="s">
        <v>463</v>
      </c>
      <c r="I211" s="89">
        <v>915.36</v>
      </c>
      <c r="J211" s="87"/>
      <c r="K211" s="87"/>
      <c r="L211" s="87" t="str">
        <f>IF(6*27.34=0," ",TEXT(,ROUND((6*27.34*5.58),2)))</f>
        <v>915,34</v>
      </c>
      <c r="M211" s="87"/>
      <c r="N211" s="87"/>
    </row>
    <row r="212" spans="1:14" ht="45.6" x14ac:dyDescent="0.25">
      <c r="A212" s="85">
        <v>98</v>
      </c>
      <c r="B212" s="86" t="s">
        <v>461</v>
      </c>
      <c r="C212" s="86" t="s">
        <v>700</v>
      </c>
      <c r="D212" s="85">
        <v>9</v>
      </c>
      <c r="E212" s="87">
        <v>39.49</v>
      </c>
      <c r="F212" s="87"/>
      <c r="G212" s="87">
        <v>39.49</v>
      </c>
      <c r="H212" s="88" t="s">
        <v>463</v>
      </c>
      <c r="I212" s="89">
        <v>1983.15</v>
      </c>
      <c r="J212" s="87"/>
      <c r="K212" s="87"/>
      <c r="L212" s="87" t="str">
        <f>IF(9*39.49=0," ",TEXT(,ROUND((9*39.49*5.58),2)))</f>
        <v>1983,19</v>
      </c>
      <c r="M212" s="87"/>
      <c r="N212" s="87"/>
    </row>
    <row r="213" spans="1:14" ht="68.400000000000006" x14ac:dyDescent="0.25">
      <c r="A213" s="85">
        <v>99</v>
      </c>
      <c r="B213" s="86" t="s">
        <v>701</v>
      </c>
      <c r="C213" s="86" t="s">
        <v>702</v>
      </c>
      <c r="D213" s="85">
        <v>0.09</v>
      </c>
      <c r="E213" s="87" t="s">
        <v>703</v>
      </c>
      <c r="F213" s="87">
        <v>444.35</v>
      </c>
      <c r="G213" s="87">
        <v>1910.96</v>
      </c>
      <c r="H213" s="88" t="s">
        <v>704</v>
      </c>
      <c r="I213" s="89">
        <v>3611.49</v>
      </c>
      <c r="J213" s="87">
        <v>931.46</v>
      </c>
      <c r="K213" s="87">
        <v>239.55</v>
      </c>
      <c r="L213" s="87" t="str">
        <f>IF(0.09*1910.96=0," ",TEXT(,ROUND((0.09*1910.96*14.19),2)))</f>
        <v>2440,49</v>
      </c>
      <c r="M213" s="87">
        <v>65.400000000000006</v>
      </c>
      <c r="N213" s="87">
        <v>5.89</v>
      </c>
    </row>
    <row r="214" spans="1:14" ht="125.4" x14ac:dyDescent="0.25">
      <c r="A214" s="85">
        <v>100</v>
      </c>
      <c r="B214" s="86" t="s">
        <v>705</v>
      </c>
      <c r="C214" s="86" t="s">
        <v>706</v>
      </c>
      <c r="D214" s="85">
        <v>0.2</v>
      </c>
      <c r="E214" s="87" t="s">
        <v>707</v>
      </c>
      <c r="F214" s="87" t="s">
        <v>708</v>
      </c>
      <c r="G214" s="87">
        <v>10296.69</v>
      </c>
      <c r="H214" s="88" t="s">
        <v>709</v>
      </c>
      <c r="I214" s="89">
        <v>16630.46</v>
      </c>
      <c r="J214" s="87">
        <v>528.63</v>
      </c>
      <c r="K214" s="87" t="s">
        <v>710</v>
      </c>
      <c r="L214" s="87" t="str">
        <f>IF(0.2*10296.69=0," ",TEXT(,ROUND((0.2*10296.69*7.68),2)))</f>
        <v>15815,72</v>
      </c>
      <c r="M214" s="87" t="s">
        <v>711</v>
      </c>
      <c r="N214" s="87" t="s">
        <v>712</v>
      </c>
    </row>
    <row r="215" spans="1:14" ht="68.400000000000006" x14ac:dyDescent="0.25">
      <c r="A215" s="85">
        <v>101</v>
      </c>
      <c r="B215" s="86" t="s">
        <v>713</v>
      </c>
      <c r="C215" s="86" t="s">
        <v>714</v>
      </c>
      <c r="D215" s="85">
        <v>-2</v>
      </c>
      <c r="E215" s="87">
        <v>1027.7</v>
      </c>
      <c r="F215" s="87"/>
      <c r="G215" s="87">
        <v>1027.7</v>
      </c>
      <c r="H215" s="88" t="s">
        <v>715</v>
      </c>
      <c r="I215" s="89">
        <v>-15810.14</v>
      </c>
      <c r="J215" s="87"/>
      <c r="K215" s="87"/>
      <c r="L215" s="87" t="str">
        <f>IF(-2*1027.7=0," ",TEXT(,ROUND((-2*1027.7*7.692),2)))</f>
        <v>-15810,14</v>
      </c>
      <c r="M215" s="87"/>
      <c r="N215" s="87"/>
    </row>
    <row r="216" spans="1:14" ht="57" x14ac:dyDescent="0.25">
      <c r="A216" s="85">
        <v>102</v>
      </c>
      <c r="B216" s="86" t="s">
        <v>518</v>
      </c>
      <c r="C216" s="86" t="s">
        <v>716</v>
      </c>
      <c r="D216" s="85">
        <v>2</v>
      </c>
      <c r="E216" s="87">
        <v>917.32</v>
      </c>
      <c r="F216" s="87"/>
      <c r="G216" s="87">
        <v>917.32</v>
      </c>
      <c r="H216" s="88" t="s">
        <v>463</v>
      </c>
      <c r="I216" s="89">
        <v>10237.299999999999</v>
      </c>
      <c r="J216" s="87"/>
      <c r="K216" s="87"/>
      <c r="L216" s="87" t="str">
        <f>IF(2*917.32=0," ",TEXT(,ROUND((2*917.32*5.58),2)))</f>
        <v>10237,29</v>
      </c>
      <c r="M216" s="87"/>
      <c r="N216" s="87"/>
    </row>
    <row r="217" spans="1:14" ht="125.4" x14ac:dyDescent="0.25">
      <c r="A217" s="85">
        <v>103</v>
      </c>
      <c r="B217" s="86" t="s">
        <v>717</v>
      </c>
      <c r="C217" s="86" t="s">
        <v>718</v>
      </c>
      <c r="D217" s="85">
        <v>0.1</v>
      </c>
      <c r="E217" s="87" t="s">
        <v>719</v>
      </c>
      <c r="F217" s="87" t="s">
        <v>720</v>
      </c>
      <c r="G217" s="87">
        <v>8246.36</v>
      </c>
      <c r="H217" s="88" t="s">
        <v>721</v>
      </c>
      <c r="I217" s="89">
        <v>1770.72</v>
      </c>
      <c r="J217" s="87">
        <v>174.34</v>
      </c>
      <c r="K217" s="87" t="s">
        <v>722</v>
      </c>
      <c r="L217" s="87" t="str">
        <f>IF(0.1*8246.36=0," ",TEXT(,ROUND((0.1*8246.36*1.83),2)))</f>
        <v>1509,08</v>
      </c>
      <c r="M217" s="87" t="s">
        <v>723</v>
      </c>
      <c r="N217" s="87" t="s">
        <v>724</v>
      </c>
    </row>
    <row r="218" spans="1:14" ht="68.400000000000006" x14ac:dyDescent="0.25">
      <c r="A218" s="85">
        <v>104</v>
      </c>
      <c r="B218" s="86" t="s">
        <v>725</v>
      </c>
      <c r="C218" s="86" t="s">
        <v>726</v>
      </c>
      <c r="D218" s="85">
        <v>-1</v>
      </c>
      <c r="E218" s="87">
        <v>823.6</v>
      </c>
      <c r="F218" s="87"/>
      <c r="G218" s="87">
        <v>823.6</v>
      </c>
      <c r="H218" s="88" t="s">
        <v>727</v>
      </c>
      <c r="I218" s="89">
        <v>-1506.36</v>
      </c>
      <c r="J218" s="87"/>
      <c r="K218" s="87"/>
      <c r="L218" s="87" t="str">
        <f>IF(-1*823.6=0," ",TEXT(,ROUND((-1*823.6*1.829),2)))</f>
        <v>-1506,36</v>
      </c>
      <c r="M218" s="87"/>
      <c r="N218" s="87"/>
    </row>
    <row r="219" spans="1:14" ht="57" x14ac:dyDescent="0.25">
      <c r="A219" s="85">
        <v>105</v>
      </c>
      <c r="B219" s="86" t="s">
        <v>518</v>
      </c>
      <c r="C219" s="86" t="s">
        <v>728</v>
      </c>
      <c r="D219" s="85">
        <v>1</v>
      </c>
      <c r="E219" s="87">
        <v>478.1</v>
      </c>
      <c r="F219" s="87"/>
      <c r="G219" s="87">
        <v>478.1</v>
      </c>
      <c r="H219" s="88" t="s">
        <v>463</v>
      </c>
      <c r="I219" s="89">
        <v>2667.8</v>
      </c>
      <c r="J219" s="87"/>
      <c r="K219" s="87"/>
      <c r="L219" s="87" t="str">
        <f>IF(1*478.1=0," ",TEXT(,ROUND((1*478.1*5.58),2)))</f>
        <v>2667,8</v>
      </c>
      <c r="M219" s="87"/>
      <c r="N219" s="87"/>
    </row>
    <row r="220" spans="1:14" ht="125.4" x14ac:dyDescent="0.25">
      <c r="A220" s="85">
        <v>106</v>
      </c>
      <c r="B220" s="86" t="s">
        <v>729</v>
      </c>
      <c r="C220" s="86" t="s">
        <v>730</v>
      </c>
      <c r="D220" s="85">
        <v>0.1</v>
      </c>
      <c r="E220" s="87" t="s">
        <v>731</v>
      </c>
      <c r="F220" s="87" t="s">
        <v>732</v>
      </c>
      <c r="G220" s="87">
        <v>5619.89</v>
      </c>
      <c r="H220" s="88" t="s">
        <v>733</v>
      </c>
      <c r="I220" s="89">
        <v>849.49</v>
      </c>
      <c r="J220" s="87">
        <v>145.46</v>
      </c>
      <c r="K220" s="87" t="s">
        <v>734</v>
      </c>
      <c r="L220" s="87" t="str">
        <f>IF(0.1*5619.89=0," ",TEXT(,ROUND((0.1*5619.89*1.15),2)))</f>
        <v>646,29</v>
      </c>
      <c r="M220" s="87" t="s">
        <v>735</v>
      </c>
      <c r="N220" s="87">
        <v>0.94</v>
      </c>
    </row>
    <row r="221" spans="1:14" ht="136.80000000000001" x14ac:dyDescent="0.25">
      <c r="A221" s="85">
        <v>107</v>
      </c>
      <c r="B221" s="86" t="s">
        <v>736</v>
      </c>
      <c r="C221" s="86" t="s">
        <v>737</v>
      </c>
      <c r="D221" s="85">
        <v>1</v>
      </c>
      <c r="E221" s="87" t="s">
        <v>738</v>
      </c>
      <c r="F221" s="87">
        <v>1.0900000000000001</v>
      </c>
      <c r="G221" s="87">
        <v>1172.8399999999999</v>
      </c>
      <c r="H221" s="88" t="s">
        <v>739</v>
      </c>
      <c r="I221" s="89">
        <v>4072.94</v>
      </c>
      <c r="J221" s="87">
        <v>72.83</v>
      </c>
      <c r="K221" s="87">
        <v>12.45</v>
      </c>
      <c r="L221" s="87" t="str">
        <f>IF(1*1172.84=0," ",TEXT(,ROUND((1*1172.84*3.4),2)))</f>
        <v>3987,66</v>
      </c>
      <c r="M221" s="87">
        <v>0.47</v>
      </c>
      <c r="N221" s="87">
        <v>0.47</v>
      </c>
    </row>
    <row r="222" spans="1:14" ht="57" x14ac:dyDescent="0.25">
      <c r="A222" s="85">
        <v>108</v>
      </c>
      <c r="B222" s="86" t="s">
        <v>740</v>
      </c>
      <c r="C222" s="86" t="s">
        <v>741</v>
      </c>
      <c r="D222" s="85">
        <v>-1</v>
      </c>
      <c r="E222" s="87">
        <v>1172</v>
      </c>
      <c r="F222" s="87"/>
      <c r="G222" s="87">
        <v>1172</v>
      </c>
      <c r="H222" s="88" t="s">
        <v>742</v>
      </c>
      <c r="I222" s="89">
        <v>-3982.46</v>
      </c>
      <c r="J222" s="87"/>
      <c r="K222" s="87"/>
      <c r="L222" s="87" t="str">
        <f>IF(-1*1172=0," ",TEXT(,ROUND((-1*1172*3.398),2)))</f>
        <v>-3982,46</v>
      </c>
      <c r="M222" s="87"/>
      <c r="N222" s="87"/>
    </row>
    <row r="223" spans="1:14" ht="57" x14ac:dyDescent="0.25">
      <c r="A223" s="85">
        <v>109</v>
      </c>
      <c r="B223" s="86" t="s">
        <v>461</v>
      </c>
      <c r="C223" s="86" t="s">
        <v>743</v>
      </c>
      <c r="D223" s="85">
        <v>1</v>
      </c>
      <c r="E223" s="87">
        <v>395.02</v>
      </c>
      <c r="F223" s="87"/>
      <c r="G223" s="87">
        <v>395.02</v>
      </c>
      <c r="H223" s="88" t="s">
        <v>463</v>
      </c>
      <c r="I223" s="89">
        <v>2204.21</v>
      </c>
      <c r="J223" s="87"/>
      <c r="K223" s="87"/>
      <c r="L223" s="87" t="str">
        <f>IF(1*395.02=0," ",TEXT(,ROUND((1*395.02*5.58),2)))</f>
        <v>2204,21</v>
      </c>
      <c r="M223" s="87"/>
      <c r="N223" s="87"/>
    </row>
    <row r="224" spans="1:14" ht="171" x14ac:dyDescent="0.25">
      <c r="A224" s="85">
        <v>110</v>
      </c>
      <c r="B224" s="86" t="s">
        <v>744</v>
      </c>
      <c r="C224" s="86" t="s">
        <v>745</v>
      </c>
      <c r="D224" s="85">
        <v>3</v>
      </c>
      <c r="E224" s="87" t="s">
        <v>746</v>
      </c>
      <c r="F224" s="87">
        <v>0.85</v>
      </c>
      <c r="G224" s="87">
        <v>20.02</v>
      </c>
      <c r="H224" s="88" t="s">
        <v>747</v>
      </c>
      <c r="I224" s="89">
        <v>1200.51</v>
      </c>
      <c r="J224" s="87">
        <v>592.20000000000005</v>
      </c>
      <c r="K224" s="87">
        <v>25.74</v>
      </c>
      <c r="L224" s="87" t="str">
        <f>IF(3*20.02=0," ",TEXT(,ROUND((3*20.02*9.7),2)))</f>
        <v>582,58</v>
      </c>
      <c r="M224" s="87">
        <v>1.21</v>
      </c>
      <c r="N224" s="87">
        <v>3.63</v>
      </c>
    </row>
    <row r="225" spans="1:14" ht="136.80000000000001" x14ac:dyDescent="0.25">
      <c r="A225" s="85">
        <v>111</v>
      </c>
      <c r="B225" s="86" t="s">
        <v>748</v>
      </c>
      <c r="C225" s="86" t="s">
        <v>749</v>
      </c>
      <c r="D225" s="85">
        <v>4</v>
      </c>
      <c r="E225" s="87" t="s">
        <v>750</v>
      </c>
      <c r="F225" s="87" t="s">
        <v>751</v>
      </c>
      <c r="G225" s="87">
        <v>2558.94</v>
      </c>
      <c r="H225" s="88" t="s">
        <v>752</v>
      </c>
      <c r="I225" s="89">
        <v>48100.72</v>
      </c>
      <c r="J225" s="87">
        <v>9961.2000000000007</v>
      </c>
      <c r="K225" s="87" t="s">
        <v>753</v>
      </c>
      <c r="L225" s="87" t="str">
        <f>IF(4*2558.94=0," ",TEXT(,ROUND((4*2558.94*3.67),2)))</f>
        <v>37565,24</v>
      </c>
      <c r="M225" s="87" t="s">
        <v>754</v>
      </c>
      <c r="N225" s="87" t="s">
        <v>755</v>
      </c>
    </row>
    <row r="226" spans="1:14" ht="79.8" x14ac:dyDescent="0.25">
      <c r="A226" s="85">
        <v>112</v>
      </c>
      <c r="B226" s="86" t="s">
        <v>756</v>
      </c>
      <c r="C226" s="86" t="s">
        <v>757</v>
      </c>
      <c r="D226" s="85">
        <v>-4</v>
      </c>
      <c r="E226" s="87">
        <v>2453.8000000000002</v>
      </c>
      <c r="F226" s="87"/>
      <c r="G226" s="87">
        <v>2453.8000000000002</v>
      </c>
      <c r="H226" s="88" t="s">
        <v>758</v>
      </c>
      <c r="I226" s="89">
        <v>-35354.36</v>
      </c>
      <c r="J226" s="87"/>
      <c r="K226" s="87"/>
      <c r="L226" s="87" t="str">
        <f>IF(-4*2453.8=0," ",TEXT(,ROUND((-4*2453.8*3.602),2)))</f>
        <v>-35354,35</v>
      </c>
      <c r="M226" s="87"/>
      <c r="N226" s="87"/>
    </row>
    <row r="227" spans="1:14" ht="79.8" x14ac:dyDescent="0.25">
      <c r="A227" s="85">
        <v>113</v>
      </c>
      <c r="B227" s="86" t="s">
        <v>759</v>
      </c>
      <c r="C227" s="86" t="s">
        <v>760</v>
      </c>
      <c r="D227" s="85">
        <v>-4</v>
      </c>
      <c r="E227" s="87">
        <v>28</v>
      </c>
      <c r="F227" s="87"/>
      <c r="G227" s="87">
        <v>28</v>
      </c>
      <c r="H227" s="88" t="s">
        <v>761</v>
      </c>
      <c r="I227" s="89">
        <v>-556.52</v>
      </c>
      <c r="J227" s="87"/>
      <c r="K227" s="87"/>
      <c r="L227" s="87" t="str">
        <f>IF(-4*28=0," ",TEXT(,ROUND((-4*28*4.969),2)))</f>
        <v>-556,53</v>
      </c>
      <c r="M227" s="87"/>
      <c r="N227" s="87"/>
    </row>
    <row r="228" spans="1:14" ht="79.8" x14ac:dyDescent="0.25">
      <c r="A228" s="85">
        <v>114</v>
      </c>
      <c r="B228" s="86" t="s">
        <v>762</v>
      </c>
      <c r="C228" s="86" t="s">
        <v>763</v>
      </c>
      <c r="D228" s="85">
        <v>-4</v>
      </c>
      <c r="E228" s="87">
        <v>23</v>
      </c>
      <c r="F228" s="87"/>
      <c r="G228" s="87">
        <v>23</v>
      </c>
      <c r="H228" s="88" t="s">
        <v>764</v>
      </c>
      <c r="I228" s="89">
        <v>-600.84</v>
      </c>
      <c r="J228" s="87"/>
      <c r="K228" s="87"/>
      <c r="L228" s="87" t="str">
        <f>IF(-4*23=0," ",TEXT(,ROUND((-4*23*6.531),2)))</f>
        <v>-600,85</v>
      </c>
      <c r="M228" s="87"/>
      <c r="N228" s="87"/>
    </row>
    <row r="229" spans="1:14" ht="57" x14ac:dyDescent="0.25">
      <c r="A229" s="85">
        <v>115</v>
      </c>
      <c r="B229" s="86" t="s">
        <v>765</v>
      </c>
      <c r="C229" s="86" t="s">
        <v>766</v>
      </c>
      <c r="D229" s="85">
        <v>1</v>
      </c>
      <c r="E229" s="87">
        <v>2338.1799999999998</v>
      </c>
      <c r="F229" s="87"/>
      <c r="G229" s="87">
        <v>2338.1799999999998</v>
      </c>
      <c r="H229" s="88" t="s">
        <v>767</v>
      </c>
      <c r="I229" s="89">
        <v>13311.26</v>
      </c>
      <c r="J229" s="87"/>
      <c r="K229" s="87"/>
      <c r="L229" s="87" t="str">
        <f>IF(1*2338.18=0," ",TEXT(,ROUND((1*2338.18*5.693),2)))</f>
        <v>13311,26</v>
      </c>
      <c r="M229" s="87"/>
      <c r="N229" s="87"/>
    </row>
    <row r="230" spans="1:14" ht="45.6" x14ac:dyDescent="0.25">
      <c r="A230" s="85">
        <v>116</v>
      </c>
      <c r="B230" s="86" t="s">
        <v>768</v>
      </c>
      <c r="C230" s="86" t="s">
        <v>769</v>
      </c>
      <c r="D230" s="85">
        <v>2</v>
      </c>
      <c r="E230" s="87">
        <v>6606.65</v>
      </c>
      <c r="F230" s="87"/>
      <c r="G230" s="87">
        <v>6606.65</v>
      </c>
      <c r="H230" s="88" t="s">
        <v>463</v>
      </c>
      <c r="I230" s="89">
        <v>73730.22</v>
      </c>
      <c r="J230" s="87"/>
      <c r="K230" s="87"/>
      <c r="L230" s="87" t="str">
        <f>IF(2*6606.65=0," ",TEXT(,ROUND((2*6606.65*5.58),2)))</f>
        <v>73730,21</v>
      </c>
      <c r="M230" s="87"/>
      <c r="N230" s="87"/>
    </row>
    <row r="231" spans="1:14" ht="79.8" x14ac:dyDescent="0.25">
      <c r="A231" s="85">
        <v>117</v>
      </c>
      <c r="B231" s="86" t="s">
        <v>770</v>
      </c>
      <c r="C231" s="86" t="s">
        <v>771</v>
      </c>
      <c r="D231" s="85">
        <v>4</v>
      </c>
      <c r="E231" s="87">
        <v>21.47</v>
      </c>
      <c r="F231" s="87"/>
      <c r="G231" s="87">
        <v>21.47</v>
      </c>
      <c r="H231" s="88" t="s">
        <v>772</v>
      </c>
      <c r="I231" s="89">
        <v>516.04</v>
      </c>
      <c r="J231" s="87"/>
      <c r="K231" s="87"/>
      <c r="L231" s="87" t="str">
        <f>IF(4*21.47=0," ",TEXT(,ROUND((4*21.47*6.009),2)))</f>
        <v>516,05</v>
      </c>
      <c r="M231" s="87"/>
      <c r="N231" s="87"/>
    </row>
    <row r="232" spans="1:14" ht="102.6" x14ac:dyDescent="0.25">
      <c r="A232" s="85">
        <v>118</v>
      </c>
      <c r="B232" s="86" t="s">
        <v>461</v>
      </c>
      <c r="C232" s="86" t="s">
        <v>773</v>
      </c>
      <c r="D232" s="85">
        <v>1</v>
      </c>
      <c r="E232" s="87">
        <v>568.62</v>
      </c>
      <c r="F232" s="87"/>
      <c r="G232" s="87">
        <v>568.62</v>
      </c>
      <c r="H232" s="88" t="s">
        <v>463</v>
      </c>
      <c r="I232" s="89">
        <v>3172.9</v>
      </c>
      <c r="J232" s="87"/>
      <c r="K232" s="87"/>
      <c r="L232" s="87" t="str">
        <f>IF(1*568.62=0," ",TEXT(,ROUND((1*568.62*5.58),2)))</f>
        <v>3172,9</v>
      </c>
      <c r="M232" s="87"/>
      <c r="N232" s="87"/>
    </row>
    <row r="233" spans="1:14" ht="68.400000000000006" x14ac:dyDescent="0.25">
      <c r="A233" s="85">
        <v>119</v>
      </c>
      <c r="B233" s="86" t="s">
        <v>363</v>
      </c>
      <c r="C233" s="86" t="s">
        <v>774</v>
      </c>
      <c r="D233" s="85">
        <v>3</v>
      </c>
      <c r="E233" s="87" t="s">
        <v>775</v>
      </c>
      <c r="F233" s="87"/>
      <c r="G233" s="87">
        <v>1.31</v>
      </c>
      <c r="H233" s="88" t="s">
        <v>366</v>
      </c>
      <c r="I233" s="89">
        <v>522.24</v>
      </c>
      <c r="J233" s="87">
        <v>504.36</v>
      </c>
      <c r="K233" s="87"/>
      <c r="L233" s="87" t="str">
        <f>IF(3*1.31=0," ",TEXT(,ROUND((3*1.31*4.55),2)))</f>
        <v>17,88</v>
      </c>
      <c r="M233" s="87">
        <v>1.03</v>
      </c>
      <c r="N233" s="87">
        <v>3.09</v>
      </c>
    </row>
    <row r="234" spans="1:14" ht="68.400000000000006" x14ac:dyDescent="0.25">
      <c r="A234" s="85">
        <v>120</v>
      </c>
      <c r="B234" s="86" t="s">
        <v>776</v>
      </c>
      <c r="C234" s="86" t="s">
        <v>777</v>
      </c>
      <c r="D234" s="85">
        <v>3</v>
      </c>
      <c r="E234" s="87">
        <v>1006.9</v>
      </c>
      <c r="F234" s="87"/>
      <c r="G234" s="87"/>
      <c r="H234" s="88" t="s">
        <v>486</v>
      </c>
      <c r="I234" s="89">
        <v>11569.29</v>
      </c>
      <c r="J234" s="87"/>
      <c r="K234" s="87"/>
      <c r="L234" s="87" t="str">
        <f>IF(3*0=0," ",TEXT(,ROUND((3*0*3.83),2)))</f>
        <v xml:space="preserve"> </v>
      </c>
      <c r="M234" s="87"/>
      <c r="N234" s="87"/>
    </row>
    <row r="235" spans="1:14" ht="148.19999999999999" x14ac:dyDescent="0.25">
      <c r="A235" s="85">
        <v>121</v>
      </c>
      <c r="B235" s="86" t="s">
        <v>778</v>
      </c>
      <c r="C235" s="86" t="s">
        <v>779</v>
      </c>
      <c r="D235" s="85">
        <v>1</v>
      </c>
      <c r="E235" s="87" t="s">
        <v>780</v>
      </c>
      <c r="F235" s="87" t="s">
        <v>781</v>
      </c>
      <c r="G235" s="87">
        <v>16947.71</v>
      </c>
      <c r="H235" s="88" t="s">
        <v>782</v>
      </c>
      <c r="I235" s="89">
        <v>43362.38</v>
      </c>
      <c r="J235" s="87">
        <v>2498.62</v>
      </c>
      <c r="K235" s="87" t="s">
        <v>783</v>
      </c>
      <c r="L235" s="87" t="str">
        <f>IF(1*16947.71=0," ",TEXT(,ROUND((1*16947.71*2.35),2)))</f>
        <v>39827,12</v>
      </c>
      <c r="M235" s="87" t="s">
        <v>784</v>
      </c>
      <c r="N235" s="87" t="s">
        <v>784</v>
      </c>
    </row>
    <row r="236" spans="1:14" ht="68.400000000000006" x14ac:dyDescent="0.25">
      <c r="A236" s="85">
        <v>122</v>
      </c>
      <c r="B236" s="86" t="s">
        <v>785</v>
      </c>
      <c r="C236" s="86" t="s">
        <v>786</v>
      </c>
      <c r="D236" s="85">
        <v>-1</v>
      </c>
      <c r="E236" s="87">
        <v>16518</v>
      </c>
      <c r="F236" s="87"/>
      <c r="G236" s="87"/>
      <c r="H236" s="88" t="s">
        <v>787</v>
      </c>
      <c r="I236" s="89">
        <v>-31086.880000000001</v>
      </c>
      <c r="J236" s="87"/>
      <c r="K236" s="87"/>
      <c r="L236" s="87" t="str">
        <f>IF(-1*0=0," ",TEXT(,ROUND((-1*0*1.882),2)))</f>
        <v xml:space="preserve"> </v>
      </c>
      <c r="M236" s="87"/>
      <c r="N236" s="87"/>
    </row>
    <row r="237" spans="1:14" ht="79.8" x14ac:dyDescent="0.25">
      <c r="A237" s="85">
        <v>123</v>
      </c>
      <c r="B237" s="86" t="s">
        <v>788</v>
      </c>
      <c r="C237" s="86" t="s">
        <v>789</v>
      </c>
      <c r="D237" s="85">
        <v>-1</v>
      </c>
      <c r="E237" s="87">
        <v>45</v>
      </c>
      <c r="F237" s="87"/>
      <c r="G237" s="87">
        <v>45</v>
      </c>
      <c r="H237" s="88" t="s">
        <v>790</v>
      </c>
      <c r="I237" s="89">
        <v>-252.27</v>
      </c>
      <c r="J237" s="87"/>
      <c r="K237" s="87"/>
      <c r="L237" s="87" t="str">
        <f>IF(-1*45=0," ",TEXT(,ROUND((-1*45*5.606),2)))</f>
        <v>-252,27</v>
      </c>
      <c r="M237" s="87"/>
      <c r="N237" s="87"/>
    </row>
    <row r="238" spans="1:14" ht="79.8" x14ac:dyDescent="0.25">
      <c r="A238" s="85">
        <v>124</v>
      </c>
      <c r="B238" s="86" t="s">
        <v>791</v>
      </c>
      <c r="C238" s="86" t="s">
        <v>792</v>
      </c>
      <c r="D238" s="85">
        <v>-1</v>
      </c>
      <c r="E238" s="87">
        <v>61</v>
      </c>
      <c r="F238" s="87"/>
      <c r="G238" s="87">
        <v>61</v>
      </c>
      <c r="H238" s="88" t="s">
        <v>793</v>
      </c>
      <c r="I238" s="89">
        <v>-454.21</v>
      </c>
      <c r="J238" s="87"/>
      <c r="K238" s="87"/>
      <c r="L238" s="87" t="str">
        <f>IF(-1*61=0," ",TEXT(,ROUND((-1*61*7.446),2)))</f>
        <v>-454,21</v>
      </c>
      <c r="M238" s="87"/>
      <c r="N238" s="87"/>
    </row>
    <row r="239" spans="1:14" ht="79.8" x14ac:dyDescent="0.25">
      <c r="A239" s="85">
        <v>125</v>
      </c>
      <c r="B239" s="86" t="s">
        <v>794</v>
      </c>
      <c r="C239" s="86" t="s">
        <v>795</v>
      </c>
      <c r="D239" s="85">
        <v>-2</v>
      </c>
      <c r="E239" s="87">
        <v>75</v>
      </c>
      <c r="F239" s="87"/>
      <c r="G239" s="87">
        <v>75</v>
      </c>
      <c r="H239" s="88" t="s">
        <v>796</v>
      </c>
      <c r="I239" s="89">
        <v>-1179.1600000000001</v>
      </c>
      <c r="J239" s="87"/>
      <c r="K239" s="87"/>
      <c r="L239" s="87" t="str">
        <f>IF(-2*75=0," ",TEXT(,ROUND((-2*75*7.861),2)))</f>
        <v>-1179,15</v>
      </c>
      <c r="M239" s="87"/>
      <c r="N239" s="87"/>
    </row>
    <row r="240" spans="1:14" ht="68.400000000000006" x14ac:dyDescent="0.25">
      <c r="A240" s="90">
        <v>126</v>
      </c>
      <c r="B240" s="91" t="s">
        <v>797</v>
      </c>
      <c r="C240" s="91" t="s">
        <v>798</v>
      </c>
      <c r="D240" s="90">
        <v>1</v>
      </c>
      <c r="E240" s="92">
        <v>43110.5</v>
      </c>
      <c r="F240" s="92"/>
      <c r="G240" s="92"/>
      <c r="H240" s="93" t="s">
        <v>486</v>
      </c>
      <c r="I240" s="94">
        <v>165113.22</v>
      </c>
      <c r="J240" s="92"/>
      <c r="K240" s="92"/>
      <c r="L240" s="92" t="str">
        <f>IF(1*0=0," ",TEXT(,ROUND((1*0*3.83),2)))</f>
        <v xml:space="preserve"> </v>
      </c>
      <c r="M240" s="92"/>
      <c r="N240" s="92"/>
    </row>
    <row r="241" spans="1:14" ht="22.8" x14ac:dyDescent="0.25">
      <c r="A241" s="119" t="s">
        <v>367</v>
      </c>
      <c r="B241" s="120"/>
      <c r="C241" s="120"/>
      <c r="D241" s="120"/>
      <c r="E241" s="120"/>
      <c r="F241" s="120"/>
      <c r="G241" s="120"/>
      <c r="H241" s="120"/>
      <c r="I241" s="89">
        <v>404864.14</v>
      </c>
      <c r="J241" s="87">
        <v>23554.49</v>
      </c>
      <c r="K241" s="87" t="s">
        <v>799</v>
      </c>
      <c r="L241" s="87">
        <v>227653.07</v>
      </c>
      <c r="M241" s="87"/>
      <c r="N241" s="87" t="s">
        <v>800</v>
      </c>
    </row>
    <row r="242" spans="1:14" x14ac:dyDescent="0.25">
      <c r="A242" s="119" t="s">
        <v>370</v>
      </c>
      <c r="B242" s="120"/>
      <c r="C242" s="120"/>
      <c r="D242" s="120"/>
      <c r="E242" s="120"/>
      <c r="F242" s="120"/>
      <c r="G242" s="120"/>
      <c r="H242" s="120"/>
      <c r="I242" s="89">
        <v>22694.880000000001</v>
      </c>
      <c r="J242" s="87"/>
      <c r="K242" s="87"/>
      <c r="L242" s="87"/>
      <c r="M242" s="87"/>
      <c r="N242" s="87"/>
    </row>
    <row r="243" spans="1:14" x14ac:dyDescent="0.25">
      <c r="A243" s="119" t="s">
        <v>371</v>
      </c>
      <c r="B243" s="120"/>
      <c r="C243" s="120"/>
      <c r="D243" s="120"/>
      <c r="E243" s="120"/>
      <c r="F243" s="120"/>
      <c r="G243" s="120"/>
      <c r="H243" s="120"/>
      <c r="I243" s="89"/>
      <c r="J243" s="87"/>
      <c r="K243" s="87"/>
      <c r="L243" s="87"/>
      <c r="M243" s="87"/>
      <c r="N243" s="87"/>
    </row>
    <row r="244" spans="1:14" x14ac:dyDescent="0.25">
      <c r="A244" s="119" t="s">
        <v>801</v>
      </c>
      <c r="B244" s="120"/>
      <c r="C244" s="120"/>
      <c r="D244" s="120"/>
      <c r="E244" s="120"/>
      <c r="F244" s="120"/>
      <c r="G244" s="120"/>
      <c r="H244" s="120"/>
      <c r="I244" s="89">
        <v>976.36</v>
      </c>
      <c r="J244" s="87"/>
      <c r="K244" s="87"/>
      <c r="L244" s="87"/>
      <c r="M244" s="87"/>
      <c r="N244" s="87"/>
    </row>
    <row r="245" spans="1:14" x14ac:dyDescent="0.25">
      <c r="A245" s="119" t="s">
        <v>802</v>
      </c>
      <c r="B245" s="120"/>
      <c r="C245" s="120"/>
      <c r="D245" s="120"/>
      <c r="E245" s="120"/>
      <c r="F245" s="120"/>
      <c r="G245" s="120"/>
      <c r="H245" s="120"/>
      <c r="I245" s="89">
        <v>479.68</v>
      </c>
      <c r="J245" s="87"/>
      <c r="K245" s="87"/>
      <c r="L245" s="87"/>
      <c r="M245" s="87"/>
      <c r="N245" s="87"/>
    </row>
    <row r="246" spans="1:14" x14ac:dyDescent="0.25">
      <c r="A246" s="119" t="s">
        <v>803</v>
      </c>
      <c r="B246" s="120"/>
      <c r="C246" s="120"/>
      <c r="D246" s="120"/>
      <c r="E246" s="120"/>
      <c r="F246" s="120"/>
      <c r="G246" s="120"/>
      <c r="H246" s="120"/>
      <c r="I246" s="89">
        <v>21238.84</v>
      </c>
      <c r="J246" s="87"/>
      <c r="K246" s="87"/>
      <c r="L246" s="87"/>
      <c r="M246" s="87"/>
      <c r="N246" s="87"/>
    </row>
    <row r="247" spans="1:14" x14ac:dyDescent="0.25">
      <c r="A247" s="119" t="s">
        <v>375</v>
      </c>
      <c r="B247" s="120"/>
      <c r="C247" s="120"/>
      <c r="D247" s="120"/>
      <c r="E247" s="120"/>
      <c r="F247" s="120"/>
      <c r="G247" s="120"/>
      <c r="H247" s="120"/>
      <c r="I247" s="89">
        <v>13133.61</v>
      </c>
      <c r="J247" s="87"/>
      <c r="K247" s="87"/>
      <c r="L247" s="87"/>
      <c r="M247" s="87"/>
      <c r="N247" s="87"/>
    </row>
    <row r="248" spans="1:14" x14ac:dyDescent="0.25">
      <c r="A248" s="119" t="s">
        <v>371</v>
      </c>
      <c r="B248" s="120"/>
      <c r="C248" s="120"/>
      <c r="D248" s="120"/>
      <c r="E248" s="120"/>
      <c r="F248" s="120"/>
      <c r="G248" s="120"/>
      <c r="H248" s="120"/>
      <c r="I248" s="89"/>
      <c r="J248" s="87"/>
      <c r="K248" s="87"/>
      <c r="L248" s="87"/>
      <c r="M248" s="87"/>
      <c r="N248" s="87"/>
    </row>
    <row r="249" spans="1:14" x14ac:dyDescent="0.25">
      <c r="A249" s="119" t="s">
        <v>804</v>
      </c>
      <c r="B249" s="120"/>
      <c r="C249" s="120"/>
      <c r="D249" s="120"/>
      <c r="E249" s="120"/>
      <c r="F249" s="120"/>
      <c r="G249" s="120"/>
      <c r="H249" s="120"/>
      <c r="I249" s="89">
        <v>689.19</v>
      </c>
      <c r="J249" s="87"/>
      <c r="K249" s="87"/>
      <c r="L249" s="87"/>
      <c r="M249" s="87"/>
      <c r="N249" s="87"/>
    </row>
    <row r="250" spans="1:14" x14ac:dyDescent="0.25">
      <c r="A250" s="119" t="s">
        <v>805</v>
      </c>
      <c r="B250" s="120"/>
      <c r="C250" s="120"/>
      <c r="D250" s="120"/>
      <c r="E250" s="120"/>
      <c r="F250" s="120"/>
      <c r="G250" s="120"/>
      <c r="H250" s="120"/>
      <c r="I250" s="89">
        <v>307.94</v>
      </c>
      <c r="J250" s="87"/>
      <c r="K250" s="87"/>
      <c r="L250" s="87"/>
      <c r="M250" s="87"/>
      <c r="N250" s="87"/>
    </row>
    <row r="251" spans="1:14" x14ac:dyDescent="0.25">
      <c r="A251" s="119" t="s">
        <v>806</v>
      </c>
      <c r="B251" s="120"/>
      <c r="C251" s="120"/>
      <c r="D251" s="120"/>
      <c r="E251" s="120"/>
      <c r="F251" s="120"/>
      <c r="G251" s="120"/>
      <c r="H251" s="120"/>
      <c r="I251" s="89">
        <v>12136.48</v>
      </c>
      <c r="J251" s="87"/>
      <c r="K251" s="87"/>
      <c r="L251" s="87"/>
      <c r="M251" s="87"/>
      <c r="N251" s="87"/>
    </row>
    <row r="252" spans="1:14" x14ac:dyDescent="0.25">
      <c r="A252" s="140" t="s">
        <v>807</v>
      </c>
      <c r="B252" s="114"/>
      <c r="C252" s="114"/>
      <c r="D252" s="114"/>
      <c r="E252" s="114"/>
      <c r="F252" s="114"/>
      <c r="G252" s="114"/>
      <c r="H252" s="114"/>
      <c r="I252" s="89"/>
      <c r="J252" s="87"/>
      <c r="K252" s="87"/>
      <c r="L252" s="87"/>
      <c r="M252" s="87"/>
      <c r="N252" s="87"/>
    </row>
    <row r="253" spans="1:14" ht="22.8" x14ac:dyDescent="0.25">
      <c r="A253" s="119" t="s">
        <v>380</v>
      </c>
      <c r="B253" s="120"/>
      <c r="C253" s="120"/>
      <c r="D253" s="120"/>
      <c r="E253" s="120"/>
      <c r="F253" s="120"/>
      <c r="G253" s="120"/>
      <c r="H253" s="120"/>
      <c r="I253" s="89">
        <v>282859.99</v>
      </c>
      <c r="J253" s="87"/>
      <c r="K253" s="87"/>
      <c r="L253" s="87"/>
      <c r="M253" s="87"/>
      <c r="N253" s="87" t="s">
        <v>808</v>
      </c>
    </row>
    <row r="254" spans="1:14" x14ac:dyDescent="0.25">
      <c r="A254" s="119" t="s">
        <v>382</v>
      </c>
      <c r="B254" s="120"/>
      <c r="C254" s="120"/>
      <c r="D254" s="120"/>
      <c r="E254" s="120"/>
      <c r="F254" s="120"/>
      <c r="G254" s="120"/>
      <c r="H254" s="120"/>
      <c r="I254" s="89">
        <v>7787.41</v>
      </c>
      <c r="J254" s="87"/>
      <c r="K254" s="87"/>
      <c r="L254" s="87"/>
      <c r="M254" s="87"/>
      <c r="N254" s="87">
        <v>12.61</v>
      </c>
    </row>
    <row r="255" spans="1:14" x14ac:dyDescent="0.25">
      <c r="A255" s="119" t="s">
        <v>529</v>
      </c>
      <c r="B255" s="120"/>
      <c r="C255" s="120"/>
      <c r="D255" s="120"/>
      <c r="E255" s="120"/>
      <c r="F255" s="120"/>
      <c r="G255" s="120"/>
      <c r="H255" s="120"/>
      <c r="I255" s="89">
        <v>150045.23000000001</v>
      </c>
      <c r="J255" s="87"/>
      <c r="K255" s="87"/>
      <c r="L255" s="87"/>
      <c r="M255" s="87"/>
      <c r="N255" s="87"/>
    </row>
    <row r="256" spans="1:14" ht="22.8" x14ac:dyDescent="0.25">
      <c r="A256" s="119" t="s">
        <v>383</v>
      </c>
      <c r="B256" s="120"/>
      <c r="C256" s="120"/>
      <c r="D256" s="120"/>
      <c r="E256" s="120"/>
      <c r="F256" s="120"/>
      <c r="G256" s="120"/>
      <c r="H256" s="120"/>
      <c r="I256" s="89">
        <v>440692.63</v>
      </c>
      <c r="J256" s="87"/>
      <c r="K256" s="87"/>
      <c r="L256" s="87"/>
      <c r="M256" s="87"/>
      <c r="N256" s="87" t="s">
        <v>800</v>
      </c>
    </row>
    <row r="257" spans="1:14" x14ac:dyDescent="0.25">
      <c r="A257" s="119" t="s">
        <v>384</v>
      </c>
      <c r="B257" s="120"/>
      <c r="C257" s="120"/>
      <c r="D257" s="120"/>
      <c r="E257" s="120"/>
      <c r="F257" s="120"/>
      <c r="G257" s="120"/>
      <c r="H257" s="120"/>
      <c r="I257" s="89"/>
      <c r="J257" s="87"/>
      <c r="K257" s="87"/>
      <c r="L257" s="87"/>
      <c r="M257" s="87"/>
      <c r="N257" s="87"/>
    </row>
    <row r="258" spans="1:14" x14ac:dyDescent="0.25">
      <c r="A258" s="119" t="s">
        <v>385</v>
      </c>
      <c r="B258" s="120"/>
      <c r="C258" s="120"/>
      <c r="D258" s="120"/>
      <c r="E258" s="120"/>
      <c r="F258" s="120"/>
      <c r="G258" s="120"/>
      <c r="H258" s="120"/>
      <c r="I258" s="89">
        <v>227653.07</v>
      </c>
      <c r="J258" s="87"/>
      <c r="K258" s="87"/>
      <c r="L258" s="87"/>
      <c r="M258" s="87"/>
      <c r="N258" s="87"/>
    </row>
    <row r="259" spans="1:14" x14ac:dyDescent="0.25">
      <c r="A259" s="119" t="s">
        <v>386</v>
      </c>
      <c r="B259" s="120"/>
      <c r="C259" s="120"/>
      <c r="D259" s="120"/>
      <c r="E259" s="120"/>
      <c r="F259" s="120"/>
      <c r="G259" s="120"/>
      <c r="H259" s="120"/>
      <c r="I259" s="89">
        <v>3611.35</v>
      </c>
      <c r="J259" s="87"/>
      <c r="K259" s="87"/>
      <c r="L259" s="87"/>
      <c r="M259" s="87"/>
      <c r="N259" s="87"/>
    </row>
    <row r="260" spans="1:14" x14ac:dyDescent="0.25">
      <c r="A260" s="119" t="s">
        <v>387</v>
      </c>
      <c r="B260" s="120"/>
      <c r="C260" s="120"/>
      <c r="D260" s="120"/>
      <c r="E260" s="120"/>
      <c r="F260" s="120"/>
      <c r="G260" s="120"/>
      <c r="H260" s="120"/>
      <c r="I260" s="89">
        <v>23700.31</v>
      </c>
      <c r="J260" s="87"/>
      <c r="K260" s="87"/>
      <c r="L260" s="87"/>
      <c r="M260" s="87"/>
      <c r="N260" s="87"/>
    </row>
    <row r="261" spans="1:14" x14ac:dyDescent="0.25">
      <c r="A261" s="119" t="s">
        <v>530</v>
      </c>
      <c r="B261" s="120"/>
      <c r="C261" s="120"/>
      <c r="D261" s="120"/>
      <c r="E261" s="120"/>
      <c r="F261" s="120"/>
      <c r="G261" s="120"/>
      <c r="H261" s="120"/>
      <c r="I261" s="89">
        <v>150045.23000000001</v>
      </c>
      <c r="J261" s="87"/>
      <c r="K261" s="87"/>
      <c r="L261" s="87"/>
      <c r="M261" s="87"/>
      <c r="N261" s="87"/>
    </row>
    <row r="262" spans="1:14" x14ac:dyDescent="0.25">
      <c r="A262" s="119" t="s">
        <v>388</v>
      </c>
      <c r="B262" s="120"/>
      <c r="C262" s="120"/>
      <c r="D262" s="120"/>
      <c r="E262" s="120"/>
      <c r="F262" s="120"/>
      <c r="G262" s="120"/>
      <c r="H262" s="120"/>
      <c r="I262" s="89">
        <v>22694.880000000001</v>
      </c>
      <c r="J262" s="87"/>
      <c r="K262" s="87"/>
      <c r="L262" s="87"/>
      <c r="M262" s="87"/>
      <c r="N262" s="87"/>
    </row>
    <row r="263" spans="1:14" x14ac:dyDescent="0.25">
      <c r="A263" s="119" t="s">
        <v>389</v>
      </c>
      <c r="B263" s="120"/>
      <c r="C263" s="120"/>
      <c r="D263" s="120"/>
      <c r="E263" s="120"/>
      <c r="F263" s="120"/>
      <c r="G263" s="120"/>
      <c r="H263" s="120"/>
      <c r="I263" s="89">
        <v>13133.61</v>
      </c>
      <c r="J263" s="87"/>
      <c r="K263" s="87"/>
      <c r="L263" s="87"/>
      <c r="M263" s="87"/>
      <c r="N263" s="87"/>
    </row>
    <row r="264" spans="1:14" ht="22.8" x14ac:dyDescent="0.25">
      <c r="A264" s="141" t="s">
        <v>809</v>
      </c>
      <c r="B264" s="142"/>
      <c r="C264" s="142"/>
      <c r="D264" s="142"/>
      <c r="E264" s="142"/>
      <c r="F264" s="142"/>
      <c r="G264" s="142"/>
      <c r="H264" s="142"/>
      <c r="I264" s="94">
        <v>440692.63</v>
      </c>
      <c r="J264" s="92"/>
      <c r="K264" s="92"/>
      <c r="L264" s="92"/>
      <c r="M264" s="92"/>
      <c r="N264" s="92" t="s">
        <v>800</v>
      </c>
    </row>
    <row r="265" spans="1:14" ht="17.850000000000001" customHeight="1" x14ac:dyDescent="0.25">
      <c r="A265" s="113" t="s">
        <v>810</v>
      </c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</row>
    <row r="266" spans="1:14" ht="68.400000000000006" x14ac:dyDescent="0.25">
      <c r="A266" s="85">
        <v>127</v>
      </c>
      <c r="B266" s="86" t="s">
        <v>811</v>
      </c>
      <c r="C266" s="86" t="s">
        <v>812</v>
      </c>
      <c r="D266" s="85">
        <v>1</v>
      </c>
      <c r="E266" s="87" t="s">
        <v>813</v>
      </c>
      <c r="F266" s="87"/>
      <c r="G266" s="87">
        <v>1.0900000000000001</v>
      </c>
      <c r="H266" s="88" t="s">
        <v>814</v>
      </c>
      <c r="I266" s="89">
        <v>88.04</v>
      </c>
      <c r="J266" s="87">
        <v>84.88</v>
      </c>
      <c r="K266" s="87"/>
      <c r="L266" s="87" t="str">
        <f>IF(1*1.09=0," ",TEXT(,ROUND((1*1.09*2.9),2)))</f>
        <v>3,16</v>
      </c>
      <c r="M266" s="87">
        <v>0.52</v>
      </c>
      <c r="N266" s="87">
        <v>0.52</v>
      </c>
    </row>
    <row r="267" spans="1:14" ht="57" x14ac:dyDescent="0.25">
      <c r="A267" s="85">
        <v>128</v>
      </c>
      <c r="B267" s="86" t="s">
        <v>815</v>
      </c>
      <c r="C267" s="86" t="s">
        <v>816</v>
      </c>
      <c r="D267" s="85">
        <v>1</v>
      </c>
      <c r="E267" s="87">
        <v>2676.24</v>
      </c>
      <c r="F267" s="87"/>
      <c r="G267" s="87"/>
      <c r="H267" s="88" t="s">
        <v>486</v>
      </c>
      <c r="I267" s="89">
        <v>10250</v>
      </c>
      <c r="J267" s="87"/>
      <c r="K267" s="87"/>
      <c r="L267" s="87" t="str">
        <f>IF(1*0=0," ",TEXT(,ROUND((1*0*3.83),2)))</f>
        <v xml:space="preserve"> </v>
      </c>
      <c r="M267" s="87"/>
      <c r="N267" s="87"/>
    </row>
    <row r="268" spans="1:14" ht="68.400000000000006" x14ac:dyDescent="0.25">
      <c r="A268" s="85">
        <v>129</v>
      </c>
      <c r="B268" s="86" t="s">
        <v>811</v>
      </c>
      <c r="C268" s="86" t="s">
        <v>812</v>
      </c>
      <c r="D268" s="85">
        <v>5</v>
      </c>
      <c r="E268" s="87" t="s">
        <v>813</v>
      </c>
      <c r="F268" s="87"/>
      <c r="G268" s="87">
        <v>1.0900000000000001</v>
      </c>
      <c r="H268" s="88" t="s">
        <v>814</v>
      </c>
      <c r="I268" s="89">
        <v>440.2</v>
      </c>
      <c r="J268" s="87">
        <v>424.4</v>
      </c>
      <c r="K268" s="87"/>
      <c r="L268" s="87" t="str">
        <f>IF(5*1.09=0," ",TEXT(,ROUND((5*1.09*2.9),2)))</f>
        <v>15,81</v>
      </c>
      <c r="M268" s="87">
        <v>0.52</v>
      </c>
      <c r="N268" s="87">
        <v>2.6</v>
      </c>
    </row>
    <row r="269" spans="1:14" ht="57" x14ac:dyDescent="0.25">
      <c r="A269" s="85">
        <v>130</v>
      </c>
      <c r="B269" s="86" t="s">
        <v>815</v>
      </c>
      <c r="C269" s="86" t="s">
        <v>817</v>
      </c>
      <c r="D269" s="85">
        <v>1</v>
      </c>
      <c r="E269" s="87">
        <v>144.13</v>
      </c>
      <c r="F269" s="87"/>
      <c r="G269" s="87"/>
      <c r="H269" s="88" t="s">
        <v>486</v>
      </c>
      <c r="I269" s="89">
        <v>552.02</v>
      </c>
      <c r="J269" s="87"/>
      <c r="K269" s="87"/>
      <c r="L269" s="87" t="str">
        <f>IF(1*0=0," ",TEXT(,ROUND((1*0*3.83),2)))</f>
        <v xml:space="preserve"> </v>
      </c>
      <c r="M269" s="87"/>
      <c r="N269" s="87"/>
    </row>
    <row r="270" spans="1:14" ht="57" x14ac:dyDescent="0.25">
      <c r="A270" s="85">
        <v>131</v>
      </c>
      <c r="B270" s="86" t="s">
        <v>815</v>
      </c>
      <c r="C270" s="86" t="s">
        <v>818</v>
      </c>
      <c r="D270" s="85">
        <v>3</v>
      </c>
      <c r="E270" s="87">
        <v>169.71</v>
      </c>
      <c r="F270" s="87"/>
      <c r="G270" s="87"/>
      <c r="H270" s="88" t="s">
        <v>486</v>
      </c>
      <c r="I270" s="89">
        <v>1949.97</v>
      </c>
      <c r="J270" s="87"/>
      <c r="K270" s="87"/>
      <c r="L270" s="87" t="str">
        <f>IF(3*0=0," ",TEXT(,ROUND((3*0*3.83),2)))</f>
        <v xml:space="preserve"> </v>
      </c>
      <c r="M270" s="87"/>
      <c r="N270" s="87"/>
    </row>
    <row r="271" spans="1:14" ht="57" x14ac:dyDescent="0.25">
      <c r="A271" s="85">
        <v>132</v>
      </c>
      <c r="B271" s="86" t="s">
        <v>815</v>
      </c>
      <c r="C271" s="86" t="s">
        <v>819</v>
      </c>
      <c r="D271" s="85">
        <v>1</v>
      </c>
      <c r="E271" s="87">
        <v>200.52</v>
      </c>
      <c r="F271" s="87"/>
      <c r="G271" s="87"/>
      <c r="H271" s="88" t="s">
        <v>486</v>
      </c>
      <c r="I271" s="89">
        <v>767.99</v>
      </c>
      <c r="J271" s="87"/>
      <c r="K271" s="87"/>
      <c r="L271" s="87" t="str">
        <f>IF(1*0=0," ",TEXT(,ROUND((1*0*3.83),2)))</f>
        <v xml:space="preserve"> </v>
      </c>
      <c r="M271" s="87"/>
      <c r="N271" s="87"/>
    </row>
    <row r="272" spans="1:14" ht="45.6" x14ac:dyDescent="0.25">
      <c r="A272" s="85">
        <v>133</v>
      </c>
      <c r="B272" s="86" t="s">
        <v>815</v>
      </c>
      <c r="C272" s="86" t="s">
        <v>820</v>
      </c>
      <c r="D272" s="85">
        <v>3</v>
      </c>
      <c r="E272" s="87">
        <v>105.38</v>
      </c>
      <c r="F272" s="87"/>
      <c r="G272" s="87">
        <v>105.38</v>
      </c>
      <c r="H272" s="88" t="s">
        <v>463</v>
      </c>
      <c r="I272" s="89">
        <v>1764.06</v>
      </c>
      <c r="J272" s="87"/>
      <c r="K272" s="87"/>
      <c r="L272" s="87" t="str">
        <f>IF(3*105.38=0," ",TEXT(,ROUND((3*105.38*5.58),2)))</f>
        <v>1764,06</v>
      </c>
      <c r="M272" s="87"/>
      <c r="N272" s="87"/>
    </row>
    <row r="273" spans="1:14" ht="45.6" x14ac:dyDescent="0.25">
      <c r="A273" s="85">
        <v>134</v>
      </c>
      <c r="B273" s="86" t="s">
        <v>815</v>
      </c>
      <c r="C273" s="86" t="s">
        <v>821</v>
      </c>
      <c r="D273" s="85">
        <v>1</v>
      </c>
      <c r="E273" s="87">
        <v>109.32</v>
      </c>
      <c r="F273" s="87"/>
      <c r="G273" s="87">
        <v>109.32</v>
      </c>
      <c r="H273" s="88" t="s">
        <v>463</v>
      </c>
      <c r="I273" s="89">
        <v>610.01</v>
      </c>
      <c r="J273" s="87"/>
      <c r="K273" s="87"/>
      <c r="L273" s="87" t="str">
        <f>IF(1*109.32=0," ",TEXT(,ROUND((1*109.32*5.58),2)))</f>
        <v>610,01</v>
      </c>
      <c r="M273" s="87"/>
      <c r="N273" s="87"/>
    </row>
    <row r="274" spans="1:14" ht="68.400000000000006" x14ac:dyDescent="0.25">
      <c r="A274" s="85">
        <v>135</v>
      </c>
      <c r="B274" s="86" t="s">
        <v>701</v>
      </c>
      <c r="C274" s="86" t="s">
        <v>822</v>
      </c>
      <c r="D274" s="85">
        <v>0.04</v>
      </c>
      <c r="E274" s="87" t="s">
        <v>703</v>
      </c>
      <c r="F274" s="87">
        <v>444.35</v>
      </c>
      <c r="G274" s="87">
        <v>1910.96</v>
      </c>
      <c r="H274" s="88" t="s">
        <v>704</v>
      </c>
      <c r="I274" s="89">
        <v>1605.11</v>
      </c>
      <c r="J274" s="87">
        <v>413.98</v>
      </c>
      <c r="K274" s="87">
        <v>106.47</v>
      </c>
      <c r="L274" s="87" t="str">
        <f>IF(0.04*1910.96=0," ",TEXT(,ROUND((0.04*1910.96*14.19),2)))</f>
        <v>1084,66</v>
      </c>
      <c r="M274" s="87">
        <v>65.400000000000006</v>
      </c>
      <c r="N274" s="87">
        <v>2.62</v>
      </c>
    </row>
    <row r="275" spans="1:14" ht="57" x14ac:dyDescent="0.25">
      <c r="A275" s="85">
        <v>136</v>
      </c>
      <c r="B275" s="86" t="s">
        <v>823</v>
      </c>
      <c r="C275" s="86" t="s">
        <v>824</v>
      </c>
      <c r="D275" s="85">
        <v>-4</v>
      </c>
      <c r="E275" s="87">
        <v>9.4</v>
      </c>
      <c r="F275" s="87"/>
      <c r="G275" s="87">
        <v>9.4</v>
      </c>
      <c r="H275" s="88" t="s">
        <v>825</v>
      </c>
      <c r="I275" s="89">
        <v>-415.84</v>
      </c>
      <c r="J275" s="87"/>
      <c r="K275" s="87"/>
      <c r="L275" s="87" t="str">
        <f>IF(-4*9.4=0," ",TEXT(,ROUND((-4*9.4*11.06),2)))</f>
        <v>-415,86</v>
      </c>
      <c r="M275" s="87"/>
      <c r="N275" s="87"/>
    </row>
    <row r="276" spans="1:14" ht="45.6" x14ac:dyDescent="0.25">
      <c r="A276" s="85">
        <v>137</v>
      </c>
      <c r="B276" s="86" t="s">
        <v>815</v>
      </c>
      <c r="C276" s="86" t="s">
        <v>826</v>
      </c>
      <c r="D276" s="85">
        <v>4</v>
      </c>
      <c r="E276" s="87">
        <v>39.43</v>
      </c>
      <c r="F276" s="87"/>
      <c r="G276" s="87">
        <v>39.43</v>
      </c>
      <c r="H276" s="88" t="s">
        <v>463</v>
      </c>
      <c r="I276" s="89">
        <v>880.08</v>
      </c>
      <c r="J276" s="87"/>
      <c r="K276" s="87"/>
      <c r="L276" s="87" t="str">
        <f>IF(4*39.43=0," ",TEXT(,ROUND((4*39.43*5.58),2)))</f>
        <v>880,08</v>
      </c>
      <c r="M276" s="87"/>
      <c r="N276" s="87"/>
    </row>
    <row r="277" spans="1:14" ht="91.2" x14ac:dyDescent="0.25">
      <c r="A277" s="85">
        <v>138</v>
      </c>
      <c r="B277" s="86" t="s">
        <v>827</v>
      </c>
      <c r="C277" s="86" t="s">
        <v>828</v>
      </c>
      <c r="D277" s="85">
        <v>2</v>
      </c>
      <c r="E277" s="87" t="s">
        <v>829</v>
      </c>
      <c r="F277" s="87">
        <v>1.74</v>
      </c>
      <c r="G277" s="87">
        <v>2.5299999999999998</v>
      </c>
      <c r="H277" s="88" t="s">
        <v>830</v>
      </c>
      <c r="I277" s="89">
        <v>1454.52</v>
      </c>
      <c r="J277" s="87">
        <v>1392.66</v>
      </c>
      <c r="K277" s="87">
        <v>31.14</v>
      </c>
      <c r="L277" s="87" t="str">
        <f>IF(2*2.53=0," ",TEXT(,ROUND((2*2.53*6.07),2)))</f>
        <v>30,71</v>
      </c>
      <c r="M277" s="87">
        <v>4.4000000000000004</v>
      </c>
      <c r="N277" s="87">
        <v>8.8000000000000007</v>
      </c>
    </row>
    <row r="278" spans="1:14" ht="68.400000000000006" x14ac:dyDescent="0.25">
      <c r="A278" s="85">
        <v>139</v>
      </c>
      <c r="B278" s="86" t="s">
        <v>831</v>
      </c>
      <c r="C278" s="86" t="s">
        <v>832</v>
      </c>
      <c r="D278" s="85">
        <v>1</v>
      </c>
      <c r="E278" s="87">
        <v>9651.42</v>
      </c>
      <c r="F278" s="87"/>
      <c r="G278" s="87"/>
      <c r="H278" s="88" t="s">
        <v>486</v>
      </c>
      <c r="I278" s="89">
        <v>36964.94</v>
      </c>
      <c r="J278" s="87"/>
      <c r="K278" s="87"/>
      <c r="L278" s="87" t="str">
        <f>IF(1*0=0," ",TEXT(,ROUND((1*0*3.83),2)))</f>
        <v xml:space="preserve"> </v>
      </c>
      <c r="M278" s="87"/>
      <c r="N278" s="87"/>
    </row>
    <row r="279" spans="1:14" ht="79.8" x14ac:dyDescent="0.25">
      <c r="A279" s="85">
        <v>140</v>
      </c>
      <c r="B279" s="86" t="s">
        <v>770</v>
      </c>
      <c r="C279" s="86" t="s">
        <v>771</v>
      </c>
      <c r="D279" s="85">
        <v>2</v>
      </c>
      <c r="E279" s="87">
        <v>21.47</v>
      </c>
      <c r="F279" s="87"/>
      <c r="G279" s="87">
        <v>21.47</v>
      </c>
      <c r="H279" s="88" t="s">
        <v>772</v>
      </c>
      <c r="I279" s="89">
        <v>258.02</v>
      </c>
      <c r="J279" s="87"/>
      <c r="K279" s="87"/>
      <c r="L279" s="87" t="str">
        <f>IF(2*21.47=0," ",TEXT(,ROUND((2*21.47*6.009),2)))</f>
        <v>258,03</v>
      </c>
      <c r="M279" s="87"/>
      <c r="N279" s="87"/>
    </row>
    <row r="280" spans="1:14" ht="79.8" x14ac:dyDescent="0.25">
      <c r="A280" s="85">
        <v>141</v>
      </c>
      <c r="B280" s="86" t="s">
        <v>831</v>
      </c>
      <c r="C280" s="86" t="s">
        <v>833</v>
      </c>
      <c r="D280" s="85">
        <v>1</v>
      </c>
      <c r="E280" s="87">
        <v>9064.02</v>
      </c>
      <c r="F280" s="87"/>
      <c r="G280" s="87"/>
      <c r="H280" s="88" t="s">
        <v>486</v>
      </c>
      <c r="I280" s="89">
        <v>34715.199999999997</v>
      </c>
      <c r="J280" s="87"/>
      <c r="K280" s="87"/>
      <c r="L280" s="87" t="str">
        <f>IF(1*0=0," ",TEXT(,ROUND((1*0*3.83),2)))</f>
        <v xml:space="preserve"> </v>
      </c>
      <c r="M280" s="87"/>
      <c r="N280" s="87"/>
    </row>
    <row r="281" spans="1:14" ht="79.8" x14ac:dyDescent="0.25">
      <c r="A281" s="85">
        <v>142</v>
      </c>
      <c r="B281" s="86" t="s">
        <v>834</v>
      </c>
      <c r="C281" s="86" t="s">
        <v>835</v>
      </c>
      <c r="D281" s="85">
        <v>2</v>
      </c>
      <c r="E281" s="87">
        <v>19.21</v>
      </c>
      <c r="F281" s="87"/>
      <c r="G281" s="87">
        <v>19.21</v>
      </c>
      <c r="H281" s="88" t="s">
        <v>772</v>
      </c>
      <c r="I281" s="89">
        <v>230.86</v>
      </c>
      <c r="J281" s="87"/>
      <c r="K281" s="87"/>
      <c r="L281" s="87" t="str">
        <f>IF(2*19.21=0," ",TEXT(,ROUND((2*19.21*6.009),2)))</f>
        <v>230,87</v>
      </c>
      <c r="M281" s="87"/>
      <c r="N281" s="87"/>
    </row>
    <row r="282" spans="1:14" ht="68.400000000000006" x14ac:dyDescent="0.25">
      <c r="A282" s="85">
        <v>143</v>
      </c>
      <c r="B282" s="86" t="s">
        <v>836</v>
      </c>
      <c r="C282" s="86" t="s">
        <v>837</v>
      </c>
      <c r="D282" s="85">
        <v>1</v>
      </c>
      <c r="E282" s="87" t="s">
        <v>838</v>
      </c>
      <c r="F282" s="87"/>
      <c r="G282" s="87">
        <v>3.05</v>
      </c>
      <c r="H282" s="88" t="s">
        <v>839</v>
      </c>
      <c r="I282" s="89">
        <v>514.23</v>
      </c>
      <c r="J282" s="87">
        <v>502.55</v>
      </c>
      <c r="K282" s="87"/>
      <c r="L282" s="87" t="str">
        <f>IF(1*3.05=0," ",TEXT(,ROUND((1*3.05*3.83),2)))</f>
        <v>11,68</v>
      </c>
      <c r="M282" s="87">
        <v>3.08</v>
      </c>
      <c r="N282" s="87">
        <v>3.08</v>
      </c>
    </row>
    <row r="283" spans="1:14" ht="79.8" x14ac:dyDescent="0.25">
      <c r="A283" s="85">
        <v>144</v>
      </c>
      <c r="B283" s="86" t="s">
        <v>831</v>
      </c>
      <c r="C283" s="86" t="s">
        <v>840</v>
      </c>
      <c r="D283" s="85">
        <v>1</v>
      </c>
      <c r="E283" s="87">
        <v>20825.669999999998</v>
      </c>
      <c r="F283" s="87"/>
      <c r="G283" s="87">
        <v>20825.669999999998</v>
      </c>
      <c r="H283" s="88" t="s">
        <v>486</v>
      </c>
      <c r="I283" s="89">
        <v>79762.320000000007</v>
      </c>
      <c r="J283" s="87"/>
      <c r="K283" s="87"/>
      <c r="L283" s="87" t="str">
        <f>IF(1*20825.67=0," ",TEXT(,ROUND((1*20825.67*3.83),2)))</f>
        <v>79762,32</v>
      </c>
      <c r="M283" s="87"/>
      <c r="N283" s="87"/>
    </row>
    <row r="284" spans="1:14" ht="79.8" x14ac:dyDescent="0.25">
      <c r="A284" s="85">
        <v>145</v>
      </c>
      <c r="B284" s="86" t="s">
        <v>834</v>
      </c>
      <c r="C284" s="86" t="s">
        <v>835</v>
      </c>
      <c r="D284" s="85">
        <v>2</v>
      </c>
      <c r="E284" s="87">
        <v>19.21</v>
      </c>
      <c r="F284" s="87"/>
      <c r="G284" s="87">
        <v>19.21</v>
      </c>
      <c r="H284" s="88" t="s">
        <v>772</v>
      </c>
      <c r="I284" s="89">
        <v>230.86</v>
      </c>
      <c r="J284" s="87"/>
      <c r="K284" s="87"/>
      <c r="L284" s="87" t="str">
        <f>IF(2*19.21=0," ",TEXT(,ROUND((2*19.21*6.009),2)))</f>
        <v>230,87</v>
      </c>
      <c r="M284" s="87"/>
      <c r="N284" s="87"/>
    </row>
    <row r="285" spans="1:14" ht="68.400000000000006" x14ac:dyDescent="0.25">
      <c r="A285" s="85">
        <v>146</v>
      </c>
      <c r="B285" s="86" t="s">
        <v>841</v>
      </c>
      <c r="C285" s="86" t="s">
        <v>842</v>
      </c>
      <c r="D285" s="85">
        <v>1</v>
      </c>
      <c r="E285" s="87" t="s">
        <v>843</v>
      </c>
      <c r="F285" s="87" t="s">
        <v>844</v>
      </c>
      <c r="G285" s="87">
        <v>3</v>
      </c>
      <c r="H285" s="88" t="s">
        <v>845</v>
      </c>
      <c r="I285" s="89">
        <v>723.66</v>
      </c>
      <c r="J285" s="87">
        <v>386.74</v>
      </c>
      <c r="K285" s="87" t="s">
        <v>846</v>
      </c>
      <c r="L285" s="87" t="str">
        <f>IF(1*3=0," ",TEXT(,ROUND((1*3*4.2),2)))</f>
        <v>12,6</v>
      </c>
      <c r="M285" s="87" t="s">
        <v>847</v>
      </c>
      <c r="N285" s="87" t="s">
        <v>847</v>
      </c>
    </row>
    <row r="286" spans="1:14" ht="57" x14ac:dyDescent="0.25">
      <c r="A286" s="90">
        <v>147</v>
      </c>
      <c r="B286" s="91" t="s">
        <v>848</v>
      </c>
      <c r="C286" s="91" t="s">
        <v>849</v>
      </c>
      <c r="D286" s="90">
        <v>1</v>
      </c>
      <c r="E286" s="92">
        <v>7096.61</v>
      </c>
      <c r="F286" s="92"/>
      <c r="G286" s="92"/>
      <c r="H286" s="93" t="s">
        <v>486</v>
      </c>
      <c r="I286" s="94">
        <v>27180.02</v>
      </c>
      <c r="J286" s="92"/>
      <c r="K286" s="92"/>
      <c r="L286" s="92" t="str">
        <f>IF(1*0=0," ",TEXT(,ROUND((1*0*3.83),2)))</f>
        <v xml:space="preserve"> </v>
      </c>
      <c r="M286" s="92"/>
      <c r="N286" s="92"/>
    </row>
    <row r="287" spans="1:14" ht="22.8" x14ac:dyDescent="0.25">
      <c r="A287" s="119" t="s">
        <v>367</v>
      </c>
      <c r="B287" s="120"/>
      <c r="C287" s="120"/>
      <c r="D287" s="120"/>
      <c r="E287" s="120"/>
      <c r="F287" s="120"/>
      <c r="G287" s="120"/>
      <c r="H287" s="120"/>
      <c r="I287" s="89">
        <v>200526.27</v>
      </c>
      <c r="J287" s="87">
        <v>3205.21</v>
      </c>
      <c r="K287" s="87" t="s">
        <v>850</v>
      </c>
      <c r="L287" s="87">
        <v>84478.99</v>
      </c>
      <c r="M287" s="87"/>
      <c r="N287" s="87" t="s">
        <v>851</v>
      </c>
    </row>
    <row r="288" spans="1:14" x14ac:dyDescent="0.25">
      <c r="A288" s="119" t="s">
        <v>370</v>
      </c>
      <c r="B288" s="120"/>
      <c r="C288" s="120"/>
      <c r="D288" s="120"/>
      <c r="E288" s="120"/>
      <c r="F288" s="120"/>
      <c r="G288" s="120"/>
      <c r="H288" s="120"/>
      <c r="I288" s="89">
        <v>2271.92</v>
      </c>
      <c r="J288" s="87"/>
      <c r="K288" s="87"/>
      <c r="L288" s="87"/>
      <c r="M288" s="87"/>
      <c r="N288" s="87"/>
    </row>
    <row r="289" spans="1:14" x14ac:dyDescent="0.25">
      <c r="A289" s="119" t="s">
        <v>371</v>
      </c>
      <c r="B289" s="120"/>
      <c r="C289" s="120"/>
      <c r="D289" s="120"/>
      <c r="E289" s="120"/>
      <c r="F289" s="120"/>
      <c r="G289" s="120"/>
      <c r="H289" s="120"/>
      <c r="I289" s="89"/>
      <c r="J289" s="87"/>
      <c r="K289" s="87"/>
      <c r="L289" s="87"/>
      <c r="M289" s="87"/>
      <c r="N289" s="87"/>
    </row>
    <row r="290" spans="1:14" x14ac:dyDescent="0.25">
      <c r="A290" s="119" t="s">
        <v>852</v>
      </c>
      <c r="B290" s="120"/>
      <c r="C290" s="120"/>
      <c r="D290" s="120"/>
      <c r="E290" s="120"/>
      <c r="F290" s="120"/>
      <c r="G290" s="120"/>
      <c r="H290" s="120"/>
      <c r="I290" s="89">
        <v>1916.56</v>
      </c>
      <c r="J290" s="87"/>
      <c r="K290" s="87"/>
      <c r="L290" s="87"/>
      <c r="M290" s="87"/>
      <c r="N290" s="87"/>
    </row>
    <row r="291" spans="1:14" x14ac:dyDescent="0.25">
      <c r="A291" s="119" t="s">
        <v>853</v>
      </c>
      <c r="B291" s="120"/>
      <c r="C291" s="120"/>
      <c r="D291" s="120"/>
      <c r="E291" s="120"/>
      <c r="F291" s="120"/>
      <c r="G291" s="120"/>
      <c r="H291" s="120"/>
      <c r="I291" s="89">
        <v>355.36</v>
      </c>
      <c r="J291" s="87"/>
      <c r="K291" s="87"/>
      <c r="L291" s="87"/>
      <c r="M291" s="87"/>
      <c r="N291" s="87"/>
    </row>
    <row r="292" spans="1:14" x14ac:dyDescent="0.25">
      <c r="A292" s="119" t="s">
        <v>375</v>
      </c>
      <c r="B292" s="120"/>
      <c r="C292" s="120"/>
      <c r="D292" s="120"/>
      <c r="E292" s="120"/>
      <c r="F292" s="120"/>
      <c r="G292" s="120"/>
      <c r="H292" s="120"/>
      <c r="I292" s="89">
        <v>1581</v>
      </c>
      <c r="J292" s="87"/>
      <c r="K292" s="87"/>
      <c r="L292" s="87"/>
      <c r="M292" s="87"/>
      <c r="N292" s="87"/>
    </row>
    <row r="293" spans="1:14" x14ac:dyDescent="0.25">
      <c r="A293" s="119" t="s">
        <v>371</v>
      </c>
      <c r="B293" s="120"/>
      <c r="C293" s="120"/>
      <c r="D293" s="120"/>
      <c r="E293" s="120"/>
      <c r="F293" s="120"/>
      <c r="G293" s="120"/>
      <c r="H293" s="120"/>
      <c r="I293" s="89"/>
      <c r="J293" s="87"/>
      <c r="K293" s="87"/>
      <c r="L293" s="87"/>
      <c r="M293" s="87"/>
      <c r="N293" s="87"/>
    </row>
    <row r="294" spans="1:14" x14ac:dyDescent="0.25">
      <c r="A294" s="119" t="s">
        <v>854</v>
      </c>
      <c r="B294" s="120"/>
      <c r="C294" s="120"/>
      <c r="D294" s="120"/>
      <c r="E294" s="120"/>
      <c r="F294" s="120"/>
      <c r="G294" s="120"/>
      <c r="H294" s="120"/>
      <c r="I294" s="89">
        <v>1352.87</v>
      </c>
      <c r="J294" s="87"/>
      <c r="K294" s="87"/>
      <c r="L294" s="87"/>
      <c r="M294" s="87"/>
      <c r="N294" s="87"/>
    </row>
    <row r="295" spans="1:14" x14ac:dyDescent="0.25">
      <c r="A295" s="119" t="s">
        <v>855</v>
      </c>
      <c r="B295" s="120"/>
      <c r="C295" s="120"/>
      <c r="D295" s="120"/>
      <c r="E295" s="120"/>
      <c r="F295" s="120"/>
      <c r="G295" s="120"/>
      <c r="H295" s="120"/>
      <c r="I295" s="89">
        <v>228.13</v>
      </c>
      <c r="J295" s="87"/>
      <c r="K295" s="87"/>
      <c r="L295" s="87"/>
      <c r="M295" s="87"/>
      <c r="N295" s="87"/>
    </row>
    <row r="296" spans="1:14" x14ac:dyDescent="0.25">
      <c r="A296" s="140" t="s">
        <v>856</v>
      </c>
      <c r="B296" s="114"/>
      <c r="C296" s="114"/>
      <c r="D296" s="114"/>
      <c r="E296" s="114"/>
      <c r="F296" s="114"/>
      <c r="G296" s="114"/>
      <c r="H296" s="114"/>
      <c r="I296" s="89"/>
      <c r="J296" s="87"/>
      <c r="K296" s="87"/>
      <c r="L296" s="87"/>
      <c r="M296" s="87"/>
      <c r="N296" s="87"/>
    </row>
    <row r="297" spans="1:14" x14ac:dyDescent="0.25">
      <c r="A297" s="119" t="s">
        <v>380</v>
      </c>
      <c r="B297" s="120"/>
      <c r="C297" s="120"/>
      <c r="D297" s="120"/>
      <c r="E297" s="120"/>
      <c r="F297" s="120"/>
      <c r="G297" s="120"/>
      <c r="H297" s="120"/>
      <c r="I297" s="89">
        <v>83320.37</v>
      </c>
      <c r="J297" s="87"/>
      <c r="K297" s="87"/>
      <c r="L297" s="87"/>
      <c r="M297" s="87"/>
      <c r="N297" s="87"/>
    </row>
    <row r="298" spans="1:14" ht="22.8" x14ac:dyDescent="0.25">
      <c r="A298" s="119" t="s">
        <v>382</v>
      </c>
      <c r="B298" s="120"/>
      <c r="C298" s="120"/>
      <c r="D298" s="120"/>
      <c r="E298" s="120"/>
      <c r="F298" s="120"/>
      <c r="G298" s="120"/>
      <c r="H298" s="120"/>
      <c r="I298" s="89">
        <v>8678.68</v>
      </c>
      <c r="J298" s="87"/>
      <c r="K298" s="87"/>
      <c r="L298" s="87"/>
      <c r="M298" s="87"/>
      <c r="N298" s="87" t="s">
        <v>851</v>
      </c>
    </row>
    <row r="299" spans="1:14" x14ac:dyDescent="0.25">
      <c r="A299" s="119" t="s">
        <v>529</v>
      </c>
      <c r="B299" s="120"/>
      <c r="C299" s="120"/>
      <c r="D299" s="120"/>
      <c r="E299" s="120"/>
      <c r="F299" s="120"/>
      <c r="G299" s="120"/>
      <c r="H299" s="120"/>
      <c r="I299" s="89">
        <v>112380.14</v>
      </c>
      <c r="J299" s="87"/>
      <c r="K299" s="87"/>
      <c r="L299" s="87"/>
      <c r="M299" s="87"/>
      <c r="N299" s="87"/>
    </row>
    <row r="300" spans="1:14" ht="22.8" x14ac:dyDescent="0.25">
      <c r="A300" s="119" t="s">
        <v>383</v>
      </c>
      <c r="B300" s="120"/>
      <c r="C300" s="120"/>
      <c r="D300" s="120"/>
      <c r="E300" s="120"/>
      <c r="F300" s="120"/>
      <c r="G300" s="120"/>
      <c r="H300" s="120"/>
      <c r="I300" s="89">
        <v>204379.19</v>
      </c>
      <c r="J300" s="87"/>
      <c r="K300" s="87"/>
      <c r="L300" s="87"/>
      <c r="M300" s="87"/>
      <c r="N300" s="87" t="s">
        <v>851</v>
      </c>
    </row>
    <row r="301" spans="1:14" x14ac:dyDescent="0.25">
      <c r="A301" s="119" t="s">
        <v>384</v>
      </c>
      <c r="B301" s="120"/>
      <c r="C301" s="120"/>
      <c r="D301" s="120"/>
      <c r="E301" s="120"/>
      <c r="F301" s="120"/>
      <c r="G301" s="120"/>
      <c r="H301" s="120"/>
      <c r="I301" s="89"/>
      <c r="J301" s="87"/>
      <c r="K301" s="87"/>
      <c r="L301" s="87"/>
      <c r="M301" s="87"/>
      <c r="N301" s="87"/>
    </row>
    <row r="302" spans="1:14" x14ac:dyDescent="0.25">
      <c r="A302" s="119" t="s">
        <v>385</v>
      </c>
      <c r="B302" s="120"/>
      <c r="C302" s="120"/>
      <c r="D302" s="120"/>
      <c r="E302" s="120"/>
      <c r="F302" s="120"/>
      <c r="G302" s="120"/>
      <c r="H302" s="120"/>
      <c r="I302" s="89">
        <v>84478.99</v>
      </c>
      <c r="J302" s="87"/>
      <c r="K302" s="87"/>
      <c r="L302" s="87"/>
      <c r="M302" s="87"/>
      <c r="N302" s="87"/>
    </row>
    <row r="303" spans="1:14" x14ac:dyDescent="0.25">
      <c r="A303" s="119" t="s">
        <v>386</v>
      </c>
      <c r="B303" s="120"/>
      <c r="C303" s="120"/>
      <c r="D303" s="120"/>
      <c r="E303" s="120"/>
      <c r="F303" s="120"/>
      <c r="G303" s="120"/>
      <c r="H303" s="120"/>
      <c r="I303" s="89">
        <v>461.93</v>
      </c>
      <c r="J303" s="87"/>
      <c r="K303" s="87"/>
      <c r="L303" s="87"/>
      <c r="M303" s="87"/>
      <c r="N303" s="87"/>
    </row>
    <row r="304" spans="1:14" x14ac:dyDescent="0.25">
      <c r="A304" s="119" t="s">
        <v>387</v>
      </c>
      <c r="B304" s="120"/>
      <c r="C304" s="120"/>
      <c r="D304" s="120"/>
      <c r="E304" s="120"/>
      <c r="F304" s="120"/>
      <c r="G304" s="120"/>
      <c r="H304" s="120"/>
      <c r="I304" s="89">
        <v>3257.19</v>
      </c>
      <c r="J304" s="87"/>
      <c r="K304" s="87"/>
      <c r="L304" s="87"/>
      <c r="M304" s="87"/>
      <c r="N304" s="87"/>
    </row>
    <row r="305" spans="1:14" x14ac:dyDescent="0.25">
      <c r="A305" s="119" t="s">
        <v>530</v>
      </c>
      <c r="B305" s="120"/>
      <c r="C305" s="120"/>
      <c r="D305" s="120"/>
      <c r="E305" s="120"/>
      <c r="F305" s="120"/>
      <c r="G305" s="120"/>
      <c r="H305" s="120"/>
      <c r="I305" s="89">
        <v>112380.14</v>
      </c>
      <c r="J305" s="87"/>
      <c r="K305" s="87"/>
      <c r="L305" s="87"/>
      <c r="M305" s="87"/>
      <c r="N305" s="87"/>
    </row>
    <row r="306" spans="1:14" x14ac:dyDescent="0.25">
      <c r="A306" s="119" t="s">
        <v>388</v>
      </c>
      <c r="B306" s="120"/>
      <c r="C306" s="120"/>
      <c r="D306" s="120"/>
      <c r="E306" s="120"/>
      <c r="F306" s="120"/>
      <c r="G306" s="120"/>
      <c r="H306" s="120"/>
      <c r="I306" s="89">
        <v>2271.92</v>
      </c>
      <c r="J306" s="87"/>
      <c r="K306" s="87"/>
      <c r="L306" s="87"/>
      <c r="M306" s="87"/>
      <c r="N306" s="87"/>
    </row>
    <row r="307" spans="1:14" x14ac:dyDescent="0.25">
      <c r="A307" s="119" t="s">
        <v>389</v>
      </c>
      <c r="B307" s="120"/>
      <c r="C307" s="120"/>
      <c r="D307" s="120"/>
      <c r="E307" s="120"/>
      <c r="F307" s="120"/>
      <c r="G307" s="120"/>
      <c r="H307" s="120"/>
      <c r="I307" s="89">
        <v>1581</v>
      </c>
      <c r="J307" s="87"/>
      <c r="K307" s="87"/>
      <c r="L307" s="87"/>
      <c r="M307" s="87"/>
      <c r="N307" s="87"/>
    </row>
    <row r="308" spans="1:14" ht="22.8" x14ac:dyDescent="0.25">
      <c r="A308" s="141" t="s">
        <v>857</v>
      </c>
      <c r="B308" s="142"/>
      <c r="C308" s="142"/>
      <c r="D308" s="142"/>
      <c r="E308" s="142"/>
      <c r="F308" s="142"/>
      <c r="G308" s="142"/>
      <c r="H308" s="142"/>
      <c r="I308" s="94">
        <v>204379.19</v>
      </c>
      <c r="J308" s="92"/>
      <c r="K308" s="92"/>
      <c r="L308" s="92"/>
      <c r="M308" s="92"/>
      <c r="N308" s="92" t="s">
        <v>851</v>
      </c>
    </row>
    <row r="309" spans="1:14" ht="17.850000000000001" customHeight="1" x14ac:dyDescent="0.25">
      <c r="A309" s="113" t="s">
        <v>858</v>
      </c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</row>
    <row r="310" spans="1:14" ht="148.19999999999999" x14ac:dyDescent="0.25">
      <c r="A310" s="85">
        <v>148</v>
      </c>
      <c r="B310" s="86" t="s">
        <v>533</v>
      </c>
      <c r="C310" s="86" t="s">
        <v>534</v>
      </c>
      <c r="D310" s="85">
        <v>0.112</v>
      </c>
      <c r="E310" s="87" t="s">
        <v>535</v>
      </c>
      <c r="F310" s="87" t="s">
        <v>536</v>
      </c>
      <c r="G310" s="87">
        <v>202.72</v>
      </c>
      <c r="H310" s="88" t="s">
        <v>537</v>
      </c>
      <c r="I310" s="89">
        <v>231.04</v>
      </c>
      <c r="J310" s="87">
        <v>119.82</v>
      </c>
      <c r="K310" s="87" t="s">
        <v>859</v>
      </c>
      <c r="L310" s="87" t="str">
        <f>IF(0.112*202.72=0," ",TEXT(,ROUND((0.112*202.72*4.27),2)))</f>
        <v>96,95</v>
      </c>
      <c r="M310" s="87" t="s">
        <v>539</v>
      </c>
      <c r="N310" s="87">
        <v>0.68</v>
      </c>
    </row>
    <row r="311" spans="1:14" ht="193.8" x14ac:dyDescent="0.25">
      <c r="A311" s="85">
        <v>149</v>
      </c>
      <c r="B311" s="86" t="s">
        <v>541</v>
      </c>
      <c r="C311" s="86" t="s">
        <v>860</v>
      </c>
      <c r="D311" s="85">
        <v>0.112</v>
      </c>
      <c r="E311" s="87" t="s">
        <v>543</v>
      </c>
      <c r="F311" s="87" t="s">
        <v>544</v>
      </c>
      <c r="G311" s="87">
        <v>401.56</v>
      </c>
      <c r="H311" s="88" t="s">
        <v>545</v>
      </c>
      <c r="I311" s="89">
        <v>343.02</v>
      </c>
      <c r="J311" s="87">
        <v>103.47</v>
      </c>
      <c r="K311" s="87" t="s">
        <v>861</v>
      </c>
      <c r="L311" s="87" t="str">
        <f>IF(0.112*401.56=0," ",TEXT(,ROUND((0.112*401.56*4.58),2)))</f>
        <v>205,98</v>
      </c>
      <c r="M311" s="87" t="s">
        <v>547</v>
      </c>
      <c r="N311" s="87">
        <v>0.69</v>
      </c>
    </row>
    <row r="312" spans="1:14" ht="159.6" x14ac:dyDescent="0.25">
      <c r="A312" s="85">
        <v>150</v>
      </c>
      <c r="B312" s="86" t="s">
        <v>557</v>
      </c>
      <c r="C312" s="86" t="s">
        <v>558</v>
      </c>
      <c r="D312" s="85">
        <v>1.06</v>
      </c>
      <c r="E312" s="87" t="s">
        <v>559</v>
      </c>
      <c r="F312" s="87">
        <v>71.44</v>
      </c>
      <c r="G312" s="87">
        <v>1320.96</v>
      </c>
      <c r="H312" s="88" t="s">
        <v>560</v>
      </c>
      <c r="I312" s="89">
        <v>9377.9699999999993</v>
      </c>
      <c r="J312" s="87">
        <v>3689.27</v>
      </c>
      <c r="K312" s="87">
        <v>857.95</v>
      </c>
      <c r="L312" s="87" t="str">
        <f>IF(1.06*1320.96=0," ",TEXT(,ROUND((1.06*1320.96*3.45),2)))</f>
        <v>4830,75</v>
      </c>
      <c r="M312" s="87">
        <v>21.68</v>
      </c>
      <c r="N312" s="87">
        <v>22.98</v>
      </c>
    </row>
    <row r="313" spans="1:14" ht="68.400000000000006" x14ac:dyDescent="0.25">
      <c r="A313" s="85">
        <v>151</v>
      </c>
      <c r="B313" s="86" t="s">
        <v>561</v>
      </c>
      <c r="C313" s="86" t="s">
        <v>562</v>
      </c>
      <c r="D313" s="85">
        <v>-1.6319999999999999</v>
      </c>
      <c r="E313" s="87">
        <v>542.4</v>
      </c>
      <c r="F313" s="87"/>
      <c r="G313" s="87">
        <v>542.4</v>
      </c>
      <c r="H313" s="88" t="s">
        <v>563</v>
      </c>
      <c r="I313" s="89">
        <v>-3030.04</v>
      </c>
      <c r="J313" s="87"/>
      <c r="K313" s="87"/>
      <c r="L313" s="87" t="str">
        <f>IF(-1.632*542.4=0," ",TEXT(,ROUND((-1.632*542.4*3.423),2)))</f>
        <v>-3030,03</v>
      </c>
      <c r="M313" s="87"/>
      <c r="N313" s="87"/>
    </row>
    <row r="314" spans="1:14" ht="45.6" x14ac:dyDescent="0.25">
      <c r="A314" s="90">
        <v>152</v>
      </c>
      <c r="B314" s="91" t="s">
        <v>564</v>
      </c>
      <c r="C314" s="91" t="s">
        <v>565</v>
      </c>
      <c r="D314" s="90">
        <v>1.6319999999999999</v>
      </c>
      <c r="E314" s="92">
        <v>633.61</v>
      </c>
      <c r="F314" s="92"/>
      <c r="G314" s="92">
        <v>633.61</v>
      </c>
      <c r="H314" s="93" t="s">
        <v>463</v>
      </c>
      <c r="I314" s="94">
        <v>5770</v>
      </c>
      <c r="J314" s="92"/>
      <c r="K314" s="92"/>
      <c r="L314" s="92" t="str">
        <f>IF(1.632*633.61=0," ",TEXT(,ROUND((1.632*633.61*5.58),2)))</f>
        <v>5770,01</v>
      </c>
      <c r="M314" s="92"/>
      <c r="N314" s="92"/>
    </row>
    <row r="315" spans="1:14" ht="22.8" x14ac:dyDescent="0.25">
      <c r="A315" s="119" t="s">
        <v>367</v>
      </c>
      <c r="B315" s="120"/>
      <c r="C315" s="120"/>
      <c r="D315" s="120"/>
      <c r="E315" s="120"/>
      <c r="F315" s="120"/>
      <c r="G315" s="120"/>
      <c r="H315" s="120"/>
      <c r="I315" s="89">
        <v>12691.99</v>
      </c>
      <c r="J315" s="87">
        <v>3912.56</v>
      </c>
      <c r="K315" s="87" t="s">
        <v>862</v>
      </c>
      <c r="L315" s="87">
        <v>7873.64</v>
      </c>
      <c r="M315" s="87"/>
      <c r="N315" s="87">
        <v>24.35</v>
      </c>
    </row>
    <row r="316" spans="1:14" x14ac:dyDescent="0.25">
      <c r="A316" s="119" t="s">
        <v>370</v>
      </c>
      <c r="B316" s="120"/>
      <c r="C316" s="120"/>
      <c r="D316" s="120"/>
      <c r="E316" s="120"/>
      <c r="F316" s="120"/>
      <c r="G316" s="120"/>
      <c r="H316" s="120"/>
      <c r="I316" s="89">
        <v>2995.25</v>
      </c>
      <c r="J316" s="87"/>
      <c r="K316" s="87"/>
      <c r="L316" s="87"/>
      <c r="M316" s="87"/>
      <c r="N316" s="87"/>
    </row>
    <row r="317" spans="1:14" x14ac:dyDescent="0.25">
      <c r="A317" s="119" t="s">
        <v>371</v>
      </c>
      <c r="B317" s="120"/>
      <c r="C317" s="120"/>
      <c r="D317" s="120"/>
      <c r="E317" s="120"/>
      <c r="F317" s="120"/>
      <c r="G317" s="120"/>
      <c r="H317" s="120"/>
      <c r="I317" s="89"/>
      <c r="J317" s="87"/>
      <c r="K317" s="87"/>
      <c r="L317" s="87"/>
      <c r="M317" s="87"/>
      <c r="N317" s="87"/>
    </row>
    <row r="318" spans="1:14" x14ac:dyDescent="0.25">
      <c r="A318" s="119" t="s">
        <v>863</v>
      </c>
      <c r="B318" s="120"/>
      <c r="C318" s="120"/>
      <c r="D318" s="120"/>
      <c r="E318" s="120"/>
      <c r="F318" s="120"/>
      <c r="G318" s="120"/>
      <c r="H318" s="120"/>
      <c r="I318" s="89">
        <v>154.51</v>
      </c>
      <c r="J318" s="87"/>
      <c r="K318" s="87"/>
      <c r="L318" s="87"/>
      <c r="M318" s="87"/>
      <c r="N318" s="87"/>
    </row>
    <row r="319" spans="1:14" x14ac:dyDescent="0.25">
      <c r="A319" s="119" t="s">
        <v>864</v>
      </c>
      <c r="B319" s="120"/>
      <c r="C319" s="120"/>
      <c r="D319" s="120"/>
      <c r="E319" s="120"/>
      <c r="F319" s="120"/>
      <c r="G319" s="120"/>
      <c r="H319" s="120"/>
      <c r="I319" s="89">
        <v>2840.74</v>
      </c>
      <c r="J319" s="87"/>
      <c r="K319" s="87"/>
      <c r="L319" s="87"/>
      <c r="M319" s="87"/>
      <c r="N319" s="87"/>
    </row>
    <row r="320" spans="1:14" x14ac:dyDescent="0.25">
      <c r="A320" s="119" t="s">
        <v>375</v>
      </c>
      <c r="B320" s="120"/>
      <c r="C320" s="120"/>
      <c r="D320" s="120"/>
      <c r="E320" s="120"/>
      <c r="F320" s="120"/>
      <c r="G320" s="120"/>
      <c r="H320" s="120"/>
      <c r="I320" s="89">
        <v>1878.34</v>
      </c>
      <c r="J320" s="87"/>
      <c r="K320" s="87"/>
      <c r="L320" s="87"/>
      <c r="M320" s="87"/>
      <c r="N320" s="87"/>
    </row>
    <row r="321" spans="1:14" x14ac:dyDescent="0.25">
      <c r="A321" s="119" t="s">
        <v>371</v>
      </c>
      <c r="B321" s="120"/>
      <c r="C321" s="120"/>
      <c r="D321" s="120"/>
      <c r="E321" s="120"/>
      <c r="F321" s="120"/>
      <c r="G321" s="120"/>
      <c r="H321" s="120"/>
      <c r="I321" s="89"/>
      <c r="J321" s="87"/>
      <c r="K321" s="87"/>
      <c r="L321" s="87"/>
      <c r="M321" s="87"/>
      <c r="N321" s="87"/>
    </row>
    <row r="322" spans="1:14" x14ac:dyDescent="0.25">
      <c r="A322" s="119" t="s">
        <v>865</v>
      </c>
      <c r="B322" s="120"/>
      <c r="C322" s="120"/>
      <c r="D322" s="120"/>
      <c r="E322" s="120"/>
      <c r="F322" s="120"/>
      <c r="G322" s="120"/>
      <c r="H322" s="120"/>
      <c r="I322" s="89">
        <v>1878.34</v>
      </c>
      <c r="J322" s="87"/>
      <c r="K322" s="87"/>
      <c r="L322" s="87"/>
      <c r="M322" s="87"/>
      <c r="N322" s="87"/>
    </row>
    <row r="323" spans="1:14" x14ac:dyDescent="0.25">
      <c r="A323" s="140" t="s">
        <v>866</v>
      </c>
      <c r="B323" s="114"/>
      <c r="C323" s="114"/>
      <c r="D323" s="114"/>
      <c r="E323" s="114"/>
      <c r="F323" s="114"/>
      <c r="G323" s="114"/>
      <c r="H323" s="114"/>
      <c r="I323" s="89"/>
      <c r="J323" s="87"/>
      <c r="K323" s="87"/>
      <c r="L323" s="87"/>
      <c r="M323" s="87"/>
      <c r="N323" s="87"/>
    </row>
    <row r="324" spans="1:14" x14ac:dyDescent="0.25">
      <c r="A324" s="119" t="s">
        <v>584</v>
      </c>
      <c r="B324" s="120"/>
      <c r="C324" s="120"/>
      <c r="D324" s="120"/>
      <c r="E324" s="120"/>
      <c r="F324" s="120"/>
      <c r="G324" s="120"/>
      <c r="H324" s="120"/>
      <c r="I324" s="89">
        <v>836.06</v>
      </c>
      <c r="J324" s="87"/>
      <c r="K324" s="87"/>
      <c r="L324" s="87"/>
      <c r="M324" s="87"/>
      <c r="N324" s="87">
        <v>1.37</v>
      </c>
    </row>
    <row r="325" spans="1:14" x14ac:dyDescent="0.25">
      <c r="A325" s="119" t="s">
        <v>586</v>
      </c>
      <c r="B325" s="120"/>
      <c r="C325" s="120"/>
      <c r="D325" s="120"/>
      <c r="E325" s="120"/>
      <c r="F325" s="120"/>
      <c r="G325" s="120"/>
      <c r="H325" s="120"/>
      <c r="I325" s="89">
        <v>13989.56</v>
      </c>
      <c r="J325" s="87"/>
      <c r="K325" s="87"/>
      <c r="L325" s="87"/>
      <c r="M325" s="87"/>
      <c r="N325" s="87">
        <v>22.98</v>
      </c>
    </row>
    <row r="326" spans="1:14" x14ac:dyDescent="0.25">
      <c r="A326" s="119" t="s">
        <v>587</v>
      </c>
      <c r="B326" s="120"/>
      <c r="C326" s="120"/>
      <c r="D326" s="120"/>
      <c r="E326" s="120"/>
      <c r="F326" s="120"/>
      <c r="G326" s="120"/>
      <c r="H326" s="120"/>
      <c r="I326" s="89">
        <v>2739.96</v>
      </c>
      <c r="J326" s="87"/>
      <c r="K326" s="87"/>
      <c r="L326" s="87"/>
      <c r="M326" s="87"/>
      <c r="N326" s="87"/>
    </row>
    <row r="327" spans="1:14" x14ac:dyDescent="0.25">
      <c r="A327" s="119" t="s">
        <v>383</v>
      </c>
      <c r="B327" s="120"/>
      <c r="C327" s="120"/>
      <c r="D327" s="120"/>
      <c r="E327" s="120"/>
      <c r="F327" s="120"/>
      <c r="G327" s="120"/>
      <c r="H327" s="120"/>
      <c r="I327" s="89">
        <v>17565.580000000002</v>
      </c>
      <c r="J327" s="87"/>
      <c r="K327" s="87"/>
      <c r="L327" s="87"/>
      <c r="M327" s="87"/>
      <c r="N327" s="87">
        <v>24.35</v>
      </c>
    </row>
    <row r="328" spans="1:14" x14ac:dyDescent="0.25">
      <c r="A328" s="119" t="s">
        <v>384</v>
      </c>
      <c r="B328" s="120"/>
      <c r="C328" s="120"/>
      <c r="D328" s="120"/>
      <c r="E328" s="120"/>
      <c r="F328" s="120"/>
      <c r="G328" s="120"/>
      <c r="H328" s="120"/>
      <c r="I328" s="89"/>
      <c r="J328" s="87"/>
      <c r="K328" s="87"/>
      <c r="L328" s="87"/>
      <c r="M328" s="87"/>
      <c r="N328" s="87"/>
    </row>
    <row r="329" spans="1:14" x14ac:dyDescent="0.25">
      <c r="A329" s="119" t="s">
        <v>385</v>
      </c>
      <c r="B329" s="120"/>
      <c r="C329" s="120"/>
      <c r="D329" s="120"/>
      <c r="E329" s="120"/>
      <c r="F329" s="120"/>
      <c r="G329" s="120"/>
      <c r="H329" s="120"/>
      <c r="I329" s="89">
        <v>7873.64</v>
      </c>
      <c r="J329" s="87"/>
      <c r="K329" s="87"/>
      <c r="L329" s="87"/>
      <c r="M329" s="87"/>
      <c r="N329" s="87"/>
    </row>
    <row r="330" spans="1:14" x14ac:dyDescent="0.25">
      <c r="A330" s="119" t="s">
        <v>386</v>
      </c>
      <c r="B330" s="120"/>
      <c r="C330" s="120"/>
      <c r="D330" s="120"/>
      <c r="E330" s="120"/>
      <c r="F330" s="120"/>
      <c r="G330" s="120"/>
      <c r="H330" s="120"/>
      <c r="I330" s="89">
        <v>905.79</v>
      </c>
      <c r="J330" s="87"/>
      <c r="K330" s="87"/>
      <c r="L330" s="87"/>
      <c r="M330" s="87"/>
      <c r="N330" s="87"/>
    </row>
    <row r="331" spans="1:14" x14ac:dyDescent="0.25">
      <c r="A331" s="119" t="s">
        <v>387</v>
      </c>
      <c r="B331" s="120"/>
      <c r="C331" s="120"/>
      <c r="D331" s="120"/>
      <c r="E331" s="120"/>
      <c r="F331" s="120"/>
      <c r="G331" s="120"/>
      <c r="H331" s="120"/>
      <c r="I331" s="89">
        <v>3913.2</v>
      </c>
      <c r="J331" s="87"/>
      <c r="K331" s="87"/>
      <c r="L331" s="87"/>
      <c r="M331" s="87"/>
      <c r="N331" s="87"/>
    </row>
    <row r="332" spans="1:14" x14ac:dyDescent="0.25">
      <c r="A332" s="119" t="s">
        <v>388</v>
      </c>
      <c r="B332" s="120"/>
      <c r="C332" s="120"/>
      <c r="D332" s="120"/>
      <c r="E332" s="120"/>
      <c r="F332" s="120"/>
      <c r="G332" s="120"/>
      <c r="H332" s="120"/>
      <c r="I332" s="89">
        <v>2995.25</v>
      </c>
      <c r="J332" s="87"/>
      <c r="K332" s="87"/>
      <c r="L332" s="87"/>
      <c r="M332" s="87"/>
      <c r="N332" s="87"/>
    </row>
    <row r="333" spans="1:14" x14ac:dyDescent="0.25">
      <c r="A333" s="119" t="s">
        <v>389</v>
      </c>
      <c r="B333" s="120"/>
      <c r="C333" s="120"/>
      <c r="D333" s="120"/>
      <c r="E333" s="120"/>
      <c r="F333" s="120"/>
      <c r="G333" s="120"/>
      <c r="H333" s="120"/>
      <c r="I333" s="89">
        <v>1878.34</v>
      </c>
      <c r="J333" s="87"/>
      <c r="K333" s="87"/>
      <c r="L333" s="87"/>
      <c r="M333" s="87"/>
      <c r="N333" s="87"/>
    </row>
    <row r="334" spans="1:14" x14ac:dyDescent="0.25">
      <c r="A334" s="141" t="s">
        <v>867</v>
      </c>
      <c r="B334" s="142"/>
      <c r="C334" s="142"/>
      <c r="D334" s="142"/>
      <c r="E334" s="142"/>
      <c r="F334" s="142"/>
      <c r="G334" s="142"/>
      <c r="H334" s="142"/>
      <c r="I334" s="94">
        <v>17565.580000000002</v>
      </c>
      <c r="J334" s="92"/>
      <c r="K334" s="92"/>
      <c r="L334" s="92"/>
      <c r="M334" s="92"/>
      <c r="N334" s="92">
        <v>24.35</v>
      </c>
    </row>
    <row r="335" spans="1:14" ht="17.850000000000001" customHeight="1" x14ac:dyDescent="0.25">
      <c r="A335" s="113" t="s">
        <v>868</v>
      </c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</row>
    <row r="336" spans="1:14" ht="79.8" x14ac:dyDescent="0.25">
      <c r="A336" s="85">
        <v>153</v>
      </c>
      <c r="B336" s="86" t="s">
        <v>869</v>
      </c>
      <c r="C336" s="86" t="s">
        <v>870</v>
      </c>
      <c r="D336" s="85">
        <v>0.73</v>
      </c>
      <c r="E336" s="87" t="s">
        <v>871</v>
      </c>
      <c r="F336" s="87" t="s">
        <v>872</v>
      </c>
      <c r="G336" s="87">
        <v>64.52</v>
      </c>
      <c r="H336" s="88" t="s">
        <v>873</v>
      </c>
      <c r="I336" s="89">
        <v>2313.85</v>
      </c>
      <c r="J336" s="87">
        <v>1824.09</v>
      </c>
      <c r="K336" s="87" t="s">
        <v>874</v>
      </c>
      <c r="L336" s="87" t="str">
        <f>IF(0.73*64.52=0," ",TEXT(,ROUND((0.73*64.52*4.29),2)))</f>
        <v>202,06</v>
      </c>
      <c r="M336" s="87" t="s">
        <v>875</v>
      </c>
      <c r="N336" s="87" t="s">
        <v>876</v>
      </c>
    </row>
    <row r="337" spans="1:14" ht="57" x14ac:dyDescent="0.25">
      <c r="A337" s="85">
        <v>154</v>
      </c>
      <c r="B337" s="86" t="s">
        <v>877</v>
      </c>
      <c r="C337" s="86" t="s">
        <v>878</v>
      </c>
      <c r="D337" s="85">
        <v>73</v>
      </c>
      <c r="E337" s="87">
        <v>2.15</v>
      </c>
      <c r="F337" s="87"/>
      <c r="G337" s="87">
        <v>2.15</v>
      </c>
      <c r="H337" s="88" t="s">
        <v>879</v>
      </c>
      <c r="I337" s="89">
        <v>193.45</v>
      </c>
      <c r="J337" s="87"/>
      <c r="K337" s="87"/>
      <c r="L337" s="87" t="str">
        <f>IF(73*2.15=0," ",TEXT(,ROUND((73*2.15*1.234),2)))</f>
        <v>193,68</v>
      </c>
      <c r="M337" s="87"/>
      <c r="N337" s="87"/>
    </row>
    <row r="338" spans="1:14" ht="57" x14ac:dyDescent="0.25">
      <c r="A338" s="85">
        <v>155</v>
      </c>
      <c r="B338" s="86" t="s">
        <v>880</v>
      </c>
      <c r="C338" s="86" t="s">
        <v>881</v>
      </c>
      <c r="D338" s="85">
        <v>0.08</v>
      </c>
      <c r="E338" s="87" t="s">
        <v>882</v>
      </c>
      <c r="F338" s="87" t="s">
        <v>883</v>
      </c>
      <c r="G338" s="87">
        <v>51.53</v>
      </c>
      <c r="H338" s="88" t="s">
        <v>884</v>
      </c>
      <c r="I338" s="89">
        <v>221.17</v>
      </c>
      <c r="J338" s="87">
        <v>203.87</v>
      </c>
      <c r="K338" s="87" t="s">
        <v>885</v>
      </c>
      <c r="L338" s="87" t="str">
        <f>IF(0.08*51.53=0," ",TEXT(,ROUND((0.08*51.53*1.58),2)))</f>
        <v>6,51</v>
      </c>
      <c r="M338" s="87" t="s">
        <v>886</v>
      </c>
      <c r="N338" s="87">
        <v>1.3</v>
      </c>
    </row>
    <row r="339" spans="1:14" ht="57" x14ac:dyDescent="0.25">
      <c r="A339" s="85">
        <v>156</v>
      </c>
      <c r="B339" s="86" t="s">
        <v>887</v>
      </c>
      <c r="C339" s="86" t="s">
        <v>888</v>
      </c>
      <c r="D339" s="85">
        <v>0.08</v>
      </c>
      <c r="E339" s="87">
        <v>680</v>
      </c>
      <c r="F339" s="87"/>
      <c r="G339" s="87">
        <v>680</v>
      </c>
      <c r="H339" s="88" t="s">
        <v>889</v>
      </c>
      <c r="I339" s="89">
        <v>361.71</v>
      </c>
      <c r="J339" s="87"/>
      <c r="K339" s="87"/>
      <c r="L339" s="87" t="str">
        <f>IF(0.08*680=0," ",TEXT(,ROUND((0.08*680*6.649),2)))</f>
        <v>361,71</v>
      </c>
      <c r="M339" s="87"/>
      <c r="N339" s="87"/>
    </row>
    <row r="340" spans="1:14" ht="57" x14ac:dyDescent="0.25">
      <c r="A340" s="85">
        <v>157</v>
      </c>
      <c r="B340" s="86" t="s">
        <v>890</v>
      </c>
      <c r="C340" s="86" t="s">
        <v>891</v>
      </c>
      <c r="D340" s="85">
        <v>0.91</v>
      </c>
      <c r="E340" s="87" t="s">
        <v>892</v>
      </c>
      <c r="F340" s="87" t="s">
        <v>893</v>
      </c>
      <c r="G340" s="87">
        <v>12.82</v>
      </c>
      <c r="H340" s="88" t="s">
        <v>894</v>
      </c>
      <c r="I340" s="89">
        <v>462.63</v>
      </c>
      <c r="J340" s="87">
        <v>396.84</v>
      </c>
      <c r="K340" s="87" t="s">
        <v>895</v>
      </c>
      <c r="L340" s="87" t="str">
        <f>IF(0.91*12.82=0," ",TEXT(,ROUND((0.91*12.82*3.93),2)))</f>
        <v>45,85</v>
      </c>
      <c r="M340" s="87" t="s">
        <v>896</v>
      </c>
      <c r="N340" s="87" t="s">
        <v>897</v>
      </c>
    </row>
    <row r="341" spans="1:14" ht="125.4" x14ac:dyDescent="0.25">
      <c r="A341" s="85">
        <v>158</v>
      </c>
      <c r="B341" s="86" t="s">
        <v>898</v>
      </c>
      <c r="C341" s="86" t="s">
        <v>899</v>
      </c>
      <c r="D341" s="85" t="s">
        <v>900</v>
      </c>
      <c r="E341" s="87">
        <v>4832.12</v>
      </c>
      <c r="F341" s="87"/>
      <c r="G341" s="87">
        <v>4832.12</v>
      </c>
      <c r="H341" s="88" t="s">
        <v>901</v>
      </c>
      <c r="I341" s="89">
        <v>1274.74</v>
      </c>
      <c r="J341" s="87"/>
      <c r="K341" s="87"/>
      <c r="L341" s="87" t="str">
        <f>IF(0.03162*4832.12=0," ",TEXT(,ROUND((0.03162*4832.12*8.343),2)))</f>
        <v>1274,74</v>
      </c>
      <c r="M341" s="87"/>
      <c r="N341" s="87"/>
    </row>
    <row r="342" spans="1:14" ht="125.4" x14ac:dyDescent="0.25">
      <c r="A342" s="85">
        <v>159</v>
      </c>
      <c r="B342" s="86" t="s">
        <v>902</v>
      </c>
      <c r="C342" s="86" t="s">
        <v>903</v>
      </c>
      <c r="D342" s="85" t="s">
        <v>904</v>
      </c>
      <c r="E342" s="87">
        <v>6557.53</v>
      </c>
      <c r="F342" s="87"/>
      <c r="G342" s="87">
        <v>6557.53</v>
      </c>
      <c r="H342" s="88" t="s">
        <v>905</v>
      </c>
      <c r="I342" s="89">
        <v>1073.4000000000001</v>
      </c>
      <c r="J342" s="87"/>
      <c r="K342" s="87"/>
      <c r="L342" s="87" t="str">
        <f>IF(0.0204*6557.53=0," ",TEXT(,ROUND((0.0204*6557.53*8.024),2)))</f>
        <v>1073,4</v>
      </c>
      <c r="M342" s="87"/>
      <c r="N342" s="87"/>
    </row>
    <row r="343" spans="1:14" ht="45.6" x14ac:dyDescent="0.25">
      <c r="A343" s="85">
        <v>160</v>
      </c>
      <c r="B343" s="86" t="s">
        <v>906</v>
      </c>
      <c r="C343" s="86" t="s">
        <v>907</v>
      </c>
      <c r="D343" s="85" t="s">
        <v>908</v>
      </c>
      <c r="E343" s="87">
        <v>3.57</v>
      </c>
      <c r="F343" s="87"/>
      <c r="G343" s="87">
        <v>3.57</v>
      </c>
      <c r="H343" s="88" t="s">
        <v>463</v>
      </c>
      <c r="I343" s="89">
        <v>2295.98</v>
      </c>
      <c r="J343" s="87"/>
      <c r="K343" s="87"/>
      <c r="L343" s="87" t="str">
        <f>IF(115.26*3.57=0," ",TEXT(,ROUND((115.26*3.57*5.58),2)))</f>
        <v>2296,05</v>
      </c>
      <c r="M343" s="87"/>
      <c r="N343" s="87"/>
    </row>
    <row r="344" spans="1:14" ht="136.80000000000001" x14ac:dyDescent="0.25">
      <c r="A344" s="90">
        <v>161</v>
      </c>
      <c r="B344" s="91" t="s">
        <v>909</v>
      </c>
      <c r="C344" s="91" t="s">
        <v>910</v>
      </c>
      <c r="D344" s="90">
        <v>0.33</v>
      </c>
      <c r="E344" s="92" t="s">
        <v>911</v>
      </c>
      <c r="F344" s="92" t="s">
        <v>893</v>
      </c>
      <c r="G344" s="92">
        <v>104.19</v>
      </c>
      <c r="H344" s="93" t="s">
        <v>912</v>
      </c>
      <c r="I344" s="94">
        <v>1057.47</v>
      </c>
      <c r="J344" s="92">
        <v>904.71</v>
      </c>
      <c r="K344" s="92" t="s">
        <v>913</v>
      </c>
      <c r="L344" s="92" t="str">
        <f>IF(0.33*104.19=0," ",TEXT(,ROUND((0.33*104.19*3.92),2)))</f>
        <v>134,78</v>
      </c>
      <c r="M344" s="92" t="s">
        <v>914</v>
      </c>
      <c r="N344" s="92">
        <v>5.54</v>
      </c>
    </row>
    <row r="345" spans="1:14" ht="22.8" x14ac:dyDescent="0.25">
      <c r="A345" s="119" t="s">
        <v>367</v>
      </c>
      <c r="B345" s="120"/>
      <c r="C345" s="120"/>
      <c r="D345" s="120"/>
      <c r="E345" s="120"/>
      <c r="F345" s="120"/>
      <c r="G345" s="120"/>
      <c r="H345" s="120"/>
      <c r="I345" s="89">
        <v>9254.4</v>
      </c>
      <c r="J345" s="87">
        <v>3329.51</v>
      </c>
      <c r="K345" s="87" t="s">
        <v>915</v>
      </c>
      <c r="L345" s="87">
        <v>5588.5</v>
      </c>
      <c r="M345" s="87"/>
      <c r="N345" s="87" t="s">
        <v>916</v>
      </c>
    </row>
    <row r="346" spans="1:14" x14ac:dyDescent="0.25">
      <c r="A346" s="119" t="s">
        <v>370</v>
      </c>
      <c r="B346" s="120"/>
      <c r="C346" s="120"/>
      <c r="D346" s="120"/>
      <c r="E346" s="120"/>
      <c r="F346" s="120"/>
      <c r="G346" s="120"/>
      <c r="H346" s="120"/>
      <c r="I346" s="89">
        <v>2722.99</v>
      </c>
      <c r="J346" s="87"/>
      <c r="K346" s="87"/>
      <c r="L346" s="87"/>
      <c r="M346" s="87"/>
      <c r="N346" s="87"/>
    </row>
    <row r="347" spans="1:14" x14ac:dyDescent="0.25">
      <c r="A347" s="119" t="s">
        <v>371</v>
      </c>
      <c r="B347" s="120"/>
      <c r="C347" s="120"/>
      <c r="D347" s="120"/>
      <c r="E347" s="120"/>
      <c r="F347" s="120"/>
      <c r="G347" s="120"/>
      <c r="H347" s="120"/>
      <c r="I347" s="89"/>
      <c r="J347" s="87"/>
      <c r="K347" s="87"/>
      <c r="L347" s="87"/>
      <c r="M347" s="87"/>
      <c r="N347" s="87"/>
    </row>
    <row r="348" spans="1:14" x14ac:dyDescent="0.25">
      <c r="A348" s="119" t="s">
        <v>917</v>
      </c>
      <c r="B348" s="120"/>
      <c r="C348" s="120"/>
      <c r="D348" s="120"/>
      <c r="E348" s="120"/>
      <c r="F348" s="120"/>
      <c r="G348" s="120"/>
      <c r="H348" s="120"/>
      <c r="I348" s="89">
        <v>2722.99</v>
      </c>
      <c r="J348" s="87"/>
      <c r="K348" s="87"/>
      <c r="L348" s="87"/>
      <c r="M348" s="87"/>
      <c r="N348" s="87"/>
    </row>
    <row r="349" spans="1:14" x14ac:dyDescent="0.25">
      <c r="A349" s="119" t="s">
        <v>375</v>
      </c>
      <c r="B349" s="120"/>
      <c r="C349" s="120"/>
      <c r="D349" s="120"/>
      <c r="E349" s="120"/>
      <c r="F349" s="120"/>
      <c r="G349" s="120"/>
      <c r="H349" s="120"/>
      <c r="I349" s="89">
        <v>1748.09</v>
      </c>
      <c r="J349" s="87"/>
      <c r="K349" s="87"/>
      <c r="L349" s="87"/>
      <c r="M349" s="87"/>
      <c r="N349" s="87"/>
    </row>
    <row r="350" spans="1:14" x14ac:dyDescent="0.25">
      <c r="A350" s="119" t="s">
        <v>371</v>
      </c>
      <c r="B350" s="120"/>
      <c r="C350" s="120"/>
      <c r="D350" s="120"/>
      <c r="E350" s="120"/>
      <c r="F350" s="120"/>
      <c r="G350" s="120"/>
      <c r="H350" s="120"/>
      <c r="I350" s="89"/>
      <c r="J350" s="87"/>
      <c r="K350" s="87"/>
      <c r="L350" s="87"/>
      <c r="M350" s="87"/>
      <c r="N350" s="87"/>
    </row>
    <row r="351" spans="1:14" x14ac:dyDescent="0.25">
      <c r="A351" s="119" t="s">
        <v>918</v>
      </c>
      <c r="B351" s="120"/>
      <c r="C351" s="120"/>
      <c r="D351" s="120"/>
      <c r="E351" s="120"/>
      <c r="F351" s="120"/>
      <c r="G351" s="120"/>
      <c r="H351" s="120"/>
      <c r="I351" s="89">
        <v>1748.09</v>
      </c>
      <c r="J351" s="87"/>
      <c r="K351" s="87"/>
      <c r="L351" s="87"/>
      <c r="M351" s="87"/>
      <c r="N351" s="87"/>
    </row>
    <row r="352" spans="1:14" x14ac:dyDescent="0.25">
      <c r="A352" s="140" t="s">
        <v>919</v>
      </c>
      <c r="B352" s="114"/>
      <c r="C352" s="114"/>
      <c r="D352" s="114"/>
      <c r="E352" s="114"/>
      <c r="F352" s="114"/>
      <c r="G352" s="114"/>
      <c r="H352" s="114"/>
      <c r="I352" s="89"/>
      <c r="J352" s="87"/>
      <c r="K352" s="87"/>
      <c r="L352" s="87"/>
      <c r="M352" s="87"/>
      <c r="N352" s="87"/>
    </row>
    <row r="353" spans="1:14" x14ac:dyDescent="0.25">
      <c r="A353" s="119" t="s">
        <v>380</v>
      </c>
      <c r="B353" s="120"/>
      <c r="C353" s="120"/>
      <c r="D353" s="120"/>
      <c r="E353" s="120"/>
      <c r="F353" s="120"/>
      <c r="G353" s="120"/>
      <c r="H353" s="120"/>
      <c r="I353" s="89">
        <v>5199.28</v>
      </c>
      <c r="J353" s="87"/>
      <c r="K353" s="87"/>
      <c r="L353" s="87"/>
      <c r="M353" s="87"/>
      <c r="N353" s="87"/>
    </row>
    <row r="354" spans="1:14" ht="22.8" x14ac:dyDescent="0.25">
      <c r="A354" s="119" t="s">
        <v>382</v>
      </c>
      <c r="B354" s="120"/>
      <c r="C354" s="120"/>
      <c r="D354" s="120"/>
      <c r="E354" s="120"/>
      <c r="F354" s="120"/>
      <c r="G354" s="120"/>
      <c r="H354" s="120"/>
      <c r="I354" s="89">
        <v>8526.2000000000007</v>
      </c>
      <c r="J354" s="87"/>
      <c r="K354" s="87"/>
      <c r="L354" s="87"/>
      <c r="M354" s="87"/>
      <c r="N354" s="87" t="s">
        <v>916</v>
      </c>
    </row>
    <row r="355" spans="1:14" ht="22.8" x14ac:dyDescent="0.25">
      <c r="A355" s="119" t="s">
        <v>383</v>
      </c>
      <c r="B355" s="120"/>
      <c r="C355" s="120"/>
      <c r="D355" s="120"/>
      <c r="E355" s="120"/>
      <c r="F355" s="120"/>
      <c r="G355" s="120"/>
      <c r="H355" s="120"/>
      <c r="I355" s="89">
        <v>13725.48</v>
      </c>
      <c r="J355" s="87"/>
      <c r="K355" s="87"/>
      <c r="L355" s="87"/>
      <c r="M355" s="87"/>
      <c r="N355" s="87" t="s">
        <v>916</v>
      </c>
    </row>
    <row r="356" spans="1:14" x14ac:dyDescent="0.25">
      <c r="A356" s="119" t="s">
        <v>384</v>
      </c>
      <c r="B356" s="120"/>
      <c r="C356" s="120"/>
      <c r="D356" s="120"/>
      <c r="E356" s="120"/>
      <c r="F356" s="120"/>
      <c r="G356" s="120"/>
      <c r="H356" s="120"/>
      <c r="I356" s="89"/>
      <c r="J356" s="87"/>
      <c r="K356" s="87"/>
      <c r="L356" s="87"/>
      <c r="M356" s="87"/>
      <c r="N356" s="87"/>
    </row>
    <row r="357" spans="1:14" x14ac:dyDescent="0.25">
      <c r="A357" s="119" t="s">
        <v>385</v>
      </c>
      <c r="B357" s="120"/>
      <c r="C357" s="120"/>
      <c r="D357" s="120"/>
      <c r="E357" s="120"/>
      <c r="F357" s="120"/>
      <c r="G357" s="120"/>
      <c r="H357" s="120"/>
      <c r="I357" s="89">
        <v>5588.5</v>
      </c>
      <c r="J357" s="87"/>
      <c r="K357" s="87"/>
      <c r="L357" s="87"/>
      <c r="M357" s="87"/>
      <c r="N357" s="87"/>
    </row>
    <row r="358" spans="1:14" x14ac:dyDescent="0.25">
      <c r="A358" s="119" t="s">
        <v>386</v>
      </c>
      <c r="B358" s="120"/>
      <c r="C358" s="120"/>
      <c r="D358" s="120"/>
      <c r="E358" s="120"/>
      <c r="F358" s="120"/>
      <c r="G358" s="120"/>
      <c r="H358" s="120"/>
      <c r="I358" s="89">
        <v>336.39</v>
      </c>
      <c r="J358" s="87"/>
      <c r="K358" s="87"/>
      <c r="L358" s="87"/>
      <c r="M358" s="87"/>
      <c r="N358" s="87"/>
    </row>
    <row r="359" spans="1:14" x14ac:dyDescent="0.25">
      <c r="A359" s="119" t="s">
        <v>387</v>
      </c>
      <c r="B359" s="120"/>
      <c r="C359" s="120"/>
      <c r="D359" s="120"/>
      <c r="E359" s="120"/>
      <c r="F359" s="120"/>
      <c r="G359" s="120"/>
      <c r="H359" s="120"/>
      <c r="I359" s="89">
        <v>3361.72</v>
      </c>
      <c r="J359" s="87"/>
      <c r="K359" s="87"/>
      <c r="L359" s="87"/>
      <c r="M359" s="87"/>
      <c r="N359" s="87"/>
    </row>
    <row r="360" spans="1:14" x14ac:dyDescent="0.25">
      <c r="A360" s="119" t="s">
        <v>388</v>
      </c>
      <c r="B360" s="120"/>
      <c r="C360" s="120"/>
      <c r="D360" s="120"/>
      <c r="E360" s="120"/>
      <c r="F360" s="120"/>
      <c r="G360" s="120"/>
      <c r="H360" s="120"/>
      <c r="I360" s="89">
        <v>2722.99</v>
      </c>
      <c r="J360" s="87"/>
      <c r="K360" s="87"/>
      <c r="L360" s="87"/>
      <c r="M360" s="87"/>
      <c r="N360" s="87"/>
    </row>
    <row r="361" spans="1:14" x14ac:dyDescent="0.25">
      <c r="A361" s="119" t="s">
        <v>389</v>
      </c>
      <c r="B361" s="120"/>
      <c r="C361" s="120"/>
      <c r="D361" s="120"/>
      <c r="E361" s="120"/>
      <c r="F361" s="120"/>
      <c r="G361" s="120"/>
      <c r="H361" s="120"/>
      <c r="I361" s="89">
        <v>1748.09</v>
      </c>
      <c r="J361" s="87"/>
      <c r="K361" s="87"/>
      <c r="L361" s="87"/>
      <c r="M361" s="87"/>
      <c r="N361" s="87"/>
    </row>
    <row r="362" spans="1:14" ht="22.8" x14ac:dyDescent="0.25">
      <c r="A362" s="141" t="s">
        <v>920</v>
      </c>
      <c r="B362" s="142"/>
      <c r="C362" s="142"/>
      <c r="D362" s="142"/>
      <c r="E362" s="142"/>
      <c r="F362" s="142"/>
      <c r="G362" s="142"/>
      <c r="H362" s="142"/>
      <c r="I362" s="94">
        <v>13725.48</v>
      </c>
      <c r="J362" s="92"/>
      <c r="K362" s="92"/>
      <c r="L362" s="92"/>
      <c r="M362" s="92"/>
      <c r="N362" s="92" t="s">
        <v>916</v>
      </c>
    </row>
    <row r="363" spans="1:14" ht="17.850000000000001" customHeight="1" x14ac:dyDescent="0.25">
      <c r="A363" s="113" t="s">
        <v>921</v>
      </c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</row>
    <row r="364" spans="1:14" ht="17.850000000000001" customHeight="1" x14ac:dyDescent="0.25">
      <c r="A364" s="115" t="s">
        <v>922</v>
      </c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</row>
    <row r="365" spans="1:14" ht="125.4" x14ac:dyDescent="0.25">
      <c r="A365" s="85">
        <v>162</v>
      </c>
      <c r="B365" s="86" t="s">
        <v>923</v>
      </c>
      <c r="C365" s="86" t="s">
        <v>924</v>
      </c>
      <c r="D365" s="85">
        <v>1.3</v>
      </c>
      <c r="E365" s="87" t="s">
        <v>925</v>
      </c>
      <c r="F365" s="87" t="s">
        <v>926</v>
      </c>
      <c r="G365" s="87">
        <v>1315.78</v>
      </c>
      <c r="H365" s="88" t="s">
        <v>927</v>
      </c>
      <c r="I365" s="89">
        <v>15719.99</v>
      </c>
      <c r="J365" s="87">
        <v>4217.33</v>
      </c>
      <c r="K365" s="87" t="s">
        <v>928</v>
      </c>
      <c r="L365" s="87" t="str">
        <f>IF(1.3*1315.78=0," ",TEXT(,ROUND((1.3*1315.78*1.61),2)))</f>
        <v>2753,93</v>
      </c>
      <c r="M365" s="87" t="s">
        <v>929</v>
      </c>
      <c r="N365" s="87" t="s">
        <v>930</v>
      </c>
    </row>
    <row r="366" spans="1:14" ht="136.80000000000001" x14ac:dyDescent="0.25">
      <c r="A366" s="85">
        <v>163</v>
      </c>
      <c r="B366" s="86" t="s">
        <v>931</v>
      </c>
      <c r="C366" s="86" t="s">
        <v>932</v>
      </c>
      <c r="D366" s="85">
        <v>1.3</v>
      </c>
      <c r="E366" s="87" t="s">
        <v>933</v>
      </c>
      <c r="F366" s="87" t="s">
        <v>934</v>
      </c>
      <c r="G366" s="87">
        <v>131.58000000000001</v>
      </c>
      <c r="H366" s="88" t="s">
        <v>927</v>
      </c>
      <c r="I366" s="89">
        <v>1213.47</v>
      </c>
      <c r="J366" s="87">
        <v>226.25</v>
      </c>
      <c r="K366" s="87" t="s">
        <v>935</v>
      </c>
      <c r="L366" s="87" t="str">
        <f>IF(1.3*131.58=0," ",TEXT(,ROUND((1.3*131.58*1.61),2)))</f>
        <v>275,4</v>
      </c>
      <c r="M366" s="87" t="s">
        <v>936</v>
      </c>
      <c r="N366" s="87" t="s">
        <v>937</v>
      </c>
    </row>
    <row r="367" spans="1:14" ht="125.4" x14ac:dyDescent="0.25">
      <c r="A367" s="85">
        <v>164</v>
      </c>
      <c r="B367" s="86" t="s">
        <v>938</v>
      </c>
      <c r="C367" s="86" t="s">
        <v>939</v>
      </c>
      <c r="D367" s="85">
        <v>0.04</v>
      </c>
      <c r="E367" s="87" t="s">
        <v>940</v>
      </c>
      <c r="F367" s="87" t="s">
        <v>941</v>
      </c>
      <c r="G367" s="87">
        <v>7750.69</v>
      </c>
      <c r="H367" s="88" t="s">
        <v>927</v>
      </c>
      <c r="I367" s="89">
        <v>1079.51</v>
      </c>
      <c r="J367" s="87">
        <v>199.39</v>
      </c>
      <c r="K367" s="87" t="s">
        <v>942</v>
      </c>
      <c r="L367" s="87" t="str">
        <f>IF(0.04*7750.69=0," ",TEXT(,ROUND((0.04*7750.69*1.61),2)))</f>
        <v>499,14</v>
      </c>
      <c r="M367" s="87" t="s">
        <v>943</v>
      </c>
      <c r="N367" s="87" t="s">
        <v>944</v>
      </c>
    </row>
    <row r="368" spans="1:14" ht="136.80000000000001" x14ac:dyDescent="0.25">
      <c r="A368" s="85">
        <v>165</v>
      </c>
      <c r="B368" s="86" t="s">
        <v>945</v>
      </c>
      <c r="C368" s="86" t="s">
        <v>946</v>
      </c>
      <c r="D368" s="85">
        <v>0.04</v>
      </c>
      <c r="E368" s="87" t="s">
        <v>947</v>
      </c>
      <c r="F368" s="87" t="s">
        <v>948</v>
      </c>
      <c r="G368" s="87">
        <v>775.06</v>
      </c>
      <c r="H368" s="88" t="s">
        <v>927</v>
      </c>
      <c r="I368" s="89">
        <v>112.71</v>
      </c>
      <c r="J368" s="87">
        <v>29.37</v>
      </c>
      <c r="K368" s="87" t="s">
        <v>949</v>
      </c>
      <c r="L368" s="87" t="str">
        <f>IF(0.04*775.06=0," ",TEXT(,ROUND((0.04*775.06*1.61),2)))</f>
        <v>49,91</v>
      </c>
      <c r="M368" s="87" t="s">
        <v>950</v>
      </c>
      <c r="N368" s="87" t="s">
        <v>951</v>
      </c>
    </row>
    <row r="369" spans="1:14" ht="57" x14ac:dyDescent="0.25">
      <c r="A369" s="85">
        <v>166</v>
      </c>
      <c r="B369" s="86" t="s">
        <v>952</v>
      </c>
      <c r="C369" s="86" t="s">
        <v>953</v>
      </c>
      <c r="D369" s="85" t="s">
        <v>954</v>
      </c>
      <c r="E369" s="87" t="s">
        <v>955</v>
      </c>
      <c r="F369" s="87" t="s">
        <v>956</v>
      </c>
      <c r="G369" s="87">
        <v>227.76</v>
      </c>
      <c r="H369" s="88" t="s">
        <v>957</v>
      </c>
      <c r="I369" s="89">
        <v>9663.52</v>
      </c>
      <c r="J369" s="87">
        <v>7658.39</v>
      </c>
      <c r="K369" s="87" t="s">
        <v>958</v>
      </c>
      <c r="L369" s="87" t="str">
        <f>IF(1.34*227.76=0," ",TEXT(,ROUND((1.34*227.76*5.77),2)))</f>
        <v>1760,99</v>
      </c>
      <c r="M369" s="87" t="s">
        <v>959</v>
      </c>
      <c r="N369" s="87" t="s">
        <v>960</v>
      </c>
    </row>
    <row r="370" spans="1:14" ht="79.8" x14ac:dyDescent="0.25">
      <c r="A370" s="85">
        <v>167</v>
      </c>
      <c r="B370" s="86" t="s">
        <v>961</v>
      </c>
      <c r="C370" s="86" t="s">
        <v>962</v>
      </c>
      <c r="D370" s="85">
        <v>1.46</v>
      </c>
      <c r="E370" s="87" t="s">
        <v>963</v>
      </c>
      <c r="F370" s="87" t="s">
        <v>964</v>
      </c>
      <c r="G370" s="87"/>
      <c r="H370" s="88" t="s">
        <v>965</v>
      </c>
      <c r="I370" s="89">
        <v>21617.91</v>
      </c>
      <c r="J370" s="87">
        <v>11206.81</v>
      </c>
      <c r="K370" s="87" t="s">
        <v>966</v>
      </c>
      <c r="L370" s="87" t="str">
        <f>IF(1.46*0=0," ",TEXT(,ROUND((1.46*0*1),2)))</f>
        <v xml:space="preserve"> </v>
      </c>
      <c r="M370" s="87" t="s">
        <v>967</v>
      </c>
      <c r="N370" s="87" t="s">
        <v>968</v>
      </c>
    </row>
    <row r="371" spans="1:14" ht="68.400000000000006" x14ac:dyDescent="0.25">
      <c r="A371" s="85">
        <v>168</v>
      </c>
      <c r="B371" s="86" t="s">
        <v>969</v>
      </c>
      <c r="C371" s="86" t="s">
        <v>970</v>
      </c>
      <c r="D371" s="85">
        <v>0.55720000000000003</v>
      </c>
      <c r="E371" s="87" t="s">
        <v>971</v>
      </c>
      <c r="F371" s="87" t="s">
        <v>972</v>
      </c>
      <c r="G371" s="87"/>
      <c r="H371" s="88" t="s">
        <v>973</v>
      </c>
      <c r="I371" s="89">
        <v>5207.3900000000003</v>
      </c>
      <c r="J371" s="87">
        <v>2417.61</v>
      </c>
      <c r="K371" s="87" t="s">
        <v>974</v>
      </c>
      <c r="L371" s="87" t="str">
        <f>IF(0.5572*0=0," ",TEXT(,ROUND((0.5572*0*1),2)))</f>
        <v xml:space="preserve"> </v>
      </c>
      <c r="M371" s="87" t="s">
        <v>975</v>
      </c>
      <c r="N371" s="87" t="s">
        <v>976</v>
      </c>
    </row>
    <row r="372" spans="1:14" ht="79.8" x14ac:dyDescent="0.25">
      <c r="A372" s="85">
        <v>169</v>
      </c>
      <c r="B372" s="86" t="s">
        <v>977</v>
      </c>
      <c r="C372" s="86" t="s">
        <v>978</v>
      </c>
      <c r="D372" s="85">
        <v>8.3580000000000005</v>
      </c>
      <c r="E372" s="87" t="s">
        <v>979</v>
      </c>
      <c r="F372" s="87">
        <v>35.229999999999997</v>
      </c>
      <c r="G372" s="87">
        <v>1286.4000000000001</v>
      </c>
      <c r="H372" s="88" t="s">
        <v>980</v>
      </c>
      <c r="I372" s="89">
        <v>141412.01</v>
      </c>
      <c r="J372" s="87">
        <v>83666.25</v>
      </c>
      <c r="K372" s="87">
        <v>3342.03</v>
      </c>
      <c r="L372" s="87" t="str">
        <f>IF(8.358*1286.4=0," ",TEXT(,ROUND((8.358*1286.4*5.06),2)))</f>
        <v>54403,76</v>
      </c>
      <c r="M372" s="87">
        <v>75.22</v>
      </c>
      <c r="N372" s="87">
        <v>628.69000000000005</v>
      </c>
    </row>
    <row r="373" spans="1:14" ht="57" x14ac:dyDescent="0.25">
      <c r="A373" s="85">
        <v>170</v>
      </c>
      <c r="B373" s="86" t="s">
        <v>981</v>
      </c>
      <c r="C373" s="86" t="s">
        <v>982</v>
      </c>
      <c r="D373" s="85">
        <v>-7.9399999999999998E-2</v>
      </c>
      <c r="E373" s="87">
        <v>4455.2</v>
      </c>
      <c r="F373" s="87"/>
      <c r="G373" s="87">
        <v>4455.2</v>
      </c>
      <c r="H373" s="88" t="s">
        <v>983</v>
      </c>
      <c r="I373" s="89">
        <v>-1707.52</v>
      </c>
      <c r="J373" s="87"/>
      <c r="K373" s="87"/>
      <c r="L373" s="87" t="str">
        <f>IF(-0.0794*4455.2=0," ",TEXT(,ROUND((-0.0794*4455.2*4.827),2)))</f>
        <v>-1707,52</v>
      </c>
      <c r="M373" s="87"/>
      <c r="N373" s="87"/>
    </row>
    <row r="374" spans="1:14" ht="57" x14ac:dyDescent="0.25">
      <c r="A374" s="85">
        <v>171</v>
      </c>
      <c r="B374" s="86" t="s">
        <v>984</v>
      </c>
      <c r="C374" s="86" t="s">
        <v>985</v>
      </c>
      <c r="D374" s="85">
        <v>-4.931E-2</v>
      </c>
      <c r="E374" s="87">
        <v>11978</v>
      </c>
      <c r="F374" s="87"/>
      <c r="G374" s="87">
        <v>11978</v>
      </c>
      <c r="H374" s="88" t="s">
        <v>986</v>
      </c>
      <c r="I374" s="89">
        <v>-1773.09</v>
      </c>
      <c r="J374" s="87"/>
      <c r="K374" s="87"/>
      <c r="L374" s="87" t="str">
        <f>IF(-0.04931*11978=0," ",TEXT(,ROUND((-0.04931*11978*3.002),2)))</f>
        <v>-1773,09</v>
      </c>
      <c r="M374" s="87"/>
      <c r="N374" s="87"/>
    </row>
    <row r="375" spans="1:14" ht="68.400000000000006" x14ac:dyDescent="0.25">
      <c r="A375" s="85">
        <v>172</v>
      </c>
      <c r="B375" s="86" t="s">
        <v>987</v>
      </c>
      <c r="C375" s="86" t="s">
        <v>988</v>
      </c>
      <c r="D375" s="85">
        <v>-1.7549999999999999</v>
      </c>
      <c r="E375" s="87">
        <v>1287</v>
      </c>
      <c r="F375" s="87"/>
      <c r="G375" s="87">
        <v>1287</v>
      </c>
      <c r="H375" s="88" t="s">
        <v>989</v>
      </c>
      <c r="I375" s="89">
        <v>-12282.74</v>
      </c>
      <c r="J375" s="87"/>
      <c r="K375" s="87"/>
      <c r="L375" s="87" t="str">
        <f>IF(-1.755*1287=0," ",TEXT(,ROUND((-1.755*1287*5.438),2)))</f>
        <v>-12282,73</v>
      </c>
      <c r="M375" s="87"/>
      <c r="N375" s="87"/>
    </row>
    <row r="376" spans="1:14" ht="68.400000000000006" x14ac:dyDescent="0.25">
      <c r="A376" s="85">
        <v>173</v>
      </c>
      <c r="B376" s="86" t="s">
        <v>990</v>
      </c>
      <c r="C376" s="86" t="s">
        <v>991</v>
      </c>
      <c r="D376" s="85">
        <v>-1.504</v>
      </c>
      <c r="E376" s="87">
        <v>1155</v>
      </c>
      <c r="F376" s="87"/>
      <c r="G376" s="87">
        <v>1155</v>
      </c>
      <c r="H376" s="88" t="s">
        <v>992</v>
      </c>
      <c r="I376" s="89">
        <v>-8121.04</v>
      </c>
      <c r="J376" s="87"/>
      <c r="K376" s="87"/>
      <c r="L376" s="87" t="str">
        <f>IF(-1.504*1155=0," ",TEXT(,ROUND((-1.504*1155*4.675),2)))</f>
        <v>-8121,04</v>
      </c>
      <c r="M376" s="87"/>
      <c r="N376" s="87"/>
    </row>
    <row r="377" spans="1:14" ht="68.400000000000006" x14ac:dyDescent="0.25">
      <c r="A377" s="85">
        <v>174</v>
      </c>
      <c r="B377" s="86" t="s">
        <v>993</v>
      </c>
      <c r="C377" s="86" t="s">
        <v>994</v>
      </c>
      <c r="D377" s="85">
        <v>0.35499999999999998</v>
      </c>
      <c r="E377" s="87" t="s">
        <v>995</v>
      </c>
      <c r="F377" s="87"/>
      <c r="G377" s="87"/>
      <c r="H377" s="88" t="s">
        <v>996</v>
      </c>
      <c r="I377" s="89">
        <v>171.75</v>
      </c>
      <c r="J377" s="87">
        <v>171.75</v>
      </c>
      <c r="K377" s="87"/>
      <c r="L377" s="87" t="str">
        <f>IF(0.355*0=0," ",TEXT(,ROUND((0.355*0*1),2)))</f>
        <v xml:space="preserve"> </v>
      </c>
      <c r="M377" s="87">
        <v>3.77</v>
      </c>
      <c r="N377" s="87">
        <v>1.34</v>
      </c>
    </row>
    <row r="378" spans="1:14" ht="57" x14ac:dyDescent="0.25">
      <c r="A378" s="85">
        <v>175</v>
      </c>
      <c r="B378" s="86" t="s">
        <v>997</v>
      </c>
      <c r="C378" s="86" t="s">
        <v>998</v>
      </c>
      <c r="D378" s="85">
        <v>0.35499999999999998</v>
      </c>
      <c r="E378" s="87" t="s">
        <v>999</v>
      </c>
      <c r="F378" s="87">
        <v>6.97</v>
      </c>
      <c r="G378" s="87">
        <v>496.43</v>
      </c>
      <c r="H378" s="88" t="s">
        <v>1000</v>
      </c>
      <c r="I378" s="89">
        <v>1385.65</v>
      </c>
      <c r="J378" s="87">
        <v>381.04</v>
      </c>
      <c r="K378" s="87">
        <v>28.28</v>
      </c>
      <c r="L378" s="87" t="str">
        <f>IF(0.355*496.43=0," ",TEXT(,ROUND((0.355*496.43*5.54),2)))</f>
        <v>976,33</v>
      </c>
      <c r="M378" s="87">
        <v>7.65</v>
      </c>
      <c r="N378" s="87">
        <v>2.72</v>
      </c>
    </row>
    <row r="379" spans="1:14" ht="57" x14ac:dyDescent="0.25">
      <c r="A379" s="85">
        <v>176</v>
      </c>
      <c r="B379" s="86" t="s">
        <v>1001</v>
      </c>
      <c r="C379" s="86" t="s">
        <v>1002</v>
      </c>
      <c r="D379" s="85">
        <v>-35.86</v>
      </c>
      <c r="E379" s="87">
        <v>4.8899999999999997</v>
      </c>
      <c r="F379" s="87"/>
      <c r="G379" s="87">
        <v>4.8899999999999997</v>
      </c>
      <c r="H379" s="88" t="s">
        <v>1003</v>
      </c>
      <c r="I379" s="89">
        <v>-972.52</v>
      </c>
      <c r="J379" s="87"/>
      <c r="K379" s="87"/>
      <c r="L379" s="87" t="str">
        <f>IF(-35.86*4.89=0," ",TEXT(,ROUND((-35.86*4.89*5.547),2)))</f>
        <v>-972,7</v>
      </c>
      <c r="M379" s="87"/>
      <c r="N379" s="87"/>
    </row>
    <row r="380" spans="1:14" ht="68.400000000000006" x14ac:dyDescent="0.25">
      <c r="A380" s="85">
        <v>177</v>
      </c>
      <c r="B380" s="86" t="s">
        <v>1004</v>
      </c>
      <c r="C380" s="86" t="s">
        <v>1005</v>
      </c>
      <c r="D380" s="85">
        <v>0.17749999999999999</v>
      </c>
      <c r="E380" s="87" t="s">
        <v>1006</v>
      </c>
      <c r="F380" s="87" t="s">
        <v>1007</v>
      </c>
      <c r="G380" s="87"/>
      <c r="H380" s="88" t="s">
        <v>1008</v>
      </c>
      <c r="I380" s="89">
        <v>257.45999999999998</v>
      </c>
      <c r="J380" s="87">
        <v>252.58</v>
      </c>
      <c r="K380" s="87" t="s">
        <v>1009</v>
      </c>
      <c r="L380" s="87" t="str">
        <f>IF(0.1775*0=0," ",TEXT(,ROUND((0.1775*0*1),2)))</f>
        <v xml:space="preserve"> </v>
      </c>
      <c r="M380" s="87" t="s">
        <v>1010</v>
      </c>
      <c r="N380" s="87" t="s">
        <v>1011</v>
      </c>
    </row>
    <row r="381" spans="1:14" ht="57" x14ac:dyDescent="0.25">
      <c r="A381" s="85">
        <v>178</v>
      </c>
      <c r="B381" s="86" t="s">
        <v>1012</v>
      </c>
      <c r="C381" s="86" t="s">
        <v>1013</v>
      </c>
      <c r="D381" s="85">
        <v>0.17749999999999999</v>
      </c>
      <c r="E381" s="87" t="s">
        <v>1014</v>
      </c>
      <c r="F381" s="87" t="s">
        <v>1015</v>
      </c>
      <c r="G381" s="87">
        <v>6356.61</v>
      </c>
      <c r="H381" s="88" t="s">
        <v>1016</v>
      </c>
      <c r="I381" s="89">
        <v>8440.2199999999993</v>
      </c>
      <c r="J381" s="87">
        <v>1512.32</v>
      </c>
      <c r="K381" s="87" t="s">
        <v>1017</v>
      </c>
      <c r="L381" s="87" t="str">
        <f>IF(0.1775*6356.61=0," ",TEXT(,ROUND((0.1775*6356.61*5.98),2)))</f>
        <v>6747,22</v>
      </c>
      <c r="M381" s="87" t="s">
        <v>1018</v>
      </c>
      <c r="N381" s="87" t="s">
        <v>1019</v>
      </c>
    </row>
    <row r="382" spans="1:14" ht="102.6" x14ac:dyDescent="0.25">
      <c r="A382" s="85">
        <v>179</v>
      </c>
      <c r="B382" s="86" t="s">
        <v>1020</v>
      </c>
      <c r="C382" s="86" t="s">
        <v>1021</v>
      </c>
      <c r="D382" s="85">
        <v>-0.51119999999999999</v>
      </c>
      <c r="E382" s="87">
        <v>2156</v>
      </c>
      <c r="F382" s="87"/>
      <c r="G382" s="87">
        <v>2156</v>
      </c>
      <c r="H382" s="88" t="s">
        <v>1022</v>
      </c>
      <c r="I382" s="89">
        <v>-6872.99</v>
      </c>
      <c r="J382" s="87"/>
      <c r="K382" s="87"/>
      <c r="L382" s="87" t="str">
        <f>IF(-0.5112*2156=0," ",TEXT(,ROUND((-0.5112*2156*6.236),2)))</f>
        <v>-6872,99</v>
      </c>
      <c r="M382" s="87"/>
      <c r="N382" s="87"/>
    </row>
    <row r="383" spans="1:14" ht="79.8" x14ac:dyDescent="0.25">
      <c r="A383" s="85">
        <v>180</v>
      </c>
      <c r="B383" s="86" t="s">
        <v>1023</v>
      </c>
      <c r="C383" s="86" t="s">
        <v>1024</v>
      </c>
      <c r="D383" s="85">
        <v>2.2499999999999999E-2</v>
      </c>
      <c r="E383" s="87" t="s">
        <v>1025</v>
      </c>
      <c r="F383" s="87" t="s">
        <v>1026</v>
      </c>
      <c r="G383" s="87"/>
      <c r="H383" s="88" t="s">
        <v>1027</v>
      </c>
      <c r="I383" s="89">
        <v>1541.34</v>
      </c>
      <c r="J383" s="87">
        <v>748.48</v>
      </c>
      <c r="K383" s="87" t="s">
        <v>1028</v>
      </c>
      <c r="L383" s="87" t="str">
        <f>IF(0.0225*0=0," ",TEXT(,ROUND((0.0225*0*1),2)))</f>
        <v xml:space="preserve"> </v>
      </c>
      <c r="M383" s="87" t="s">
        <v>1029</v>
      </c>
      <c r="N383" s="87" t="s">
        <v>1030</v>
      </c>
    </row>
    <row r="384" spans="1:14" ht="91.2" x14ac:dyDescent="0.25">
      <c r="A384" s="85">
        <v>181</v>
      </c>
      <c r="B384" s="86" t="s">
        <v>1031</v>
      </c>
      <c r="C384" s="86" t="s">
        <v>1032</v>
      </c>
      <c r="D384" s="85">
        <v>5.1749999999999998</v>
      </c>
      <c r="E384" s="87">
        <v>3.28</v>
      </c>
      <c r="F384" s="87">
        <v>3.28</v>
      </c>
      <c r="G384" s="87"/>
      <c r="H384" s="88" t="s">
        <v>1033</v>
      </c>
      <c r="I384" s="89">
        <v>196.24</v>
      </c>
      <c r="J384" s="87"/>
      <c r="K384" s="87">
        <v>196.24</v>
      </c>
      <c r="L384" s="87" t="str">
        <f>IF(5.175*0=0," ",TEXT(,ROUND((5.175*0*1),2)))</f>
        <v xml:space="preserve"> </v>
      </c>
      <c r="M384" s="87"/>
      <c r="N384" s="87"/>
    </row>
    <row r="385" spans="1:14" ht="102.6" x14ac:dyDescent="0.25">
      <c r="A385" s="85">
        <v>182</v>
      </c>
      <c r="B385" s="86" t="s">
        <v>1034</v>
      </c>
      <c r="C385" s="86" t="s">
        <v>1035</v>
      </c>
      <c r="D385" s="85">
        <v>5.1749999999999998</v>
      </c>
      <c r="E385" s="87">
        <v>2.91</v>
      </c>
      <c r="F385" s="87">
        <v>2.91</v>
      </c>
      <c r="G385" s="87"/>
      <c r="H385" s="88" t="s">
        <v>1036</v>
      </c>
      <c r="I385" s="89">
        <v>144.12</v>
      </c>
      <c r="J385" s="87"/>
      <c r="K385" s="87">
        <v>144.12</v>
      </c>
      <c r="L385" s="87" t="str">
        <f>IF(5.175*0=0," ",TEXT(,ROUND((5.175*0*1),2)))</f>
        <v xml:space="preserve"> </v>
      </c>
      <c r="M385" s="87"/>
      <c r="N385" s="87"/>
    </row>
    <row r="386" spans="1:14" ht="91.2" x14ac:dyDescent="0.25">
      <c r="A386" s="85">
        <v>183</v>
      </c>
      <c r="B386" s="86" t="s">
        <v>1037</v>
      </c>
      <c r="C386" s="86" t="s">
        <v>1038</v>
      </c>
      <c r="D386" s="85">
        <v>8.9999999999999993E-3</v>
      </c>
      <c r="E386" s="87" t="s">
        <v>1039</v>
      </c>
      <c r="F386" s="87" t="s">
        <v>1040</v>
      </c>
      <c r="G386" s="87"/>
      <c r="H386" s="88" t="s">
        <v>1041</v>
      </c>
      <c r="I386" s="89">
        <v>153.5</v>
      </c>
      <c r="J386" s="87">
        <v>6.51</v>
      </c>
      <c r="K386" s="87" t="s">
        <v>1042</v>
      </c>
      <c r="L386" s="87" t="str">
        <f>IF(0.009*0=0," ",TEXT(,ROUND((0.009*0*1),2)))</f>
        <v xml:space="preserve"> </v>
      </c>
      <c r="M386" s="87" t="s">
        <v>1043</v>
      </c>
      <c r="N386" s="87" t="s">
        <v>1044</v>
      </c>
    </row>
    <row r="387" spans="1:14" ht="79.8" x14ac:dyDescent="0.25">
      <c r="A387" s="85">
        <v>184</v>
      </c>
      <c r="B387" s="86" t="s">
        <v>1045</v>
      </c>
      <c r="C387" s="86" t="s">
        <v>1046</v>
      </c>
      <c r="D387" s="85">
        <v>5.0000000000000001E-3</v>
      </c>
      <c r="E387" s="87" t="s">
        <v>1047</v>
      </c>
      <c r="F387" s="87"/>
      <c r="G387" s="87"/>
      <c r="H387" s="88" t="s">
        <v>1048</v>
      </c>
      <c r="I387" s="89">
        <v>75.7</v>
      </c>
      <c r="J387" s="87">
        <v>75.7</v>
      </c>
      <c r="K387" s="87"/>
      <c r="L387" s="87" t="str">
        <f>IF(0.005*0=0," ",TEXT(,ROUND((0.005*0*1),2)))</f>
        <v xml:space="preserve"> </v>
      </c>
      <c r="M387" s="87">
        <v>118</v>
      </c>
      <c r="N387" s="87">
        <v>0.59</v>
      </c>
    </row>
    <row r="388" spans="1:14" ht="68.400000000000006" x14ac:dyDescent="0.25">
      <c r="A388" s="85">
        <v>185</v>
      </c>
      <c r="B388" s="86" t="s">
        <v>1049</v>
      </c>
      <c r="C388" s="86" t="s">
        <v>1050</v>
      </c>
      <c r="D388" s="85">
        <v>0.1</v>
      </c>
      <c r="E388" s="87" t="s">
        <v>1051</v>
      </c>
      <c r="F388" s="87" t="s">
        <v>1052</v>
      </c>
      <c r="G388" s="87">
        <v>247.81</v>
      </c>
      <c r="H388" s="88" t="s">
        <v>1053</v>
      </c>
      <c r="I388" s="89">
        <v>8205.76</v>
      </c>
      <c r="J388" s="87">
        <v>1853.09</v>
      </c>
      <c r="K388" s="87" t="s">
        <v>1054</v>
      </c>
      <c r="L388" s="87" t="str">
        <f>IF(0.1*247.81=0," ",TEXT(,ROUND((0.1*247.81*5.33),2)))</f>
        <v>132,08</v>
      </c>
      <c r="M388" s="87" t="s">
        <v>1055</v>
      </c>
      <c r="N388" s="87" t="s">
        <v>1056</v>
      </c>
    </row>
    <row r="389" spans="1:14" ht="91.2" x14ac:dyDescent="0.25">
      <c r="A389" s="85">
        <v>186</v>
      </c>
      <c r="B389" s="86" t="s">
        <v>1057</v>
      </c>
      <c r="C389" s="86" t="s">
        <v>1058</v>
      </c>
      <c r="D389" s="85">
        <v>8.9999999999999993E-3</v>
      </c>
      <c r="E389" s="87">
        <v>451.97</v>
      </c>
      <c r="F389" s="87" t="s">
        <v>1059</v>
      </c>
      <c r="G389" s="87"/>
      <c r="H389" s="88" t="s">
        <v>1060</v>
      </c>
      <c r="I389" s="89">
        <v>60.65</v>
      </c>
      <c r="J389" s="87"/>
      <c r="K389" s="87" t="s">
        <v>1061</v>
      </c>
      <c r="L389" s="87" t="str">
        <f>IF(0.009*0=0," ",TEXT(,ROUND((0.009*0*1),2)))</f>
        <v xml:space="preserve"> </v>
      </c>
      <c r="M389" s="87" t="s">
        <v>1062</v>
      </c>
      <c r="N389" s="87" t="s">
        <v>1063</v>
      </c>
    </row>
    <row r="390" spans="1:14" ht="114" x14ac:dyDescent="0.25">
      <c r="A390" s="85">
        <v>187</v>
      </c>
      <c r="B390" s="86" t="s">
        <v>1064</v>
      </c>
      <c r="C390" s="86" t="s">
        <v>1065</v>
      </c>
      <c r="D390" s="85">
        <v>2.2499999999999998E-3</v>
      </c>
      <c r="E390" s="87" t="s">
        <v>1066</v>
      </c>
      <c r="F390" s="87" t="s">
        <v>1067</v>
      </c>
      <c r="G390" s="87">
        <v>20487.599999999999</v>
      </c>
      <c r="H390" s="88" t="s">
        <v>1068</v>
      </c>
      <c r="I390" s="89">
        <v>495.24</v>
      </c>
      <c r="J390" s="87">
        <v>11.18</v>
      </c>
      <c r="K390" s="87" t="s">
        <v>1069</v>
      </c>
      <c r="L390" s="87" t="str">
        <f>IF(0.00225*20487.6=0," ",TEXT(,ROUND((0.00225*20487.6*8.75),2)))</f>
        <v>403,35</v>
      </c>
      <c r="M390" s="87" t="s">
        <v>1070</v>
      </c>
      <c r="N390" s="87" t="s">
        <v>1071</v>
      </c>
    </row>
    <row r="391" spans="1:14" ht="102.6" x14ac:dyDescent="0.25">
      <c r="A391" s="85">
        <v>188</v>
      </c>
      <c r="B391" s="86" t="s">
        <v>1072</v>
      </c>
      <c r="C391" s="86" t="s">
        <v>1073</v>
      </c>
      <c r="D391" s="85">
        <v>2.2499999999999998E-3</v>
      </c>
      <c r="E391" s="87" t="s">
        <v>1074</v>
      </c>
      <c r="F391" s="87" t="s">
        <v>1075</v>
      </c>
      <c r="G391" s="87">
        <v>43911.63</v>
      </c>
      <c r="H391" s="88" t="s">
        <v>1076</v>
      </c>
      <c r="I391" s="89">
        <v>696.42</v>
      </c>
      <c r="J391" s="87">
        <v>13.64</v>
      </c>
      <c r="K391" s="87" t="s">
        <v>1077</v>
      </c>
      <c r="L391" s="87" t="str">
        <f>IF(0.00225*43911.63=0," ",TEXT(,ROUND((0.00225*43911.63*6.37),2)))</f>
        <v>629,36</v>
      </c>
      <c r="M391" s="87" t="s">
        <v>1078</v>
      </c>
      <c r="N391" s="87" t="s">
        <v>1079</v>
      </c>
    </row>
    <row r="392" spans="1:14" ht="136.80000000000001" x14ac:dyDescent="0.25">
      <c r="A392" s="85">
        <v>189</v>
      </c>
      <c r="B392" s="86" t="s">
        <v>1080</v>
      </c>
      <c r="C392" s="86" t="s">
        <v>1081</v>
      </c>
      <c r="D392" s="85">
        <v>2.2499999999999998E-3</v>
      </c>
      <c r="E392" s="87" t="s">
        <v>1082</v>
      </c>
      <c r="F392" s="87">
        <v>37.200000000000003</v>
      </c>
      <c r="G392" s="87">
        <v>65658.84</v>
      </c>
      <c r="H392" s="88" t="s">
        <v>1076</v>
      </c>
      <c r="I392" s="89">
        <v>942.27</v>
      </c>
      <c r="J392" s="87">
        <v>0.39</v>
      </c>
      <c r="K392" s="87">
        <v>0.83</v>
      </c>
      <c r="L392" s="87" t="str">
        <f>IF(0.00225*65658.84=0," ",TEXT(,ROUND((0.00225*65658.84*6.37),2)))</f>
        <v>941,06</v>
      </c>
      <c r="M392" s="87">
        <v>1.08</v>
      </c>
      <c r="N392" s="87"/>
    </row>
    <row r="393" spans="1:14" ht="17.850000000000001" customHeight="1" x14ac:dyDescent="0.25">
      <c r="A393" s="115" t="s">
        <v>1083</v>
      </c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</row>
    <row r="394" spans="1:14" ht="114" x14ac:dyDescent="0.25">
      <c r="A394" s="85">
        <v>190</v>
      </c>
      <c r="B394" s="86" t="s">
        <v>1084</v>
      </c>
      <c r="C394" s="86" t="s">
        <v>1085</v>
      </c>
      <c r="D394" s="85">
        <v>2</v>
      </c>
      <c r="E394" s="87" t="s">
        <v>1086</v>
      </c>
      <c r="F394" s="87" t="s">
        <v>1087</v>
      </c>
      <c r="G394" s="87">
        <v>499.76</v>
      </c>
      <c r="H394" s="88" t="s">
        <v>1088</v>
      </c>
      <c r="I394" s="89">
        <v>7023.7</v>
      </c>
      <c r="J394" s="87">
        <v>2361.2399999999998</v>
      </c>
      <c r="K394" s="87" t="s">
        <v>1089</v>
      </c>
      <c r="L394" s="87" t="str">
        <f>IF(2*499.76=0," ",TEXT(,ROUND((2*499.76*4.44),2)))</f>
        <v>4437,87</v>
      </c>
      <c r="M394" s="87" t="s">
        <v>1090</v>
      </c>
      <c r="N394" s="87" t="s">
        <v>1091</v>
      </c>
    </row>
    <row r="395" spans="1:14" ht="114" x14ac:dyDescent="0.25">
      <c r="A395" s="85">
        <v>191</v>
      </c>
      <c r="B395" s="86" t="s">
        <v>359</v>
      </c>
      <c r="C395" s="86" t="s">
        <v>1092</v>
      </c>
      <c r="D395" s="85">
        <v>2</v>
      </c>
      <c r="E395" s="87" t="s">
        <v>1093</v>
      </c>
      <c r="F395" s="87">
        <v>9.59</v>
      </c>
      <c r="G395" s="87">
        <v>11.23</v>
      </c>
      <c r="H395" s="88" t="s">
        <v>362</v>
      </c>
      <c r="I395" s="89">
        <v>1207.1600000000001</v>
      </c>
      <c r="J395" s="87">
        <v>888.62</v>
      </c>
      <c r="K395" s="87">
        <v>219.04</v>
      </c>
      <c r="L395" s="87" t="str">
        <f>IF(2*11.23=0," ",TEXT(,ROUND((2*11.23*4.43),2)))</f>
        <v>99,5</v>
      </c>
      <c r="M395" s="87">
        <v>3.09</v>
      </c>
      <c r="N395" s="87">
        <v>6.18</v>
      </c>
    </row>
    <row r="396" spans="1:14" ht="79.8" x14ac:dyDescent="0.25">
      <c r="A396" s="85">
        <v>192</v>
      </c>
      <c r="B396" s="86" t="s">
        <v>1094</v>
      </c>
      <c r="C396" s="86" t="s">
        <v>1095</v>
      </c>
      <c r="D396" s="85">
        <v>4</v>
      </c>
      <c r="E396" s="87">
        <v>25</v>
      </c>
      <c r="F396" s="87"/>
      <c r="G396" s="87">
        <v>25</v>
      </c>
      <c r="H396" s="88" t="s">
        <v>1096</v>
      </c>
      <c r="I396" s="89">
        <v>835.72</v>
      </c>
      <c r="J396" s="87"/>
      <c r="K396" s="87"/>
      <c r="L396" s="87" t="str">
        <f>IF(4*25=0," ",TEXT(,ROUND((4*25*8.357),2)))</f>
        <v>835,7</v>
      </c>
      <c r="M396" s="87"/>
      <c r="N396" s="87"/>
    </row>
    <row r="397" spans="1:14" ht="79.8" x14ac:dyDescent="0.25">
      <c r="A397" s="90">
        <v>193</v>
      </c>
      <c r="B397" s="91" t="s">
        <v>363</v>
      </c>
      <c r="C397" s="91" t="s">
        <v>1097</v>
      </c>
      <c r="D397" s="90">
        <v>2</v>
      </c>
      <c r="E397" s="92" t="s">
        <v>775</v>
      </c>
      <c r="F397" s="92"/>
      <c r="G397" s="92">
        <v>1.31</v>
      </c>
      <c r="H397" s="93" t="s">
        <v>366</v>
      </c>
      <c r="I397" s="94">
        <v>348.16</v>
      </c>
      <c r="J397" s="92">
        <v>336.24</v>
      </c>
      <c r="K397" s="92"/>
      <c r="L397" s="92" t="str">
        <f>IF(2*1.31=0," ",TEXT(,ROUND((2*1.31*4.55),2)))</f>
        <v>11,92</v>
      </c>
      <c r="M397" s="92">
        <v>1.03</v>
      </c>
      <c r="N397" s="92">
        <v>2.06</v>
      </c>
    </row>
    <row r="398" spans="1:14" ht="22.8" x14ac:dyDescent="0.25">
      <c r="A398" s="119" t="s">
        <v>367</v>
      </c>
      <c r="B398" s="120"/>
      <c r="C398" s="120"/>
      <c r="D398" s="120"/>
      <c r="E398" s="120"/>
      <c r="F398" s="120"/>
      <c r="G398" s="120"/>
      <c r="H398" s="120"/>
      <c r="I398" s="89">
        <v>196477.67</v>
      </c>
      <c r="J398" s="87">
        <v>118234.18</v>
      </c>
      <c r="K398" s="87" t="s">
        <v>1098</v>
      </c>
      <c r="L398" s="87">
        <v>43227.63</v>
      </c>
      <c r="M398" s="87"/>
      <c r="N398" s="87" t="s">
        <v>1099</v>
      </c>
    </row>
    <row r="399" spans="1:14" x14ac:dyDescent="0.25">
      <c r="A399" s="119" t="s">
        <v>370</v>
      </c>
      <c r="B399" s="120"/>
      <c r="C399" s="120"/>
      <c r="D399" s="120"/>
      <c r="E399" s="120"/>
      <c r="F399" s="120"/>
      <c r="G399" s="120"/>
      <c r="H399" s="120"/>
      <c r="I399" s="89">
        <v>108372.89</v>
      </c>
      <c r="J399" s="87"/>
      <c r="K399" s="87"/>
      <c r="L399" s="87"/>
      <c r="M399" s="87"/>
      <c r="N399" s="87"/>
    </row>
    <row r="400" spans="1:14" x14ac:dyDescent="0.25">
      <c r="A400" s="119" t="s">
        <v>371</v>
      </c>
      <c r="B400" s="120"/>
      <c r="C400" s="120"/>
      <c r="D400" s="120"/>
      <c r="E400" s="120"/>
      <c r="F400" s="120"/>
      <c r="G400" s="120"/>
      <c r="H400" s="120"/>
      <c r="I400" s="89"/>
      <c r="J400" s="87"/>
      <c r="K400" s="87"/>
      <c r="L400" s="87"/>
      <c r="M400" s="87"/>
      <c r="N400" s="87"/>
    </row>
    <row r="401" spans="1:14" x14ac:dyDescent="0.25">
      <c r="A401" s="119" t="s">
        <v>1100</v>
      </c>
      <c r="B401" s="120"/>
      <c r="C401" s="120"/>
      <c r="D401" s="120"/>
      <c r="E401" s="120"/>
      <c r="F401" s="120"/>
      <c r="G401" s="120"/>
      <c r="H401" s="120"/>
      <c r="I401" s="89">
        <v>46.18</v>
      </c>
      <c r="J401" s="87"/>
      <c r="K401" s="87"/>
      <c r="L401" s="87"/>
      <c r="M401" s="87"/>
      <c r="N401" s="87"/>
    </row>
    <row r="402" spans="1:14" x14ac:dyDescent="0.25">
      <c r="A402" s="119" t="s">
        <v>1101</v>
      </c>
      <c r="B402" s="120"/>
      <c r="C402" s="120"/>
      <c r="D402" s="120"/>
      <c r="E402" s="120"/>
      <c r="F402" s="120"/>
      <c r="G402" s="120"/>
      <c r="H402" s="120"/>
      <c r="I402" s="89">
        <v>6380.63</v>
      </c>
      <c r="J402" s="87"/>
      <c r="K402" s="87"/>
      <c r="L402" s="87"/>
      <c r="M402" s="87"/>
      <c r="N402" s="87"/>
    </row>
    <row r="403" spans="1:14" x14ac:dyDescent="0.25">
      <c r="A403" s="119" t="s">
        <v>1102</v>
      </c>
      <c r="B403" s="120"/>
      <c r="C403" s="120"/>
      <c r="D403" s="120"/>
      <c r="E403" s="120"/>
      <c r="F403" s="120"/>
      <c r="G403" s="120"/>
      <c r="H403" s="120"/>
      <c r="I403" s="89">
        <v>32.18</v>
      </c>
      <c r="J403" s="87"/>
      <c r="K403" s="87"/>
      <c r="L403" s="87"/>
      <c r="M403" s="87"/>
      <c r="N403" s="87"/>
    </row>
    <row r="404" spans="1:14" x14ac:dyDescent="0.25">
      <c r="A404" s="119" t="s">
        <v>1103</v>
      </c>
      <c r="B404" s="120"/>
      <c r="C404" s="120"/>
      <c r="D404" s="120"/>
      <c r="E404" s="120"/>
      <c r="F404" s="120"/>
      <c r="G404" s="120"/>
      <c r="H404" s="120"/>
      <c r="I404" s="89">
        <v>796.71</v>
      </c>
      <c r="J404" s="87"/>
      <c r="K404" s="87"/>
      <c r="L404" s="87"/>
      <c r="M404" s="87"/>
      <c r="N404" s="87"/>
    </row>
    <row r="405" spans="1:14" x14ac:dyDescent="0.25">
      <c r="A405" s="119" t="s">
        <v>1104</v>
      </c>
      <c r="B405" s="120"/>
      <c r="C405" s="120"/>
      <c r="D405" s="120"/>
      <c r="E405" s="120"/>
      <c r="F405" s="120"/>
      <c r="G405" s="120"/>
      <c r="H405" s="120"/>
      <c r="I405" s="89">
        <v>93814.42</v>
      </c>
      <c r="J405" s="87"/>
      <c r="K405" s="87"/>
      <c r="L405" s="87"/>
      <c r="M405" s="87"/>
      <c r="N405" s="87"/>
    </row>
    <row r="406" spans="1:14" x14ac:dyDescent="0.25">
      <c r="A406" s="119" t="s">
        <v>1105</v>
      </c>
      <c r="B406" s="120"/>
      <c r="C406" s="120"/>
      <c r="D406" s="120"/>
      <c r="E406" s="120"/>
      <c r="F406" s="120"/>
      <c r="G406" s="120"/>
      <c r="H406" s="120"/>
      <c r="I406" s="89">
        <v>1801.25</v>
      </c>
      <c r="J406" s="87"/>
      <c r="K406" s="87"/>
      <c r="L406" s="87"/>
      <c r="M406" s="87"/>
      <c r="N406" s="87"/>
    </row>
    <row r="407" spans="1:14" x14ac:dyDescent="0.25">
      <c r="A407" s="119" t="s">
        <v>1106</v>
      </c>
      <c r="B407" s="120"/>
      <c r="C407" s="120"/>
      <c r="D407" s="120"/>
      <c r="E407" s="120"/>
      <c r="F407" s="120"/>
      <c r="G407" s="120"/>
      <c r="H407" s="120"/>
      <c r="I407" s="89">
        <v>2322.7199999999998</v>
      </c>
      <c r="J407" s="87"/>
      <c r="K407" s="87"/>
      <c r="L407" s="87"/>
      <c r="M407" s="87"/>
      <c r="N407" s="87"/>
    </row>
    <row r="408" spans="1:14" x14ac:dyDescent="0.25">
      <c r="A408" s="119" t="s">
        <v>1107</v>
      </c>
      <c r="B408" s="120"/>
      <c r="C408" s="120"/>
      <c r="D408" s="120"/>
      <c r="E408" s="120"/>
      <c r="F408" s="120"/>
      <c r="G408" s="120"/>
      <c r="H408" s="120"/>
      <c r="I408" s="89">
        <v>3115.43</v>
      </c>
      <c r="J408" s="87"/>
      <c r="K408" s="87"/>
      <c r="L408" s="87"/>
      <c r="M408" s="87"/>
      <c r="N408" s="87"/>
    </row>
    <row r="409" spans="1:14" x14ac:dyDescent="0.25">
      <c r="A409" s="119" t="s">
        <v>1108</v>
      </c>
      <c r="B409" s="120"/>
      <c r="C409" s="120"/>
      <c r="D409" s="120"/>
      <c r="E409" s="120"/>
      <c r="F409" s="120"/>
      <c r="G409" s="120"/>
      <c r="H409" s="120"/>
      <c r="I409" s="89">
        <v>63.37</v>
      </c>
      <c r="J409" s="87"/>
      <c r="K409" s="87"/>
      <c r="L409" s="87"/>
      <c r="M409" s="87"/>
      <c r="N409" s="87"/>
    </row>
    <row r="410" spans="1:14" x14ac:dyDescent="0.25">
      <c r="A410" s="119" t="s">
        <v>375</v>
      </c>
      <c r="B410" s="120"/>
      <c r="C410" s="120"/>
      <c r="D410" s="120"/>
      <c r="E410" s="120"/>
      <c r="F410" s="120"/>
      <c r="G410" s="120"/>
      <c r="H410" s="120"/>
      <c r="I410" s="89">
        <v>63238.53</v>
      </c>
      <c r="J410" s="87"/>
      <c r="K410" s="87"/>
      <c r="L410" s="87"/>
      <c r="M410" s="87"/>
      <c r="N410" s="87"/>
    </row>
    <row r="411" spans="1:14" x14ac:dyDescent="0.25">
      <c r="A411" s="119" t="s">
        <v>371</v>
      </c>
      <c r="B411" s="120"/>
      <c r="C411" s="120"/>
      <c r="D411" s="120"/>
      <c r="E411" s="120"/>
      <c r="F411" s="120"/>
      <c r="G411" s="120"/>
      <c r="H411" s="120"/>
      <c r="I411" s="89"/>
      <c r="J411" s="87"/>
      <c r="K411" s="87"/>
      <c r="L411" s="87"/>
      <c r="M411" s="87"/>
      <c r="N411" s="87"/>
    </row>
    <row r="412" spans="1:14" x14ac:dyDescent="0.25">
      <c r="A412" s="119" t="s">
        <v>1109</v>
      </c>
      <c r="B412" s="120"/>
      <c r="C412" s="120"/>
      <c r="D412" s="120"/>
      <c r="E412" s="120"/>
      <c r="F412" s="120"/>
      <c r="G412" s="120"/>
      <c r="H412" s="120"/>
      <c r="I412" s="89">
        <v>23.47</v>
      </c>
      <c r="J412" s="87"/>
      <c r="K412" s="87"/>
      <c r="L412" s="87"/>
      <c r="M412" s="87"/>
      <c r="N412" s="87"/>
    </row>
    <row r="413" spans="1:14" x14ac:dyDescent="0.25">
      <c r="A413" s="119" t="s">
        <v>1110</v>
      </c>
      <c r="B413" s="120"/>
      <c r="C413" s="120"/>
      <c r="D413" s="120"/>
      <c r="E413" s="120"/>
      <c r="F413" s="120"/>
      <c r="G413" s="120"/>
      <c r="H413" s="120"/>
      <c r="I413" s="89">
        <v>14.99</v>
      </c>
      <c r="J413" s="87"/>
      <c r="K413" s="87"/>
      <c r="L413" s="87"/>
      <c r="M413" s="87"/>
      <c r="N413" s="87"/>
    </row>
    <row r="414" spans="1:14" x14ac:dyDescent="0.25">
      <c r="A414" s="119" t="s">
        <v>1111</v>
      </c>
      <c r="B414" s="120"/>
      <c r="C414" s="120"/>
      <c r="D414" s="120"/>
      <c r="E414" s="120"/>
      <c r="F414" s="120"/>
      <c r="G414" s="120"/>
      <c r="H414" s="120"/>
      <c r="I414" s="89">
        <v>1022.5</v>
      </c>
      <c r="J414" s="87"/>
      <c r="K414" s="87"/>
      <c r="L414" s="87"/>
      <c r="M414" s="87"/>
      <c r="N414" s="87"/>
    </row>
    <row r="415" spans="1:14" x14ac:dyDescent="0.25">
      <c r="A415" s="119" t="s">
        <v>1112</v>
      </c>
      <c r="B415" s="120"/>
      <c r="C415" s="120"/>
      <c r="D415" s="120"/>
      <c r="E415" s="120"/>
      <c r="F415" s="120"/>
      <c r="G415" s="120"/>
      <c r="H415" s="120"/>
      <c r="I415" s="89">
        <v>4405.55</v>
      </c>
      <c r="J415" s="87"/>
      <c r="K415" s="87"/>
      <c r="L415" s="87"/>
      <c r="M415" s="87"/>
      <c r="N415" s="87"/>
    </row>
    <row r="416" spans="1:14" x14ac:dyDescent="0.25">
      <c r="A416" s="119" t="s">
        <v>1113</v>
      </c>
      <c r="B416" s="120"/>
      <c r="C416" s="120"/>
      <c r="D416" s="120"/>
      <c r="E416" s="120"/>
      <c r="F416" s="120"/>
      <c r="G416" s="120"/>
      <c r="H416" s="120"/>
      <c r="I416" s="89">
        <v>53608.24</v>
      </c>
      <c r="J416" s="87"/>
      <c r="K416" s="87"/>
      <c r="L416" s="87"/>
      <c r="M416" s="87"/>
      <c r="N416" s="87"/>
    </row>
    <row r="417" spans="1:14" x14ac:dyDescent="0.25">
      <c r="A417" s="119" t="s">
        <v>1114</v>
      </c>
      <c r="B417" s="120"/>
      <c r="C417" s="120"/>
      <c r="D417" s="120"/>
      <c r="E417" s="120"/>
      <c r="F417" s="120"/>
      <c r="G417" s="120"/>
      <c r="H417" s="120"/>
      <c r="I417" s="89">
        <v>977.27</v>
      </c>
      <c r="J417" s="87"/>
      <c r="K417" s="87"/>
      <c r="L417" s="87"/>
      <c r="M417" s="87"/>
      <c r="N417" s="87"/>
    </row>
    <row r="418" spans="1:14" x14ac:dyDescent="0.25">
      <c r="A418" s="119" t="s">
        <v>1115</v>
      </c>
      <c r="B418" s="120"/>
      <c r="C418" s="120"/>
      <c r="D418" s="120"/>
      <c r="E418" s="120"/>
      <c r="F418" s="120"/>
      <c r="G418" s="120"/>
      <c r="H418" s="120"/>
      <c r="I418" s="89">
        <v>1327.27</v>
      </c>
      <c r="J418" s="87"/>
      <c r="K418" s="87"/>
      <c r="L418" s="87"/>
      <c r="M418" s="87"/>
      <c r="N418" s="87"/>
    </row>
    <row r="419" spans="1:14" x14ac:dyDescent="0.25">
      <c r="A419" s="119" t="s">
        <v>1116</v>
      </c>
      <c r="B419" s="120"/>
      <c r="C419" s="120"/>
      <c r="D419" s="120"/>
      <c r="E419" s="120"/>
      <c r="F419" s="120"/>
      <c r="G419" s="120"/>
      <c r="H419" s="120"/>
      <c r="I419" s="89">
        <v>1825.2</v>
      </c>
      <c r="J419" s="87"/>
      <c r="K419" s="87"/>
      <c r="L419" s="87"/>
      <c r="M419" s="87"/>
      <c r="N419" s="87"/>
    </row>
    <row r="420" spans="1:14" x14ac:dyDescent="0.25">
      <c r="A420" s="119" t="s">
        <v>1117</v>
      </c>
      <c r="B420" s="120"/>
      <c r="C420" s="120"/>
      <c r="D420" s="120"/>
      <c r="E420" s="120"/>
      <c r="F420" s="120"/>
      <c r="G420" s="120"/>
      <c r="H420" s="120"/>
      <c r="I420" s="89">
        <v>34.04</v>
      </c>
      <c r="J420" s="87"/>
      <c r="K420" s="87"/>
      <c r="L420" s="87"/>
      <c r="M420" s="87"/>
      <c r="N420" s="87"/>
    </row>
    <row r="421" spans="1:14" x14ac:dyDescent="0.25">
      <c r="A421" s="140" t="s">
        <v>1118</v>
      </c>
      <c r="B421" s="114"/>
      <c r="C421" s="114"/>
      <c r="D421" s="114"/>
      <c r="E421" s="114"/>
      <c r="F421" s="114"/>
      <c r="G421" s="114"/>
      <c r="H421" s="114"/>
      <c r="I421" s="89"/>
      <c r="J421" s="87"/>
      <c r="K421" s="87"/>
      <c r="L421" s="87"/>
      <c r="M421" s="87"/>
      <c r="N421" s="87"/>
    </row>
    <row r="422" spans="1:14" ht="22.8" x14ac:dyDescent="0.25">
      <c r="A422" s="119" t="s">
        <v>380</v>
      </c>
      <c r="B422" s="120"/>
      <c r="C422" s="120"/>
      <c r="D422" s="120"/>
      <c r="E422" s="120"/>
      <c r="F422" s="120"/>
      <c r="G422" s="120"/>
      <c r="H422" s="120"/>
      <c r="I422" s="89">
        <v>365112.94</v>
      </c>
      <c r="J422" s="87"/>
      <c r="K422" s="87"/>
      <c r="L422" s="87"/>
      <c r="M422" s="87"/>
      <c r="N422" s="87" t="s">
        <v>1119</v>
      </c>
    </row>
    <row r="423" spans="1:14" x14ac:dyDescent="0.25">
      <c r="A423" s="119" t="s">
        <v>382</v>
      </c>
      <c r="B423" s="120"/>
      <c r="C423" s="120"/>
      <c r="D423" s="120"/>
      <c r="E423" s="120"/>
      <c r="F423" s="120"/>
      <c r="G423" s="120"/>
      <c r="H423" s="120"/>
      <c r="I423" s="89">
        <v>2976.15</v>
      </c>
      <c r="J423" s="87"/>
      <c r="K423" s="87"/>
      <c r="L423" s="87"/>
      <c r="M423" s="87"/>
      <c r="N423" s="87">
        <v>8.24</v>
      </c>
    </row>
    <row r="424" spans="1:14" ht="22.8" x14ac:dyDescent="0.25">
      <c r="A424" s="119" t="s">
        <v>383</v>
      </c>
      <c r="B424" s="120"/>
      <c r="C424" s="120"/>
      <c r="D424" s="120"/>
      <c r="E424" s="120"/>
      <c r="F424" s="120"/>
      <c r="G424" s="120"/>
      <c r="H424" s="120"/>
      <c r="I424" s="89">
        <v>368089.09</v>
      </c>
      <c r="J424" s="87"/>
      <c r="K424" s="87"/>
      <c r="L424" s="87"/>
      <c r="M424" s="87"/>
      <c r="N424" s="87" t="s">
        <v>1099</v>
      </c>
    </row>
    <row r="425" spans="1:14" x14ac:dyDescent="0.25">
      <c r="A425" s="119" t="s">
        <v>384</v>
      </c>
      <c r="B425" s="120"/>
      <c r="C425" s="120"/>
      <c r="D425" s="120"/>
      <c r="E425" s="120"/>
      <c r="F425" s="120"/>
      <c r="G425" s="120"/>
      <c r="H425" s="120"/>
      <c r="I425" s="89"/>
      <c r="J425" s="87"/>
      <c r="K425" s="87"/>
      <c r="L425" s="87"/>
      <c r="M425" s="87"/>
      <c r="N425" s="87"/>
    </row>
    <row r="426" spans="1:14" x14ac:dyDescent="0.25">
      <c r="A426" s="119" t="s">
        <v>385</v>
      </c>
      <c r="B426" s="120"/>
      <c r="C426" s="120"/>
      <c r="D426" s="120"/>
      <c r="E426" s="120"/>
      <c r="F426" s="120"/>
      <c r="G426" s="120"/>
      <c r="H426" s="120"/>
      <c r="I426" s="89">
        <v>43227.63</v>
      </c>
      <c r="J426" s="87"/>
      <c r="K426" s="87"/>
      <c r="L426" s="87"/>
      <c r="M426" s="87"/>
      <c r="N426" s="87"/>
    </row>
    <row r="427" spans="1:14" x14ac:dyDescent="0.25">
      <c r="A427" s="119" t="s">
        <v>386</v>
      </c>
      <c r="B427" s="120"/>
      <c r="C427" s="120"/>
      <c r="D427" s="120"/>
      <c r="E427" s="120"/>
      <c r="F427" s="120"/>
      <c r="G427" s="120"/>
      <c r="H427" s="120"/>
      <c r="I427" s="89">
        <v>35015.86</v>
      </c>
      <c r="J427" s="87"/>
      <c r="K427" s="87"/>
      <c r="L427" s="87"/>
      <c r="M427" s="87"/>
      <c r="N427" s="87"/>
    </row>
    <row r="428" spans="1:14" x14ac:dyDescent="0.25">
      <c r="A428" s="119" t="s">
        <v>387</v>
      </c>
      <c r="B428" s="120"/>
      <c r="C428" s="120"/>
      <c r="D428" s="120"/>
      <c r="E428" s="120"/>
      <c r="F428" s="120"/>
      <c r="G428" s="120"/>
      <c r="H428" s="120"/>
      <c r="I428" s="89">
        <v>129577.86</v>
      </c>
      <c r="J428" s="87"/>
      <c r="K428" s="87"/>
      <c r="L428" s="87"/>
      <c r="M428" s="87"/>
      <c r="N428" s="87"/>
    </row>
    <row r="429" spans="1:14" x14ac:dyDescent="0.25">
      <c r="A429" s="119" t="s">
        <v>388</v>
      </c>
      <c r="B429" s="120"/>
      <c r="C429" s="120"/>
      <c r="D429" s="120"/>
      <c r="E429" s="120"/>
      <c r="F429" s="120"/>
      <c r="G429" s="120"/>
      <c r="H429" s="120"/>
      <c r="I429" s="89">
        <v>108372.89</v>
      </c>
      <c r="J429" s="87"/>
      <c r="K429" s="87"/>
      <c r="L429" s="87"/>
      <c r="M429" s="87"/>
      <c r="N429" s="87"/>
    </row>
    <row r="430" spans="1:14" x14ac:dyDescent="0.25">
      <c r="A430" s="119" t="s">
        <v>389</v>
      </c>
      <c r="B430" s="120"/>
      <c r="C430" s="120"/>
      <c r="D430" s="120"/>
      <c r="E430" s="120"/>
      <c r="F430" s="120"/>
      <c r="G430" s="120"/>
      <c r="H430" s="120"/>
      <c r="I430" s="89">
        <v>63238.53</v>
      </c>
      <c r="J430" s="87"/>
      <c r="K430" s="87"/>
      <c r="L430" s="87"/>
      <c r="M430" s="87"/>
      <c r="N430" s="87"/>
    </row>
    <row r="431" spans="1:14" ht="22.8" x14ac:dyDescent="0.25">
      <c r="A431" s="141" t="s">
        <v>1120</v>
      </c>
      <c r="B431" s="142"/>
      <c r="C431" s="142"/>
      <c r="D431" s="142"/>
      <c r="E431" s="142"/>
      <c r="F431" s="142"/>
      <c r="G431" s="142"/>
      <c r="H431" s="142"/>
      <c r="I431" s="94">
        <v>368089.09</v>
      </c>
      <c r="J431" s="92"/>
      <c r="K431" s="92"/>
      <c r="L431" s="92"/>
      <c r="M431" s="92"/>
      <c r="N431" s="92" t="s">
        <v>1099</v>
      </c>
    </row>
    <row r="432" spans="1:14" ht="22.8" x14ac:dyDescent="0.25">
      <c r="A432" s="144" t="s">
        <v>1121</v>
      </c>
      <c r="B432" s="120"/>
      <c r="C432" s="120"/>
      <c r="D432" s="120"/>
      <c r="E432" s="120"/>
      <c r="F432" s="120"/>
      <c r="G432" s="120"/>
      <c r="H432" s="120"/>
      <c r="I432" s="95">
        <v>2447676.81</v>
      </c>
      <c r="J432" s="95">
        <v>474623.61</v>
      </c>
      <c r="K432" s="95" t="s">
        <v>1122</v>
      </c>
      <c r="L432" s="95">
        <v>1627283.86</v>
      </c>
      <c r="M432" s="95"/>
      <c r="N432" s="95" t="s">
        <v>1123</v>
      </c>
    </row>
    <row r="433" spans="1:14" x14ac:dyDescent="0.25">
      <c r="A433" s="144" t="s">
        <v>370</v>
      </c>
      <c r="B433" s="120"/>
      <c r="C433" s="120"/>
      <c r="D433" s="120"/>
      <c r="E433" s="120"/>
      <c r="F433" s="120"/>
      <c r="G433" s="120"/>
      <c r="H433" s="120"/>
      <c r="I433" s="95">
        <v>418980.99</v>
      </c>
      <c r="J433" s="95"/>
      <c r="K433" s="95"/>
      <c r="L433" s="95"/>
      <c r="M433" s="95"/>
      <c r="N433" s="95"/>
    </row>
    <row r="434" spans="1:14" x14ac:dyDescent="0.25">
      <c r="A434" s="144" t="s">
        <v>375</v>
      </c>
      <c r="B434" s="120"/>
      <c r="C434" s="120"/>
      <c r="D434" s="120"/>
      <c r="E434" s="120"/>
      <c r="F434" s="120"/>
      <c r="G434" s="120"/>
      <c r="H434" s="120"/>
      <c r="I434" s="95">
        <v>246787.11</v>
      </c>
      <c r="J434" s="95"/>
      <c r="K434" s="95"/>
      <c r="L434" s="95"/>
      <c r="M434" s="95"/>
      <c r="N434" s="95"/>
    </row>
    <row r="435" spans="1:14" x14ac:dyDescent="0.25">
      <c r="A435" s="143" t="s">
        <v>1124</v>
      </c>
      <c r="B435" s="114"/>
      <c r="C435" s="114"/>
      <c r="D435" s="114"/>
      <c r="E435" s="114"/>
      <c r="F435" s="114"/>
      <c r="G435" s="114"/>
      <c r="H435" s="114"/>
      <c r="I435" s="95"/>
      <c r="J435" s="95"/>
      <c r="K435" s="95"/>
      <c r="L435" s="95"/>
      <c r="M435" s="95"/>
      <c r="N435" s="95"/>
    </row>
    <row r="436" spans="1:14" ht="22.8" x14ac:dyDescent="0.25">
      <c r="A436" s="144" t="s">
        <v>380</v>
      </c>
      <c r="B436" s="120"/>
      <c r="C436" s="120"/>
      <c r="D436" s="120"/>
      <c r="E436" s="120"/>
      <c r="F436" s="120"/>
      <c r="G436" s="120"/>
      <c r="H436" s="120"/>
      <c r="I436" s="95">
        <v>2820961.43</v>
      </c>
      <c r="J436" s="95">
        <v>2821</v>
      </c>
      <c r="K436" s="95"/>
      <c r="L436" s="95"/>
      <c r="M436" s="95"/>
      <c r="N436" s="95" t="s">
        <v>1125</v>
      </c>
    </row>
    <row r="437" spans="1:14" ht="22.8" x14ac:dyDescent="0.25">
      <c r="A437" s="144" t="s">
        <v>382</v>
      </c>
      <c r="B437" s="120"/>
      <c r="C437" s="120"/>
      <c r="D437" s="120"/>
      <c r="E437" s="120"/>
      <c r="F437" s="120"/>
      <c r="G437" s="120"/>
      <c r="H437" s="120"/>
      <c r="I437" s="95">
        <v>29687.31</v>
      </c>
      <c r="J437" s="95">
        <v>29.69</v>
      </c>
      <c r="K437" s="95"/>
      <c r="L437" s="95"/>
      <c r="M437" s="95"/>
      <c r="N437" s="95" t="s">
        <v>1126</v>
      </c>
    </row>
    <row r="438" spans="1:14" x14ac:dyDescent="0.25">
      <c r="A438" s="144" t="s">
        <v>529</v>
      </c>
      <c r="B438" s="120"/>
      <c r="C438" s="120"/>
      <c r="D438" s="120"/>
      <c r="E438" s="120"/>
      <c r="F438" s="120"/>
      <c r="G438" s="120"/>
      <c r="H438" s="120"/>
      <c r="I438" s="95">
        <v>262796.17</v>
      </c>
      <c r="J438" s="95">
        <v>262.8</v>
      </c>
      <c r="K438" s="95"/>
      <c r="L438" s="95"/>
      <c r="M438" s="95"/>
      <c r="N438" s="95"/>
    </row>
    <row r="439" spans="1:14" ht="22.8" x14ac:dyDescent="0.25">
      <c r="A439" s="144" t="s">
        <v>383</v>
      </c>
      <c r="B439" s="120"/>
      <c r="C439" s="120"/>
      <c r="D439" s="120"/>
      <c r="E439" s="120"/>
      <c r="F439" s="120"/>
      <c r="G439" s="120"/>
      <c r="H439" s="120"/>
      <c r="I439" s="95">
        <v>3113444.91</v>
      </c>
      <c r="J439" s="95"/>
      <c r="K439" s="95"/>
      <c r="L439" s="95"/>
      <c r="M439" s="95"/>
      <c r="N439" s="95" t="s">
        <v>1123</v>
      </c>
    </row>
    <row r="440" spans="1:14" x14ac:dyDescent="0.25">
      <c r="A440" s="144" t="s">
        <v>384</v>
      </c>
      <c r="B440" s="120"/>
      <c r="C440" s="120"/>
      <c r="D440" s="120"/>
      <c r="E440" s="120"/>
      <c r="F440" s="120"/>
      <c r="G440" s="120"/>
      <c r="H440" s="120"/>
      <c r="I440" s="95"/>
      <c r="J440" s="95"/>
      <c r="K440" s="95"/>
      <c r="L440" s="95"/>
      <c r="M440" s="95"/>
      <c r="N440" s="95"/>
    </row>
    <row r="441" spans="1:14" x14ac:dyDescent="0.25">
      <c r="A441" s="144" t="s">
        <v>385</v>
      </c>
      <c r="B441" s="120"/>
      <c r="C441" s="120"/>
      <c r="D441" s="120"/>
      <c r="E441" s="120"/>
      <c r="F441" s="120"/>
      <c r="G441" s="120"/>
      <c r="H441" s="120"/>
      <c r="I441" s="95">
        <v>1627283.86</v>
      </c>
      <c r="J441" s="95"/>
      <c r="K441" s="95"/>
      <c r="L441" s="95"/>
      <c r="M441" s="95"/>
      <c r="N441" s="95"/>
    </row>
    <row r="442" spans="1:14" x14ac:dyDescent="0.25">
      <c r="A442" s="144" t="s">
        <v>386</v>
      </c>
      <c r="B442" s="120"/>
      <c r="C442" s="120"/>
      <c r="D442" s="120"/>
      <c r="E442" s="120"/>
      <c r="F442" s="120"/>
      <c r="G442" s="120"/>
      <c r="H442" s="120"/>
      <c r="I442" s="95">
        <v>82973.17</v>
      </c>
      <c r="J442" s="95"/>
      <c r="K442" s="95"/>
      <c r="L442" s="95"/>
      <c r="M442" s="95"/>
      <c r="N442" s="95"/>
    </row>
    <row r="443" spans="1:14" x14ac:dyDescent="0.25">
      <c r="A443" s="144" t="s">
        <v>387</v>
      </c>
      <c r="B443" s="120"/>
      <c r="C443" s="120"/>
      <c r="D443" s="120"/>
      <c r="E443" s="120"/>
      <c r="F443" s="120"/>
      <c r="G443" s="120"/>
      <c r="H443" s="120"/>
      <c r="I443" s="95">
        <v>489928.61</v>
      </c>
      <c r="J443" s="95"/>
      <c r="K443" s="95"/>
      <c r="L443" s="95"/>
      <c r="M443" s="95"/>
      <c r="N443" s="95"/>
    </row>
    <row r="444" spans="1:14" x14ac:dyDescent="0.25">
      <c r="A444" s="144" t="s">
        <v>530</v>
      </c>
      <c r="B444" s="120"/>
      <c r="C444" s="120"/>
      <c r="D444" s="120"/>
      <c r="E444" s="120"/>
      <c r="F444" s="120"/>
      <c r="G444" s="120"/>
      <c r="H444" s="120"/>
      <c r="I444" s="95">
        <v>262796.17</v>
      </c>
      <c r="J444" s="95"/>
      <c r="K444" s="95"/>
      <c r="L444" s="95"/>
      <c r="M444" s="95"/>
      <c r="N444" s="95"/>
    </row>
    <row r="445" spans="1:14" x14ac:dyDescent="0.25">
      <c r="A445" s="144" t="s">
        <v>388</v>
      </c>
      <c r="B445" s="120"/>
      <c r="C445" s="120"/>
      <c r="D445" s="120"/>
      <c r="E445" s="120"/>
      <c r="F445" s="120"/>
      <c r="G445" s="120"/>
      <c r="H445" s="120"/>
      <c r="I445" s="95">
        <v>418980.99</v>
      </c>
      <c r="J445" s="95"/>
      <c r="K445" s="95"/>
      <c r="L445" s="95"/>
      <c r="M445" s="95"/>
      <c r="N445" s="95"/>
    </row>
    <row r="446" spans="1:14" x14ac:dyDescent="0.25">
      <c r="A446" s="144" t="s">
        <v>389</v>
      </c>
      <c r="B446" s="120"/>
      <c r="C446" s="120"/>
      <c r="D446" s="120"/>
      <c r="E446" s="120"/>
      <c r="F446" s="120"/>
      <c r="G446" s="120"/>
      <c r="H446" s="120"/>
      <c r="I446" s="95">
        <v>246787.11</v>
      </c>
      <c r="J446" s="95"/>
      <c r="K446" s="95"/>
      <c r="L446" s="95"/>
      <c r="M446" s="95"/>
      <c r="N446" s="95"/>
    </row>
    <row r="447" spans="1:14" ht="22.8" x14ac:dyDescent="0.25">
      <c r="A447" s="143" t="s">
        <v>1127</v>
      </c>
      <c r="B447" s="114"/>
      <c r="C447" s="114"/>
      <c r="D447" s="114"/>
      <c r="E447" s="114"/>
      <c r="F447" s="114"/>
      <c r="G447" s="114"/>
      <c r="H447" s="114"/>
      <c r="I447" s="95">
        <v>3113444.91</v>
      </c>
      <c r="J447" s="95"/>
      <c r="K447" s="95"/>
      <c r="L447" s="95"/>
      <c r="M447" s="95"/>
      <c r="N447" s="95" t="s">
        <v>1123</v>
      </c>
    </row>
    <row r="448" spans="1:14" ht="22.8" x14ac:dyDescent="0.25">
      <c r="A448" s="143" t="s">
        <v>1136</v>
      </c>
      <c r="B448" s="114"/>
      <c r="C448" s="114"/>
      <c r="D448" s="114"/>
      <c r="E448" s="114"/>
      <c r="F448" s="114"/>
      <c r="G448" s="114"/>
      <c r="H448" s="114"/>
      <c r="I448" s="147">
        <f>I447*0.9283226</f>
        <v>2890281.2738079662</v>
      </c>
      <c r="J448" s="95"/>
      <c r="K448" s="95"/>
      <c r="L448" s="95"/>
      <c r="M448" s="95"/>
      <c r="N448" s="95" t="s">
        <v>1135</v>
      </c>
    </row>
    <row r="449" spans="1:14" x14ac:dyDescent="0.25">
      <c r="A449" s="55"/>
      <c r="B449" s="58"/>
      <c r="C449" s="58"/>
      <c r="D449" s="55"/>
      <c r="E449" s="56"/>
      <c r="F449" s="56"/>
      <c r="G449" s="56"/>
      <c r="H449" s="56"/>
      <c r="I449" s="57"/>
      <c r="J449" s="56"/>
      <c r="K449" s="56"/>
      <c r="L449" s="56"/>
      <c r="M449" s="56"/>
      <c r="N449" s="78"/>
    </row>
    <row r="450" spans="1:14" x14ac:dyDescent="0.25">
      <c r="A450" s="55"/>
      <c r="B450" s="58"/>
      <c r="C450" s="79" t="s">
        <v>1134</v>
      </c>
      <c r="D450" s="55"/>
      <c r="E450" s="56"/>
      <c r="F450" s="79" t="s">
        <v>316</v>
      </c>
      <c r="G450" s="79"/>
      <c r="H450" s="79"/>
      <c r="I450" s="56"/>
      <c r="J450" s="56"/>
      <c r="K450" s="56"/>
      <c r="L450" s="56"/>
      <c r="M450" s="56"/>
      <c r="N450" s="78"/>
    </row>
    <row r="451" spans="1:14" x14ac:dyDescent="0.25">
      <c r="A451" s="80"/>
      <c r="B451" s="80"/>
      <c r="C451" s="80"/>
      <c r="D451" s="80"/>
      <c r="E451" s="81"/>
      <c r="F451" s="81"/>
      <c r="G451" s="81"/>
      <c r="H451" s="81"/>
      <c r="I451" s="81"/>
      <c r="J451" s="81"/>
      <c r="K451" s="81"/>
      <c r="L451" s="81"/>
      <c r="M451" s="81"/>
      <c r="N451" s="78"/>
    </row>
    <row r="452" spans="1:14" x14ac:dyDescent="0.25">
      <c r="A452" s="53"/>
      <c r="B452" s="53"/>
      <c r="C452" s="53"/>
      <c r="D452" s="53"/>
      <c r="E452" s="54"/>
      <c r="F452" s="54"/>
      <c r="G452" s="54"/>
      <c r="H452" s="54"/>
      <c r="I452" s="54"/>
      <c r="J452" s="54"/>
      <c r="K452" s="54"/>
      <c r="L452" s="54"/>
      <c r="M452" s="54"/>
      <c r="N452" s="52"/>
    </row>
    <row r="454" spans="1:14" x14ac:dyDescent="0.25">
      <c r="B454" s="53"/>
    </row>
  </sheetData>
  <mergeCells count="258">
    <mergeCell ref="A448:H448"/>
    <mergeCell ref="A447:H447"/>
    <mergeCell ref="A444:H444"/>
    <mergeCell ref="A445:H445"/>
    <mergeCell ref="A446:H446"/>
    <mergeCell ref="A438:H438"/>
    <mergeCell ref="A439:H439"/>
    <mergeCell ref="A440:H440"/>
    <mergeCell ref="A441:H441"/>
    <mergeCell ref="A442:H442"/>
    <mergeCell ref="A443:H443"/>
    <mergeCell ref="A435:H435"/>
    <mergeCell ref="A436:H436"/>
    <mergeCell ref="A437:H437"/>
    <mergeCell ref="A434:H434"/>
    <mergeCell ref="A431:H431"/>
    <mergeCell ref="A432:H432"/>
    <mergeCell ref="A433:H433"/>
    <mergeCell ref="A425:H425"/>
    <mergeCell ref="A426:H426"/>
    <mergeCell ref="A427:H427"/>
    <mergeCell ref="A428:H428"/>
    <mergeCell ref="A429:H429"/>
    <mergeCell ref="A430:H430"/>
    <mergeCell ref="A419:H419"/>
    <mergeCell ref="A420:H420"/>
    <mergeCell ref="A421:H421"/>
    <mergeCell ref="A422:H422"/>
    <mergeCell ref="A423:H423"/>
    <mergeCell ref="A424:H424"/>
    <mergeCell ref="A413:H413"/>
    <mergeCell ref="A414:H414"/>
    <mergeCell ref="A415:H415"/>
    <mergeCell ref="A416:H416"/>
    <mergeCell ref="A417:H417"/>
    <mergeCell ref="A418:H418"/>
    <mergeCell ref="A407:H407"/>
    <mergeCell ref="A408:H408"/>
    <mergeCell ref="A409:H409"/>
    <mergeCell ref="A410:H410"/>
    <mergeCell ref="A411:H411"/>
    <mergeCell ref="A412:H412"/>
    <mergeCell ref="A401:H401"/>
    <mergeCell ref="A402:H402"/>
    <mergeCell ref="A403:H403"/>
    <mergeCell ref="A404:H404"/>
    <mergeCell ref="A405:H405"/>
    <mergeCell ref="A406:H406"/>
    <mergeCell ref="A363:N363"/>
    <mergeCell ref="A364:N364"/>
    <mergeCell ref="A393:N393"/>
    <mergeCell ref="A398:H398"/>
    <mergeCell ref="A399:H399"/>
    <mergeCell ref="A400:H400"/>
    <mergeCell ref="A357:H357"/>
    <mergeCell ref="A358:H358"/>
    <mergeCell ref="A359:H359"/>
    <mergeCell ref="A360:H360"/>
    <mergeCell ref="A361:H361"/>
    <mergeCell ref="A362:H362"/>
    <mergeCell ref="A351:H351"/>
    <mergeCell ref="A352:H352"/>
    <mergeCell ref="A353:H353"/>
    <mergeCell ref="A354:H354"/>
    <mergeCell ref="A355:H355"/>
    <mergeCell ref="A356:H356"/>
    <mergeCell ref="A345:H345"/>
    <mergeCell ref="A346:H346"/>
    <mergeCell ref="A347:H347"/>
    <mergeCell ref="A348:H348"/>
    <mergeCell ref="A349:H349"/>
    <mergeCell ref="A350:H350"/>
    <mergeCell ref="A330:H330"/>
    <mergeCell ref="A331:H331"/>
    <mergeCell ref="A332:H332"/>
    <mergeCell ref="A333:H333"/>
    <mergeCell ref="A334:H334"/>
    <mergeCell ref="A335:N335"/>
    <mergeCell ref="A324:H324"/>
    <mergeCell ref="A325:H325"/>
    <mergeCell ref="A326:H326"/>
    <mergeCell ref="A327:H327"/>
    <mergeCell ref="A328:H328"/>
    <mergeCell ref="A329:H329"/>
    <mergeCell ref="A318:H318"/>
    <mergeCell ref="A319:H319"/>
    <mergeCell ref="A320:H320"/>
    <mergeCell ref="A321:H321"/>
    <mergeCell ref="A322:H322"/>
    <mergeCell ref="A323:H323"/>
    <mergeCell ref="A307:H307"/>
    <mergeCell ref="A308:H308"/>
    <mergeCell ref="A309:N309"/>
    <mergeCell ref="A315:H315"/>
    <mergeCell ref="A316:H316"/>
    <mergeCell ref="A317:H317"/>
    <mergeCell ref="A301:H301"/>
    <mergeCell ref="A302:H302"/>
    <mergeCell ref="A303:H303"/>
    <mergeCell ref="A304:H304"/>
    <mergeCell ref="A305:H305"/>
    <mergeCell ref="A306:H306"/>
    <mergeCell ref="A295:H295"/>
    <mergeCell ref="A296:H296"/>
    <mergeCell ref="A297:H297"/>
    <mergeCell ref="A298:H298"/>
    <mergeCell ref="A299:H299"/>
    <mergeCell ref="A300:H300"/>
    <mergeCell ref="A289:H289"/>
    <mergeCell ref="A290:H290"/>
    <mergeCell ref="A291:H291"/>
    <mergeCell ref="A292:H292"/>
    <mergeCell ref="A293:H293"/>
    <mergeCell ref="A294:H294"/>
    <mergeCell ref="A262:H262"/>
    <mergeCell ref="A263:H263"/>
    <mergeCell ref="A264:H264"/>
    <mergeCell ref="A265:N265"/>
    <mergeCell ref="A287:H287"/>
    <mergeCell ref="A288:H288"/>
    <mergeCell ref="A256:H256"/>
    <mergeCell ref="A257:H257"/>
    <mergeCell ref="A258:H258"/>
    <mergeCell ref="A259:H259"/>
    <mergeCell ref="A260:H260"/>
    <mergeCell ref="A261:H261"/>
    <mergeCell ref="A250:H250"/>
    <mergeCell ref="A251:H251"/>
    <mergeCell ref="A252:H252"/>
    <mergeCell ref="A253:H253"/>
    <mergeCell ref="A254:H254"/>
    <mergeCell ref="A255:H255"/>
    <mergeCell ref="A244:H244"/>
    <mergeCell ref="A245:H245"/>
    <mergeCell ref="A246:H246"/>
    <mergeCell ref="A247:H247"/>
    <mergeCell ref="A248:H248"/>
    <mergeCell ref="A249:H249"/>
    <mergeCell ref="A175:H175"/>
    <mergeCell ref="A176:H176"/>
    <mergeCell ref="A177:N177"/>
    <mergeCell ref="A241:H241"/>
    <mergeCell ref="A242:H242"/>
    <mergeCell ref="A243:H243"/>
    <mergeCell ref="A169:H169"/>
    <mergeCell ref="A170:H170"/>
    <mergeCell ref="A171:H171"/>
    <mergeCell ref="A172:H172"/>
    <mergeCell ref="A173:H173"/>
    <mergeCell ref="A174:H174"/>
    <mergeCell ref="A163:H163"/>
    <mergeCell ref="A164:H164"/>
    <mergeCell ref="A165:H165"/>
    <mergeCell ref="A166:H166"/>
    <mergeCell ref="A167:H167"/>
    <mergeCell ref="A168:H168"/>
    <mergeCell ref="A157:H157"/>
    <mergeCell ref="A158:H158"/>
    <mergeCell ref="A159:H159"/>
    <mergeCell ref="A160:H160"/>
    <mergeCell ref="A161:H161"/>
    <mergeCell ref="A162:H162"/>
    <mergeCell ref="A142:H142"/>
    <mergeCell ref="A143:H143"/>
    <mergeCell ref="A144:N144"/>
    <mergeCell ref="A154:H154"/>
    <mergeCell ref="A155:H155"/>
    <mergeCell ref="A156:H156"/>
    <mergeCell ref="A136:H136"/>
    <mergeCell ref="A137:H137"/>
    <mergeCell ref="A138:H138"/>
    <mergeCell ref="A139:H139"/>
    <mergeCell ref="A140:H140"/>
    <mergeCell ref="A141:H141"/>
    <mergeCell ref="A130:H130"/>
    <mergeCell ref="A131:H131"/>
    <mergeCell ref="A132:H132"/>
    <mergeCell ref="A133:H133"/>
    <mergeCell ref="A134:H134"/>
    <mergeCell ref="A135:H135"/>
    <mergeCell ref="A124:H124"/>
    <mergeCell ref="A125:H125"/>
    <mergeCell ref="A126:H126"/>
    <mergeCell ref="A127:H127"/>
    <mergeCell ref="A128:H128"/>
    <mergeCell ref="A129:H129"/>
    <mergeCell ref="A108:H108"/>
    <mergeCell ref="A109:H109"/>
    <mergeCell ref="A110:H110"/>
    <mergeCell ref="A111:H111"/>
    <mergeCell ref="A112:H112"/>
    <mergeCell ref="A113:N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56:H56"/>
    <mergeCell ref="A57:N57"/>
    <mergeCell ref="A92:H92"/>
    <mergeCell ref="A93:H93"/>
    <mergeCell ref="A94:H94"/>
    <mergeCell ref="A95:H95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5:H35"/>
    <mergeCell ref="A36:H36"/>
    <mergeCell ref="A37:H37"/>
    <mergeCell ref="A12:N12"/>
    <mergeCell ref="C13:E13"/>
    <mergeCell ref="D14:E14"/>
    <mergeCell ref="G19:G20"/>
    <mergeCell ref="M17:N18"/>
    <mergeCell ref="E17:G18"/>
    <mergeCell ref="I17:L18"/>
    <mergeCell ref="M19:M20"/>
    <mergeCell ref="H17:H20"/>
    <mergeCell ref="I19:I20"/>
    <mergeCell ref="J19:J20"/>
    <mergeCell ref="L19:L20"/>
    <mergeCell ref="N19:N20"/>
    <mergeCell ref="A17:A20"/>
    <mergeCell ref="D17:D20"/>
    <mergeCell ref="C17:C20"/>
    <mergeCell ref="B17:B20"/>
    <mergeCell ref="J2:N2"/>
    <mergeCell ref="J3:N3"/>
    <mergeCell ref="J4:N4"/>
    <mergeCell ref="J5:N5"/>
    <mergeCell ref="J6:N6"/>
    <mergeCell ref="J7:N7"/>
    <mergeCell ref="A22:N22"/>
    <mergeCell ref="A23:N23"/>
    <mergeCell ref="A30:N30"/>
    <mergeCell ref="I13:L15"/>
  </mergeCells>
  <phoneticPr fontId="0" type="noConversion"/>
  <pageMargins left="3.937007874015748E-2" right="0" top="0.35433070866141736" bottom="7.874015748031496E-2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45" t="s">
        <v>232</v>
      </c>
      <c r="B1" s="146"/>
      <c r="C1" s="146"/>
      <c r="D1" s="146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2015-11-19T09:27:29Z</cp:lastPrinted>
  <dcterms:created xsi:type="dcterms:W3CDTF">2003-01-28T12:33:10Z</dcterms:created>
  <dcterms:modified xsi:type="dcterms:W3CDTF">2016-03-09T10:33:16Z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