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г.Томск, ул.Елизаровых,43\Елизаровых, 43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'Лок.См.Расч.Баз.-Инд.Методом'!$A$1:$N$219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95" i="5" l="1"/>
  <c r="AI195" i="5"/>
  <c r="L196" i="5"/>
  <c r="AI196" i="5"/>
  <c r="L197" i="5"/>
  <c r="AI197" i="5"/>
  <c r="L178" i="5"/>
  <c r="AI178" i="5"/>
  <c r="L179" i="5"/>
  <c r="AI179" i="5"/>
  <c r="L180" i="5"/>
  <c r="AI180" i="5"/>
  <c r="L181" i="5"/>
  <c r="AI181" i="5"/>
  <c r="L182" i="5"/>
  <c r="AI182" i="5"/>
  <c r="L183" i="5"/>
  <c r="AI183" i="5"/>
  <c r="L184" i="5"/>
  <c r="AI184" i="5"/>
  <c r="L185" i="5"/>
  <c r="AI185" i="5"/>
  <c r="L186" i="5"/>
  <c r="AI186" i="5"/>
  <c r="L187" i="5"/>
  <c r="AI187" i="5"/>
  <c r="L188" i="5"/>
  <c r="AI188" i="5"/>
  <c r="L157" i="5"/>
  <c r="AI157" i="5"/>
  <c r="L158" i="5"/>
  <c r="AI158" i="5"/>
  <c r="L159" i="5"/>
  <c r="AI159" i="5"/>
  <c r="L160" i="5"/>
  <c r="AI160" i="5"/>
  <c r="L161" i="5"/>
  <c r="AI161" i="5"/>
  <c r="L162" i="5"/>
  <c r="AI162" i="5"/>
  <c r="L163" i="5"/>
  <c r="AI163" i="5"/>
  <c r="L164" i="5"/>
  <c r="AI164" i="5"/>
  <c r="L165" i="5"/>
  <c r="AI165" i="5"/>
  <c r="L166" i="5"/>
  <c r="AI166" i="5"/>
  <c r="L167" i="5"/>
  <c r="AI167" i="5"/>
  <c r="L168" i="5"/>
  <c r="AI168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144" i="5"/>
  <c r="AI144" i="5"/>
  <c r="L145" i="5"/>
  <c r="AI145" i="5"/>
  <c r="L146" i="5"/>
  <c r="AI146" i="5"/>
  <c r="L147" i="5"/>
  <c r="AI147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120" i="5"/>
  <c r="AI120" i="5"/>
  <c r="L121" i="5"/>
  <c r="AI121" i="5"/>
  <c r="L122" i="5"/>
  <c r="AI122" i="5"/>
  <c r="L123" i="5"/>
  <c r="AI123" i="5"/>
  <c r="L124" i="5"/>
  <c r="AI124" i="5"/>
  <c r="L125" i="5"/>
  <c r="AI125" i="5"/>
  <c r="L126" i="5"/>
  <c r="AI126" i="5"/>
  <c r="L127" i="5"/>
  <c r="AI127" i="5"/>
  <c r="L128" i="5"/>
  <c r="AI128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C197" i="5"/>
  <c r="C89" i="5"/>
  <c r="C47" i="5"/>
  <c r="C94" i="5"/>
  <c r="C97" i="5"/>
  <c r="C90" i="5"/>
  <c r="C166" i="5"/>
  <c r="C110" i="5"/>
  <c r="C23" i="5"/>
  <c r="C121" i="5"/>
  <c r="C159" i="5"/>
  <c r="C64" i="5"/>
  <c r="C142" i="5"/>
  <c r="C117" i="5"/>
  <c r="C28" i="5"/>
  <c r="C184" i="5"/>
  <c r="C30" i="5"/>
  <c r="C95" i="5"/>
  <c r="C53" i="5"/>
  <c r="C103" i="5"/>
  <c r="C124" i="5"/>
  <c r="C102" i="5"/>
  <c r="C141" i="5"/>
  <c r="C116" i="5"/>
  <c r="C29" i="5"/>
  <c r="C43" i="5"/>
  <c r="C140" i="5"/>
  <c r="C48" i="5"/>
  <c r="C75" i="5"/>
  <c r="C123" i="5"/>
  <c r="C179" i="5"/>
  <c r="C164" i="5"/>
  <c r="C157" i="5"/>
  <c r="C101" i="5"/>
  <c r="C59" i="5"/>
  <c r="C127" i="5"/>
  <c r="C58" i="5"/>
  <c r="C114" i="5"/>
  <c r="C147" i="5"/>
  <c r="C122" i="5"/>
  <c r="C185" i="5"/>
  <c r="C55" i="5"/>
  <c r="C79" i="5"/>
  <c r="C21" i="5"/>
  <c r="C81" i="5"/>
  <c r="C39" i="5"/>
  <c r="C165" i="5"/>
  <c r="C145" i="5"/>
  <c r="C163" i="5"/>
  <c r="C107" i="5"/>
  <c r="C65" i="5"/>
  <c r="C61" i="5"/>
  <c r="C57" i="5"/>
  <c r="C126" i="5"/>
  <c r="C80" i="5"/>
  <c r="C128" i="5"/>
  <c r="C168" i="5"/>
  <c r="C22" i="5"/>
  <c r="C91" i="5"/>
  <c r="C195" i="5"/>
  <c r="C87" i="5"/>
  <c r="C45" i="5"/>
  <c r="C85" i="5"/>
  <c r="C84" i="5"/>
  <c r="C138" i="5"/>
  <c r="C113" i="5"/>
  <c r="C26" i="5"/>
  <c r="C54" i="5"/>
  <c r="C178" i="5"/>
  <c r="C51" i="5"/>
  <c r="C86" i="5"/>
  <c r="C44" i="5"/>
  <c r="C76" i="5"/>
  <c r="C31" i="5"/>
  <c r="C106" i="5"/>
  <c r="C181" i="5"/>
  <c r="C93" i="5"/>
  <c r="C63" i="5"/>
  <c r="C112" i="5"/>
  <c r="C96" i="5"/>
  <c r="C144" i="5"/>
  <c r="C119" i="5"/>
  <c r="C32" i="5"/>
  <c r="C24" i="5"/>
  <c r="C158" i="5"/>
  <c r="C180" i="5"/>
  <c r="C92" i="5"/>
  <c r="C50" i="5"/>
  <c r="C88" i="5"/>
  <c r="C60" i="5"/>
  <c r="C118" i="5"/>
  <c r="C187" i="5"/>
  <c r="C99" i="5"/>
  <c r="C143" i="5"/>
  <c r="C46" i="5"/>
  <c r="C108" i="5"/>
  <c r="C77" i="5"/>
  <c r="C125" i="5"/>
  <c r="C162" i="5"/>
  <c r="C188" i="5"/>
  <c r="C139" i="5"/>
  <c r="C186" i="5"/>
  <c r="C98" i="5"/>
  <c r="C56" i="5"/>
  <c r="C100" i="5"/>
  <c r="C196" i="5"/>
  <c r="C40" i="5"/>
  <c r="C161" i="5"/>
  <c r="C105" i="5"/>
  <c r="C115" i="5"/>
  <c r="C25" i="5"/>
  <c r="C120" i="5"/>
  <c r="C83" i="5"/>
  <c r="C41" i="5"/>
  <c r="C82" i="5"/>
  <c r="C146" i="5"/>
  <c r="C78" i="5"/>
  <c r="C160" i="5"/>
  <c r="C104" i="5"/>
  <c r="C62" i="5"/>
  <c r="C109" i="5"/>
  <c r="C182" i="5"/>
  <c r="C52" i="5"/>
  <c r="C167" i="5"/>
  <c r="C111" i="5"/>
  <c r="C49" i="5"/>
  <c r="C27" i="5"/>
  <c r="C183" i="5"/>
  <c r="C42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20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0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0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0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0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0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<sst xmlns="http://schemas.openxmlformats.org/spreadsheetml/2006/main" count="1028" uniqueCount="618">
  <si>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</si>
  <si>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</si>
  <si>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</si>
  <si>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</si>
  <si>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</si>
  <si>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</si>
  <si>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</si>
  <si>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</si>
  <si>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</si>
  <si>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</si>
  <si>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</si>
  <si>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</si>
  <si>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</si>
  <si>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</si>
  <si>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</si>
  <si>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</si>
  <si>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</si>
  <si>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</si>
  <si>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</si>
  <si>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</si>
  <si>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</si>
  <si>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</si>
  <si>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</si>
  <si>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</si>
  <si>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</si>
  <si>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</si>
  <si>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</si>
  <si>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П-15-23-2-АС</t>
  </si>
  <si>
    <t>Проверил:____________________________</t>
  </si>
  <si>
    <t>Раздел 1. Демонтажные работы</t>
  </si>
  <si>
    <t>ФЕР46-04-008-04</t>
  </si>
  <si>
    <t>154,66
124,02</t>
  </si>
  <si>
    <t>46.70 Разборка покрытий кровель: ОЗП=16,9; ЭМ=2,99; ЗПМ=16,9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</si>
  <si>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</si>
  <si>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</si>
  <si>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</si>
  <si>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</si>
  <si>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ФЕРр58-3-1</t>
  </si>
  <si>
    <t>71,18
70,98</t>
  </si>
  <si>
    <t>84.3 Разборка мелких покрытий и обделок из листовой стали: ОЗП=16,9; ЭМ=4,75; ЗПМ=16,9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</si>
  <si>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</si>
  <si>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</si>
  <si>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</si>
  <si>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</si>
  <si>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ФЕРр58-2-1</t>
  </si>
  <si>
    <t>2720,29
2709,92</t>
  </si>
  <si>
    <t>84.2 Разборка слуховых окон: ОЗП=16,9; ЭМ=4,65; ЗПМ=16,9</t>
  </si>
  <si>
    <t>Разборка слуховых окон: прямоугольных двускатных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</si>
  <si>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</si>
  <si>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</si>
  <si>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</si>
  <si>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</si>
  <si>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ОЗП=16,9; ЭМ=12,12; ЗПМ=16,9</t>
  </si>
  <si>
    <t>5187
1132</t>
  </si>
  <si>
    <t>15,16
0,46</t>
  </si>
  <si>
    <t>163,36
4,96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</si>
  <si>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</si>
  <si>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</si>
  <si>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</si>
  <si>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</si>
  <si>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</si>
  <si>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642
135</t>
  </si>
  <si>
    <t>22,68
0,29</t>
  </si>
  <si>
    <t>48,08
0,61</t>
  </si>
  <si>
    <t>Разборка деревянных элементов конструкций крыш: стропил со стойками и подкосами из досок</t>
  </si>
  <si>
    <t>ФЕРр58-1-4</t>
  </si>
  <si>
    <t>76,77
53,44</t>
  </si>
  <si>
    <t>23,33
3,65</t>
  </si>
  <si>
    <t>594
135</t>
  </si>
  <si>
    <t>6,73
0,27</t>
  </si>
  <si>
    <t>14,27
0,57</t>
  </si>
  <si>
    <t>Разборка деревянных элементов конструкций крыш: мауэрлатов</t>
  </si>
  <si>
    <t>ФЕР12-01-012-01
ОЗП=0,7
ЭМ=0,7
ЗПМ=0,7
МАТ=0
ТЗ=0,7
ТЗМ=0,7</t>
  </si>
  <si>
    <t>80,14
41,37</t>
  </si>
  <si>
    <t>38,77
2,74</t>
  </si>
  <si>
    <t>12.29. Ограждение кровель перилами: ОЗП=16,9; ЭМ=10,11; ЗПМ=16,9; МАТ=7,51</t>
  </si>
  <si>
    <t>627
68</t>
  </si>
  <si>
    <t>4,669
0,203</t>
  </si>
  <si>
    <t>7,52
0,33</t>
  </si>
  <si>
    <t>НР 92%=120%*(0,85*0,9) от ФОТ</t>
  </si>
  <si>
    <t>СП 44%=65%*(0,8*0,85) от ФОТ</t>
  </si>
  <si>
    <t>(Демонтаж (разборка) металлических конструкций ОЗП=0,7; ЭМ=0,7 к расх.; ЗПМ=0,7; МАТ=0 к расх.; ТЗ=0,7; ТЗМ=0,7)</t>
  </si>
  <si>
    <t>Демонтаж ограждения кровель перилами</t>
  </si>
  <si>
    <t>100 м ограждения</t>
  </si>
  <si>
    <t>ФЕР09-04-012-01
ОЗП=0,7
ЭМ=0,7
ЗПМ=0,7
МАТ=0
ТЗ=0,7
ТЗМ=0,7</t>
  </si>
  <si>
    <t>30,02
16,67</t>
  </si>
  <si>
    <t>9.65 Установка металлических дверных блоков в готовые проемы: ОЗП=16,9; ЭМ=10,3; ЗПМ=16,9; МАТ=9,28</t>
  </si>
  <si>
    <t>НР 69%=90%*(0,85*0,9) от ФОТ</t>
  </si>
  <si>
    <t>СП 58%=85%*(0,8*0,85) от ФОТ</t>
  </si>
  <si>
    <t>(МДС36 п.3.3.1.Демонтаж (разборка) металлических конструкций ОЗП=0,7; ЭМ=0,7 к расх.; ЗПМ=0,7; МАТ=0 к расх.; ТЗ=0,7; ТЗМ=0,7)</t>
  </si>
  <si>
    <t>Демонтаж люков на чердак</t>
  </si>
  <si>
    <t>1 м2 проема</t>
  </si>
  <si>
    <t>ФЕР46-04-001-04</t>
  </si>
  <si>
    <t>180,03
73,01</t>
  </si>
  <si>
    <t>107,02
11,57</t>
  </si>
  <si>
    <t>46.59 Разборка: кирпичных и мелкоблочных стен: ОЗП=16,9; ЭМ=7,43; ЗПМ=16,9</t>
  </si>
  <si>
    <t>31332
7706</t>
  </si>
  <si>
    <t>8,24
1,15</t>
  </si>
  <si>
    <t>324,66
45,31</t>
  </si>
  <si>
    <t>Разборка: кирпичных стен</t>
  </si>
  <si>
    <t>1 м3</t>
  </si>
  <si>
    <t>ФЕРр69-15-1</t>
  </si>
  <si>
    <t>103,2
172*0,6</t>
  </si>
  <si>
    <t>23,81
7,41</t>
  </si>
  <si>
    <t>94.26 Затаривание строительного мусора в мешки: ОЗП=16,9;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</si>
  <si>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</si>
  <si>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</si>
  <si>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</si>
  <si>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</si>
  <si>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ФЕРр65-35-1</t>
  </si>
  <si>
    <t>189,06
159,51</t>
  </si>
  <si>
    <t>0,31
0,14</t>
  </si>
  <si>
    <t>90.114 Прочистка вентиляционных каналов: ОЗП=16,9; ЭМ=7,45; ЗПМ=16,9; МАТ=4,96</t>
  </si>
  <si>
    <t>18,7
0,01</t>
  </si>
  <si>
    <t>32,76
0,02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</si>
  <si>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</si>
  <si>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</si>
  <si>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</si>
  <si>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</si>
  <si>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5171
543</t>
  </si>
  <si>
    <t>922,23
51,8</t>
  </si>
  <si>
    <t>Итого прямые затраты по разделу с учетом индексов, в текущих ценах</t>
  </si>
  <si>
    <t>39719
9176</t>
  </si>
  <si>
    <t>Накладные расходы</t>
  </si>
  <si>
    <t>Сметная прибыль</t>
  </si>
  <si>
    <t>Итого по разделу 1 Демонтажные работы</t>
  </si>
  <si>
    <t>Раздел 2. Чердак</t>
  </si>
  <si>
    <t>ФЕРр58-13-1</t>
  </si>
  <si>
    <t>924,81
36,25</t>
  </si>
  <si>
    <t>84.34 Устройство покрытия из рулонных материалов: насухо без промазки кромок: ОЗП=16,9; ЭМ=11,82; ЗПМ=16,9; МАТ=5,01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</si>
  <si>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</si>
  <si>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</si>
  <si>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МАТ=5,004</t>
  </si>
  <si>
    <t>Рубероид кровельный с крупнозернистой посыпкой марки: РКК-350б</t>
  </si>
  <si>
    <t>м2</t>
  </si>
  <si>
    <t>ФССЦ-104-9221-90002</t>
  </si>
  <si>
    <t>Индекс на материалы; МАТ=5,56</t>
  </si>
  <si>
    <t>Изоспан: Двухслойная паропроницаемая мембрана марки В 14,62/5,56=2,63</t>
  </si>
  <si>
    <t>ФЕР12-01-013-03
ОЗП=1,15
ЭМ=1,25
ЗПМ=1,25
ТЗ=1,15
ТЗМ=1,25</t>
  </si>
  <si>
    <t>4711,58
433,09</t>
  </si>
  <si>
    <t>132,25
7,43</t>
  </si>
  <si>
    <t>12.31. Утепление покрытий плитами: из минеральной ваты или перлита на битумной мастике: ОЗП=16,9; ЭМ=9,15; ЗПМ=16,9; МАТ=6,74</t>
  </si>
  <si>
    <t>11804
1234</t>
  </si>
  <si>
    <t>45,54
0,55</t>
  </si>
  <si>
    <t>355,35
4,29</t>
  </si>
  <si>
    <t>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</si>
  <si>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</si>
  <si>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</si>
  <si>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</si>
  <si>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ЭМ=5,446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</si>
  <si>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</si>
  <si>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</si>
  <si>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</si>
  <si>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</si>
  <si>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</si>
  <si>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марки: БНК-45/190, БНК-45/180; МАТ=13,277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</si>
  <si>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</si>
  <si>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</si>
  <si>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</si>
  <si>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KT-1, KT-2; МАТ=15,94</t>
  </si>
  <si>
    <t>Керосин для технических целей марок КТ-1, КТ-2</t>
  </si>
  <si>
    <t>ФССЦ-101-0594</t>
  </si>
  <si>
    <t>Мастика битумная кровельная горячая; МАТ=10,167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</si>
  <si>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</si>
  <si>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</si>
  <si>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МАТ=5,772</t>
  </si>
  <si>
    <t>Плиты из минеральной ваты на синтетическом связующем М-125 (ГОСТ 9573-96)</t>
  </si>
  <si>
    <t>м3</t>
  </si>
  <si>
    <t>ФЕР12-01-013-04
ПЗ=3
ОЗП=3*1,15
ЭМ=3*1,25
ЗПМ=3*1,25
МАТ=3
ТЗ=3*1,15
ТЗМ=3*1,25</t>
  </si>
  <si>
    <t>13255,98
1005,96</t>
  </si>
  <si>
    <t>379,65
22,29</t>
  </si>
  <si>
    <t>33882
3684</t>
  </si>
  <si>
    <t>105,78
1,65</t>
  </si>
  <si>
    <t>825,4
12,88</t>
  </si>
  <si>
    <t>(Всего толщ. 200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</si>
  <si>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Утепление покрытий плитами: на каждый последующий слой добавлять к расценке 12-01-013-03</t>
  </si>
  <si>
    <t>ФЕР12-01-013-04
ПЗ=2
ОЗП=2*1,15
ЭМ=2*1,25
ЗПМ=2*1,25
МАТ=2
ТЗ=2*1,15
ТЗМ=2*1,25</t>
  </si>
  <si>
    <t>8837,32
670,64</t>
  </si>
  <si>
    <t>253,1
14,86</t>
  </si>
  <si>
    <t>4575
490</t>
  </si>
  <si>
    <t>70,52
1,1</t>
  </si>
  <si>
    <t>111,42
1,74</t>
  </si>
  <si>
    <t>(В 2 слоя ПЗ=2 (ОЗП=2; ЭМ=2 к расх.; ЗПМ=2; МАТ=2 к расх.; ТЗ=2; ТЗМ=2)(КОЭФ.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</si>
  <si>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ФССЦ-104-9100-91004</t>
  </si>
  <si>
    <t>177,057
(156,1+15,8)*1,03</t>
  </si>
  <si>
    <t>Плиты теплоизоляционные энергетические гидрофобизированные базальтовые: ПТЭ-125 , размером 2000х1000х50 мм 4146,89/5,56=745,84</t>
  </si>
  <si>
    <t>ФССЦ-104-9221-90001</t>
  </si>
  <si>
    <t>Изоспан: Защитный материал марки А 20,40/5,56=3,67</t>
  </si>
  <si>
    <t>ФЕР10-01-023-01
ОЗП=1,15
ЭМ=1,25
ЗПМ=1,25
ТЗ=1,15
ТЗМ=1,25</t>
  </si>
  <si>
    <t>1051,44
31,84</t>
  </si>
  <si>
    <t>12,45
1,08</t>
  </si>
  <si>
    <t>10.54. Укладка ходовых досок: ОЗП=16,9; ЭМ=11,15; ЗПМ=16,9; МАТ=5,35</t>
  </si>
  <si>
    <t>201
17</t>
  </si>
  <si>
    <t>3,8
0,08</t>
  </si>
  <si>
    <t>4,37
0,09</t>
  </si>
  <si>
    <t>НР 90%=118%*(0,85*0,9) от ФОТ</t>
  </si>
  <si>
    <t>СП 43%=63%*(0,8*0,85) от ФОТ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</si>
  <si>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</si>
  <si>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</si>
  <si>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</si>
  <si>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МАТ=5,364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</si>
  <si>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</si>
  <si>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</si>
  <si>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МАТ=4,159</t>
  </si>
  <si>
    <t>Доски обрезные хвойных пород длиной: 4-6,5 м, шириной 75-150 мм, толщиной 44 мм и более, II сорта</t>
  </si>
  <si>
    <t>ФЕР10-01-010-01
ОЗП=1,15
ЭМ=1,25
ЗПМ=1,25
ТЗ=1,15
ТЗМ=1,25
прим. лесница к слуховым окнам</t>
  </si>
  <si>
    <t>2411,06
188,55</t>
  </si>
  <si>
    <t>10.18. Установка деревянных элементов каркаса: ОЗП=16,9; ЭМ=11,46; ЗПМ=16,9; МАТ=3,37</t>
  </si>
  <si>
    <t>Установка элементов каркаса: из брусьев</t>
  </si>
  <si>
    <t>1 м3 древесины в конструкции</t>
  </si>
  <si>
    <t>ФЕР09-04-013-01
ОЗП=1,15
ЭМ=1,25
ЗПМ=1,25
ТЗ=1,15
ТЗМ=1,25</t>
  </si>
  <si>
    <t>91,99
21,13</t>
  </si>
  <si>
    <t>9.67 Установка противопожарных дверей: ОЗП=16,9; ЭМ=6,53; ЗПМ=16,9; МАТ=4,87</t>
  </si>
  <si>
    <t>Установка противопожарных дверей: однопольных глухих</t>
  </si>
  <si>
    <t>ФССЦ-301-0271-00023
ОЗП=1,15
ЭМ=1,25
ЗПМ=1,25
ТЗ=1,15
ТЗМ=1,25</t>
  </si>
  <si>
    <t>Люки противопожарные: ЛПМ 01/60, 800х900 мм 8654,13/5,56=1556,50</t>
  </si>
  <si>
    <t>шт.</t>
  </si>
  <si>
    <t>2341
256</t>
  </si>
  <si>
    <t>1378,24
19</t>
  </si>
  <si>
    <t>Итого прямые затраты по разделу с учетом коэффициентов к итогам</t>
  </si>
  <si>
    <t>3452
320</t>
  </si>
  <si>
    <t>1573,86
23,75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</si>
  <si>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</si>
  <si>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16, 22, 26, 34, 37-38)</t>
  </si>
  <si>
    <t>1109
64</t>
  </si>
  <si>
    <t>195,6135
4,75</t>
  </si>
  <si>
    <t>39857
5408</t>
  </si>
  <si>
    <t>Итого по разделу 2 Чердак</t>
  </si>
  <si>
    <t>Раздел 3. Кровля</t>
  </si>
  <si>
    <t>ФЕРр58-5-1
поз. 8</t>
  </si>
  <si>
    <t>3598,85
340,09</t>
  </si>
  <si>
    <t>84.5 Ремонт деревянных элементов конструкций крыш: укрепление стропильных ног расшивкой досками с двух сторон: ОЗП=16,9; ЭМ=11,57; ЗПМ=16,9; МАТ=4</t>
  </si>
  <si>
    <t>Ремонт деревянных элементов конструкций крыш: укрепление стропильных ног расшивкой досками с двух сторон</t>
  </si>
  <si>
    <t>100 м</t>
  </si>
  <si>
    <t>ФЕРр58-5-4
поз. 9</t>
  </si>
  <si>
    <t>4,968
2,484*2</t>
  </si>
  <si>
    <t>2722,57
1136,62</t>
  </si>
  <si>
    <t>84.8 Ремонт деревянных элементов конструкций крыш: смена стропильных ног из досок: ОЗП=16,9; ЭМ=11,46; ЗПМ=16,9; МАТ=3,89</t>
  </si>
  <si>
    <t>Ремонт деревянных элементов конструкций крыш: смена стропильных ног из досок</t>
  </si>
  <si>
    <t>ФЕРр58-5-6
поз. 2 ,5, 6</t>
  </si>
  <si>
    <t>79,7
11,9</t>
  </si>
  <si>
    <t>84.10 Ремонт деревянных элементов конструкций крыш: выправка деревянных стропильных ног с постановкой раскосов: ОЗП=16,9; ЭМ=11,56; ЗПМ=16,9; МАТ=3,29</t>
  </si>
  <si>
    <t>Ремонт деревянных элементов конструкций крыш: выправка деревянных стропильных ног с постановкой раскосов</t>
  </si>
  <si>
    <t>1 шт.</t>
  </si>
  <si>
    <t>ФССЦ-102-0008</t>
  </si>
  <si>
    <t>Лесоматериалы круглые хвойных пород для строительства диаметром 14-24 см, длиной 3-6,5 м; МАТ=3,129</t>
  </si>
  <si>
    <t>Лесоматериалы круглые хвойных пород для строительства диаметром 14-24 см, длиной 3-6,5 м</t>
  </si>
  <si>
    <t>ФЕР10-01-002-01
ОЗП=1,15
ЭМ=1,25
ЗПМ=1,25
ТЗ=1,15
ТЗМ=1,25</t>
  </si>
  <si>
    <t>2300,67
200,19</t>
  </si>
  <si>
    <t>38,22
2,03</t>
  </si>
  <si>
    <t>10.4. Установка стропил: ОЗП=16,9; ЭМ=11,09; ЗПМ=16,9; МАТ=3,71</t>
  </si>
  <si>
    <t>8029
659</t>
  </si>
  <si>
    <t>24,09
0,15</t>
  </si>
  <si>
    <t>365,08
2,27</t>
  </si>
  <si>
    <t>Установка стропил</t>
  </si>
  <si>
    <t>ФЕРр58-12-1</t>
  </si>
  <si>
    <t>5,961
8,043-2,082</t>
  </si>
  <si>
    <t>2492,19
252,73</t>
  </si>
  <si>
    <t>40,78
5,94</t>
  </si>
  <si>
    <t>84.30 Устройство обрешетки сплошной из досок: ОЗП=16,9; ЭМ=10,32; ЗПМ=16,9; МАТ=5,51</t>
  </si>
  <si>
    <t>2508
592</t>
  </si>
  <si>
    <t>31,83
0,44</t>
  </si>
  <si>
    <t>189,74
2,62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</si>
  <si>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</si>
  <si>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</si>
  <si>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</si>
  <si>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МАТ=5,639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</si>
  <si>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</si>
  <si>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</si>
  <si>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</si>
  <si>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</si>
  <si>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ОЗП=16,9; ЭМ=10,15; ЗПМ=16,9; МАТ=5,26</t>
  </si>
  <si>
    <t>741
203</t>
  </si>
  <si>
    <t>21,35
0,32</t>
  </si>
  <si>
    <t>58,35
0,87</t>
  </si>
  <si>
    <t>Устройство обрешетки с прозорами из досок и брусков под кровлю: из листовой стали</t>
  </si>
  <si>
    <t>ФССЦ-104-9221-90004</t>
  </si>
  <si>
    <t>Изоспан: Защитный материал марки D 19,47/5,56=3,50</t>
  </si>
  <si>
    <t>ФЕР10-01-003-01
ОЗП=1,15
ЭМ=1,25
ЗПМ=1,25
ТЗ=1,15
ТЗМ=1,25</t>
  </si>
  <si>
    <t>378,81
56,55</t>
  </si>
  <si>
    <t>22,06
1,49</t>
  </si>
  <si>
    <t>10.5. Устройство слуховых окон: ОЗП=16,9; ЭМ=11,27; ЗПМ=16,9; МАТ=5,43</t>
  </si>
  <si>
    <t>2479
254</t>
  </si>
  <si>
    <t>6,63
0,11</t>
  </si>
  <si>
    <t>53,04
0,88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</si>
  <si>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</si>
  <si>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</si>
  <si>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</si>
  <si>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МАТ=2,338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</si>
  <si>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</si>
  <si>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</si>
  <si>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</si>
  <si>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МАТ=1,986</t>
  </si>
  <si>
    <t>Шпингалеты дверные размером 230х26 мм, оцинкованные или окрашенные</t>
  </si>
  <si>
    <t>ФЕР26-02-018-02
ОЗП=1,15
ЭМ=1,25
ЗПМ=1,25
ТЗ=1,15
ТЗМ=1,25</t>
  </si>
  <si>
    <t>159,27
83,38</t>
  </si>
  <si>
    <t>74,06
1,04</t>
  </si>
  <si>
    <t>26.104 Огнебиозащитное покрытие деревянных конструкций составами 'Пирилакс' (любой модификации): ОЗП=16,9; ЭМ=11,38; ЗПМ=16,9; МАТ=19,16</t>
  </si>
  <si>
    <t>40786
845</t>
  </si>
  <si>
    <t>8,87
0,09</t>
  </si>
  <si>
    <t>343,36
3,48</t>
  </si>
  <si>
    <t>НР 77%=100%*(0,85*0,9) от ФОТ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</si>
  <si>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</t>
  </si>
  <si>
    <t>100 м2 обрабатываемой поверхности</t>
  </si>
  <si>
    <t>ФССЦ-113-8070</t>
  </si>
  <si>
    <t>Антисептик-антипирен «ПИРИЛАКС-ТЕРМА» для древесины; МАТ=10,698</t>
  </si>
  <si>
    <t>Антисептик-антипирен «ПИРИЛАКС-ТЕРМА» для древесины</t>
  </si>
  <si>
    <t>кг</t>
  </si>
  <si>
    <t>ФЕР12-01-023-02
ОЗП=1,15
ЭМ=1,25
ЗПМ=1,25
ТЗ=1,15
ТЗМ=1,25</t>
  </si>
  <si>
    <t>10417,47
356,23</t>
  </si>
  <si>
    <t>115,24
10,67</t>
  </si>
  <si>
    <t>12.51. Устройство кровли из металлочерепицы (с отделочным покрытием): ОЗП=16,9; ЭМ=11,31; ЗПМ=16,9; МАТ=3,48</t>
  </si>
  <si>
    <t>17338
2417</t>
  </si>
  <si>
    <t>41,23
0,79</t>
  </si>
  <si>
    <t>438,69
8,41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</si>
  <si>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</si>
  <si>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</si>
  <si>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МАТ=3,676</t>
  </si>
  <si>
    <t>Металлочерепица «Монтеррей»</t>
  </si>
  <si>
    <t>ФССЦ-101-3845</t>
  </si>
  <si>
    <t>9,71432
1064*8,3*1,1/1000</t>
  </si>
  <si>
    <t>Профилированный лист оцинкованный: НС44-1000-0,7; МАТ=4,534</t>
  </si>
  <si>
    <t>Профилированный лист оцинкованный: НС44-1000-0,7</t>
  </si>
  <si>
    <t>ФССЦ-101-3741</t>
  </si>
  <si>
    <t>Сталь листовая оцинкованная толщиной листа: 0,55 мм; МАТ=3,993</t>
  </si>
  <si>
    <t>Сталь листовая оцинкованная толщиной листа: 0,55 мм</t>
  </si>
  <si>
    <t>ФССЦ-101-3741
конек</t>
  </si>
  <si>
    <t>ФЕР09-05-006-01
ОЗП=1,15
ЭМ=1,25
ЗПМ=1,25
ТЗ=1,15
ТЗМ=1,25</t>
  </si>
  <si>
    <t>3,6
3,05</t>
  </si>
  <si>
    <t>9.74 Резка стального профилированного настила: ОЗП=16,9; ЭМ=2,04; ЗПМ=16,9</t>
  </si>
  <si>
    <t>Резка стального профилированного настила</t>
  </si>
  <si>
    <t>1 м реза</t>
  </si>
  <si>
    <t>ФЕР12-01-009-01
ОЗП=1,15
ЭМ=1,25
ЗПМ=1,25
ТЗ=1,15
ТЗМ=1,25</t>
  </si>
  <si>
    <t>18952,69
722,92</t>
  </si>
  <si>
    <t>296,15
28,49</t>
  </si>
  <si>
    <t>12.26. Устройство желобов: ОЗП=16,9; ЭМ=11,67; ЗПМ=16,9; МАТ=3,93</t>
  </si>
  <si>
    <t>7189
997</t>
  </si>
  <si>
    <t>84,75
2,11</t>
  </si>
  <si>
    <t>141,16
3,51</t>
  </si>
  <si>
    <t>Устройство желобов: настенных</t>
  </si>
  <si>
    <t>100 м желобов</t>
  </si>
  <si>
    <t>ФССЦ-101-1770</t>
  </si>
  <si>
    <t>Толь с крупнозернистой посыпкой марки ТВК-350; МАТ=2,938</t>
  </si>
  <si>
    <t>Толь с крупнозернистой посыпкой марки ТВК-350</t>
  </si>
  <si>
    <t>ФССЦ-102-0121</t>
  </si>
  <si>
    <t>Доски обрезные хвойных пород длиной: 2-3,75 м, шириной 75-150 мм, толщиной 44 мм и более, III сорта; МАТ=5,581</t>
  </si>
  <si>
    <t>Доски обрезные хвойных пород длиной: 2-3,75 м, шириной 75-150 мм, толщиной 44 мм и более, III сорта</t>
  </si>
  <si>
    <t>ФССЦ-101-1875</t>
  </si>
  <si>
    <t>Сталь листовая оцинкованная толщиной листа:0,7 мм; МАТ=3,474</t>
  </si>
  <si>
    <t>Сталь листовая оцинкованная толщиной листа: 0,7 мм</t>
  </si>
  <si>
    <t>ФЕР12-01-012-01
ОЗП=1,15
ЭМ=1,25
ЗПМ=1,25
ТЗ=1,15
ТЗМ=1,25</t>
  </si>
  <si>
    <t>3147,39
59,1</t>
  </si>
  <si>
    <t>55,38
3,92</t>
  </si>
  <si>
    <t>1122
135</t>
  </si>
  <si>
    <t>6,67
0,29</t>
  </si>
  <si>
    <t>10,74
0,47</t>
  </si>
  <si>
    <t>Ограждение кровель перилами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</si>
  <si>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</si>
  <si>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</si>
  <si>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</si>
  <si>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1092
135</t>
  </si>
  <si>
    <t>10,41
0,45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</si>
  <si>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</si>
  <si>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</si>
  <si>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</si>
  <si>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1800/1,18/3/5,56=91,45</t>
  </si>
  <si>
    <t>м</t>
  </si>
  <si>
    <t>404
51</t>
  </si>
  <si>
    <t>3,8
0,17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</si>
  <si>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</si>
  <si>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</si>
  <si>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</si>
  <si>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МАТ=6,919</t>
  </si>
  <si>
    <t>Трос стальной</t>
  </si>
  <si>
    <t>ФССЦ-204-0059</t>
  </si>
  <si>
    <t>0,0018
0,00009*20</t>
  </si>
  <si>
    <t>Анкерные детали из прямых или гнутых круглых стержней с резьбой (в комплекте с шайбами и гайками или без них), поставляемые отдельно; МАТ=4,94</t>
  </si>
  <si>
    <t>Анкерные детали из прямых или гнутых круглых стержней с резьбой (в комплекте с шайбами и гайками или без них): поставляемые отдельно</t>
  </si>
  <si>
    <t>202
17</t>
  </si>
  <si>
    <t>1,99
0,09</t>
  </si>
  <si>
    <t>Устройство переходных лестниц  на кровле</t>
  </si>
  <si>
    <t>Лестница кровельная длиной 1860 мм 2200/1,18/5,56=335,32</t>
  </si>
  <si>
    <t>шт</t>
  </si>
  <si>
    <t>0,1
0,0125*8</t>
  </si>
  <si>
    <t>0,67
0,03</t>
  </si>
  <si>
    <t>Устройство переходных мостиков  на кровле</t>
  </si>
  <si>
    <t>Прайс  Руффо</t>
  </si>
  <si>
    <t>Переходный мостик 1250 мм 2250/1,18/5,56=342,95</t>
  </si>
  <si>
    <t>ФЕРр58-15-1</t>
  </si>
  <si>
    <t>529,88
521,86</t>
  </si>
  <si>
    <t>84.42 Перенавеска водосточных труб: ОЗП=16,9; МАТ=3,39</t>
  </si>
  <si>
    <t>Перенавеска водосточных труб: с земли, лестниц или подмостей</t>
  </si>
  <si>
    <t>100 м труб</t>
  </si>
  <si>
    <t>ФССЦ-201-1101</t>
  </si>
  <si>
    <t>Звенья водосточных труб из оцинкованной стали толщиной 0,55 мм, диаметром 140 мм, марка ТВ-140; МАТ=2,653</t>
  </si>
  <si>
    <t>Звенья водосточных труб из оцинкованной стали толщиной 0,55 мм, диаметром 140 мм, марка ТВ-140</t>
  </si>
  <si>
    <t>ФССЦ-301-1104</t>
  </si>
  <si>
    <t>Воронка водосточная из оцинкованной стали толщиной 0,55 диаметром 215 мм; МАТ=2,999</t>
  </si>
  <si>
    <t>Воронка водосточная из оцинкованной стали толщиной 0,55 диаметром 215 мм</t>
  </si>
  <si>
    <t>ФССЦ-201-1102</t>
  </si>
  <si>
    <t>Колено из оцинкованной стали толщиной 0,55 мм, диаметром 140 мм, марка ТВ-140; МАТ=4,014</t>
  </si>
  <si>
    <t>Колено из оцинкованной стали толщиной 0,55 мм, диаметром 140 мм, марка ТВ-140</t>
  </si>
  <si>
    <t>ФССЦ-201-1103</t>
  </si>
  <si>
    <t>Отливы (отметы) из оцинкованной стали толщиной 0,55 мм диаметром 140 мм; МАТ=3,901</t>
  </si>
  <si>
    <t>Отливы (отметы) из оцинкованной стали толщиной 0,55 мм диаметром 140 мм</t>
  </si>
  <si>
    <t>ФССЦ-101-0782</t>
  </si>
  <si>
    <t>0,1926
1,8*107/1000</t>
  </si>
  <si>
    <t>Поковки из квадратных заготовок, масса: 1,8 кг; МАТ=4,269</t>
  </si>
  <si>
    <t>Поковки из квадратных заготовок, масса 1,8 кг хомуты</t>
  </si>
  <si>
    <t>ФЕР13-03-004-26
ПЗ=2
ОЗП=2*1,15
ЭМ=2*1,25
ЗПМ=2*1,25
МАТ=2
ТЗ=2*1,15
ТЗМ=2*1,25</t>
  </si>
  <si>
    <t>644,48
69,48</t>
  </si>
  <si>
    <t>12,44
0,2</t>
  </si>
  <si>
    <t>13.100 Окраска металлических огрунтованных поверхностей: эмалью ПФ-115: ОЗП=16,9; ЭМ=10,78; ЗПМ=16,9; МАТ=4,94</t>
  </si>
  <si>
    <t>7,66
0,02</t>
  </si>
  <si>
    <t>2,4
0,01</t>
  </si>
  <si>
    <t>(За 2 раза ПЗ=2 (ОЗП=2; ЭМ=2 к расх.; ЗПМ=2; МАТ=2 к расх.; ТЗ=2; ТЗМ=2)(КОЭФ.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</si>
  <si>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Окраска металлических огрунтованных поверхностей: эмалью ПФ-115</t>
  </si>
  <si>
    <t>100 м2 окрашиваемой поверхности</t>
  </si>
  <si>
    <t>6530
306</t>
  </si>
  <si>
    <t>2531,97
23,26</t>
  </si>
  <si>
    <t>7934
372</t>
  </si>
  <si>
    <t>2741,33
28,2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</si>
  <si>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45, 55, 58, 60, 66, 72, 74, 77, 81, 84, 65, 93)</t>
  </si>
  <si>
    <t>1404
65</t>
  </si>
  <si>
    <t>209,373
4,9425</t>
  </si>
  <si>
    <t>89059
6288</t>
  </si>
  <si>
    <t>Итого по разделу 3 Кровля</t>
  </si>
  <si>
    <t>Раздел 4. Вентиляционные шахты</t>
  </si>
  <si>
    <t>ФЕР08-02-001-09
ОЗП=1,15
ЭМ=1,25
ЗПМ=1,25
ТЗ=1,15
ТЗМ=1,25</t>
  </si>
  <si>
    <t>913,25
58,83</t>
  </si>
  <si>
    <t>31,1
4,86</t>
  </si>
  <si>
    <t>8.14. Кладка стен из кирпича: ОЗП=16,9; ЭМ=12,12; ЗПМ=16,9; МАТ=4,7</t>
  </si>
  <si>
    <t>16435
3600</t>
  </si>
  <si>
    <t>7,08
0,36</t>
  </si>
  <si>
    <t>247,09
12,56</t>
  </si>
  <si>
    <t>НР 93%=122%*(0,85*0,9) от ФОТ</t>
  </si>
  <si>
    <t>СП 54%=80%*(0,8*0,85) от ФОТ</t>
  </si>
  <si>
    <t>Кладка стен приямков и каналов</t>
  </si>
  <si>
    <t>1 м3 кладки</t>
  </si>
  <si>
    <t>ФЕР10-01-010-01
ОЗП=1,15
ЭМ=1,25
ЗПМ=1,25
ТЗ=1,15
ТЗМ=1,25</t>
  </si>
  <si>
    <t>ФЕР26-01-054-01
ОЗП=1,15
ЭМ=1,25
ЗПМ=1,25
МАТ=0
ТЗ=1,15
ТЗМ=1,25</t>
  </si>
  <si>
    <t>326,9
276,31</t>
  </si>
  <si>
    <t>26.71 Обертывание поверхности изоляции рулонными материалами насухо с проклейкой швов: ОЗП=16,9; ЭМ=10,73; ЗПМ=16,9; МАТ=9,72</t>
  </si>
  <si>
    <t>(материалы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</si>
  <si>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Обертывание поверхности изоляции рулонными материалами насухо с проклейкой швов</t>
  </si>
  <si>
    <t>100 м2 поверхности покрытия изоляции</t>
  </si>
  <si>
    <t>6,4272
6,24*1,03</t>
  </si>
  <si>
    <t>ФЕР26-01-053-01
ОЗП=1,15
ЭМ=1,25
ЗПМ=1,25
ТЗ=1,15
ТЗМ=1,25</t>
  </si>
  <si>
    <t>10359,57
1265,72</t>
  </si>
  <si>
    <t>26.69 Покрытие изоляции плоских (криволинейных) поверхностей листовым металлом с заготовкой покрытия: ОЗП=16,9; ЭМ=8,15; ЗПМ=16,9; МАТ=3,77</t>
  </si>
  <si>
    <t>Покрытие изоляции плоских (криволинейных) поверхностей листовым металлом с заготовкой покрытия</t>
  </si>
  <si>
    <t>ФССЦ-101-1876
ОЗП=1,15
ЭМ=1,25
ЗПМ=1,25
ТЗ=1,15
ТЗМ=1,25</t>
  </si>
  <si>
    <t>Сталь листовая оцинкованная толщиной листа:0,8 мм; МАТ=3,776</t>
  </si>
  <si>
    <t>Сталь листовая оцинкованная толщиной листа: 0,8 мм</t>
  </si>
  <si>
    <t>ФЕР20-02-010-08
ОЗП=1,15
ЭМ=1,25
ЗПМ=1,25
ТЗ=1,15
ТЗМ=1,25</t>
  </si>
  <si>
    <t>48,56
32,34</t>
  </si>
  <si>
    <t>7,73
0,14</t>
  </si>
  <si>
    <t>20.25 Установка зонтов над шахтами из листовой и оцинкованной стали: ОЗП=16,9; ЭМ=7,61; ЗПМ=16,9; МАТ=5,89</t>
  </si>
  <si>
    <t>883
51</t>
  </si>
  <si>
    <t>3,65
0,01</t>
  </si>
  <si>
    <t>43,8
0,12</t>
  </si>
  <si>
    <t>НР 98%=128%*(0,85*0,9) от ФОТ</t>
  </si>
  <si>
    <t>СП 56%=83%*(0,8*0,85) от ФОТ</t>
  </si>
  <si>
    <t>Установка зонтов над шахтами из листовой стали прямоугольного сечения периметром : 4000 мм</t>
  </si>
  <si>
    <t>1 зонт</t>
  </si>
  <si>
    <t>ФССЦ-301-0295</t>
  </si>
  <si>
    <t>Зонты вентиляционных систем из листовой оцинкованной стали, прямоугольные, периметром шахты 4000 мм; МАТ=4,145</t>
  </si>
  <si>
    <t>Зонты вентиляционных систем из листовой оцинкованной стали: прямоугольные, периметром шахты 4000 мм</t>
  </si>
  <si>
    <t>ФССЦ-101-3400</t>
  </si>
  <si>
    <t>Дюбель-гвоздь 8x100 мм; МАТ=1,377</t>
  </si>
  <si>
    <t>Дюбель-гвоздь 8х100 мм</t>
  </si>
  <si>
    <t>100 шт.</t>
  </si>
  <si>
    <t>2810
172</t>
  </si>
  <si>
    <t>721,49
12,68</t>
  </si>
  <si>
    <t>3512
216</t>
  </si>
  <si>
    <t>829,72
15,85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</si>
  <si>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94-96, 98, 101)</t>
  </si>
  <si>
    <t>703
43</t>
  </si>
  <si>
    <t>108,2235
3,17</t>
  </si>
  <si>
    <t>34264
3651</t>
  </si>
  <si>
    <t>Итого по разделу 4 Вентиляционные шахты</t>
  </si>
  <si>
    <t>Раздел 5. Утепление фановых труб - 12 шт</t>
  </si>
  <si>
    <t>ФЕР16-04-001-02
ОЗП=1,15
ЭМ=1,25
ЗПМ=1,25
ТЗ=1,15
ТЗМ=1,25</t>
  </si>
  <si>
    <t>7784,49
611,07</t>
  </si>
  <si>
    <t>6,58
0,68</t>
  </si>
  <si>
    <t>16.104 Прокладка трубопроводов канализации из полиэтиленовых труб высокой плотности диаметром: 100 мм: ОЗП=16,9; ЭМ=11,63; ЗПМ=16,9; МАТ=3,14</t>
  </si>
  <si>
    <t>61,6
0,05</t>
  </si>
  <si>
    <t>Прокладка трубопроводов канализации из полиэтиленовых труб высокой плотности диаметром: 110 мм</t>
  </si>
  <si>
    <t>100 м трубопровода</t>
  </si>
  <si>
    <t>ФЕР16-04-001-03
ОЗП=1,15
ЭМ=1,25
ЗПМ=1,25
ТЗ=1,15
ТЗМ=1,25</t>
  </si>
  <si>
    <t>0,506
0,046*11</t>
  </si>
  <si>
    <t>29322,89
552,85</t>
  </si>
  <si>
    <t>9,43
0,95</t>
  </si>
  <si>
    <t>16.105 Прокладка трубопроводов канализации из полиэтиленовых труб высокой плотности диаметром: 160 мм: ОЗП=16,9; ЭМ=11,58; ЗПМ=16,9; МАТ=1,37</t>
  </si>
  <si>
    <t>59,51
0,07</t>
  </si>
  <si>
    <t>30,11
0,04</t>
  </si>
  <si>
    <t>Прокладка трубопроводов канализации из полиэтиленовых труб высокой плотности диаметром: 160 мм</t>
  </si>
  <si>
    <t>ФЕР26-01-055-02
ОЗП=1,15
ЭМ=1,25
ЗПМ=1,25
ТЗ=1,15
ТЗМ=1,25</t>
  </si>
  <si>
    <t>1532,98
125,51</t>
  </si>
  <si>
    <t>26.74 Установка пароизоляционного слоя из пленки полиэтиленовой: ОЗП=16,9; ЭМ=11,82; ЗПМ=16,9; МАТ=2,49</t>
  </si>
  <si>
    <t>Установка пароизоляционного слоя из: пленки полиэтиленовой (без стекловолокнистых материалов)</t>
  </si>
  <si>
    <t>ФССЦ-113-1952</t>
  </si>
  <si>
    <t>Пленка полиэтиленовая толщиной 0,2-0,5 мм, изоловая; МАТ=1,222</t>
  </si>
  <si>
    <t>Пленка полиэтиленовая толщиной: 0,2-0,5 мм, изоловая</t>
  </si>
  <si>
    <t>ФССЦ-104-9242-90005</t>
  </si>
  <si>
    <t>98,88
48*2*1,03</t>
  </si>
  <si>
    <t>Утеплитель URSA: М 15, толщиной 50 мм 94,37/5,56=16,97</t>
  </si>
  <si>
    <t>ФЕР26-01-054-01
ПЗ=2
ОЗП=2*1,15
ЭМ=2*1,25
ЗПМ=2*1,25
МАТ=2*0
ТЗ=2*1,15
ТЗМ=2*1,25</t>
  </si>
  <si>
    <t>653,8
552,62</t>
  </si>
  <si>
    <t>(В 2 слоя ПЗ=2 (ОЗП=2; ЭМ=2 к расх.; ЗПМ=2; МАТ=2 к расх.; ТЗ=2; ТЗМ=2);
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</si>
  <si>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ФССЦ-104-0090</t>
  </si>
  <si>
    <t>0,10076
0,0916*1,1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</si>
  <si>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</si>
  <si>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</si>
  <si>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</si>
  <si>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ФССЦ-101-1876</t>
  </si>
  <si>
    <t>189,28
0,04</t>
  </si>
  <si>
    <t>217,68
0,05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</si>
  <si>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104-106, 109, 111, 113)</t>
  </si>
  <si>
    <t>28,392
0,01</t>
  </si>
  <si>
    <t>Итого по разделу 5 Утепление фановых труб - 12 шт</t>
  </si>
  <si>
    <t>Раздел 6. Молниезащита</t>
  </si>
  <si>
    <t>ФЕРм08-02-472-08</t>
  </si>
  <si>
    <t>541,57
188,94</t>
  </si>
  <si>
    <t>51,62
1,49</t>
  </si>
  <si>
    <t>55.350 Проводник заземляющий открыто по строительным основаниям: ОЗП=16,9; ЭМ=8,51; ЗПМ=16,9; МАТ=3,52</t>
  </si>
  <si>
    <t>1481
85</t>
  </si>
  <si>
    <t>20,1
0,11</t>
  </si>
  <si>
    <t>67,74
0,37</t>
  </si>
  <si>
    <t>НР 81%=95%*0,85 от ФОТ</t>
  </si>
  <si>
    <t>Проводник заземляющий открыто по строительным основаниям: из круглой стали диаметром 8 мм</t>
  </si>
  <si>
    <t>638
34</t>
  </si>
  <si>
    <t>29,35
0,16</t>
  </si>
  <si>
    <t>ФССЦ-101-1627</t>
  </si>
  <si>
    <t>-0,1932
-0,1348-0,0584</t>
  </si>
  <si>
    <t>Сталь листовая углеродистая обыкновенного качества марки ВСт3пс5 толщиной:4-6 мм; МАТ=5,035</t>
  </si>
  <si>
    <t>Сталь листовая углеродистая обыкновенного качества марки ВСт3пс5 толщиной: 4-6 мм</t>
  </si>
  <si>
    <t>ФССЦ-101-1613</t>
  </si>
  <si>
    <t>0,19077
0,1331+0,05767</t>
  </si>
  <si>
    <t>Сталь круглая углеродистая обыкновенного качества марки ВСт3пс5-1 диаметром:8 мм; МАТ=4,997</t>
  </si>
  <si>
    <t>Сталь круглая углеродистая обыкновенного качества марки ВСт3пс5-1 диаметром: 8 мм</t>
  </si>
  <si>
    <t>ФЕРм08-02-472-09</t>
  </si>
  <si>
    <t>1,91
1,81+0,1</t>
  </si>
  <si>
    <t>374,79
200,22</t>
  </si>
  <si>
    <t>69,36
2,57</t>
  </si>
  <si>
    <t>1123
85</t>
  </si>
  <si>
    <t>21,3
0,19</t>
  </si>
  <si>
    <t>40,68
0,36</t>
  </si>
  <si>
    <t>Проводник заземляющий открыто по строительным основаниям: из круглой стали диаметром 12 мм</t>
  </si>
  <si>
    <t>ФССЦ-101-1614</t>
  </si>
  <si>
    <t>Сталь круглая углеродистая обыкновенного качества марки ВСт3пс5-1 диаметром:16 мм; МАТ=4,865</t>
  </si>
  <si>
    <t>Сталь круглая углеродистая обыкновенного качества марки ВСт3пс5-1 диаметром: 16 мм</t>
  </si>
  <si>
    <t>ФЕРм08-02-471-04</t>
  </si>
  <si>
    <t>155,02
77,93</t>
  </si>
  <si>
    <t>51,63
1,89</t>
  </si>
  <si>
    <t>55.347 Заземлители: ОЗП=16,9; ЭМ=8,89; ЗПМ=16,9; МАТ=3,6</t>
  </si>
  <si>
    <t>364
34</t>
  </si>
  <si>
    <t>8,29
0,14</t>
  </si>
  <si>
    <t>Заземлитель вертикальный из круглой стали диаметром: 16 мм</t>
  </si>
  <si>
    <t>10 шт.</t>
  </si>
  <si>
    <t>ФЕРм08-02-472-07</t>
  </si>
  <si>
    <t>389,46
200,22</t>
  </si>
  <si>
    <t>82,67
3,38</t>
  </si>
  <si>
    <t>21,3
0,25</t>
  </si>
  <si>
    <t>2,22
0,03</t>
  </si>
  <si>
    <t>Проводник заземляющий открыто по строительным основаниям: из полосовой стали сечением 160 мм2</t>
  </si>
  <si>
    <t>ФЕРп01-11-010-01</t>
  </si>
  <si>
    <t>15,62
15,62</t>
  </si>
  <si>
    <t>Индекс на пусконаладочные работы: ОЗП=16,9</t>
  </si>
  <si>
    <t>НР 55%=65%*0,85 от ФОТ</t>
  </si>
  <si>
    <t>СП 32%=40%*0,8 от ФОТ</t>
  </si>
  <si>
    <t>Измерение сопротивления растеканию тока: заземлителя</t>
  </si>
  <si>
    <t>1 измерение</t>
  </si>
  <si>
    <t>431
14</t>
  </si>
  <si>
    <t>151,5
1,03</t>
  </si>
  <si>
    <t>3683
237</t>
  </si>
  <si>
    <t>Итого по разделу 6 Молниезащита</t>
  </si>
  <si>
    <t>Раздел 7. Вывоз мусора</t>
  </si>
  <si>
    <t>ФССЦпг01-01-01-041</t>
  </si>
  <si>
    <t>42,98
42,98</t>
  </si>
  <si>
    <t>Мусор строительный, вручную: погрузка: ОЗП=11,13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</si>
  <si>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</si>
  <si>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</si>
  <si>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</si>
  <si>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</si>
  <si>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</si>
  <si>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Мусор строительный, экскаваторами емк,ковша 0,5 м3: погрузка; ЭМ=11,6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</si>
  <si>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</si>
  <si>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</si>
  <si>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ЭМ=9,84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</si>
  <si>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</si>
  <si>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7 Вывоз мусора</t>
  </si>
  <si>
    <t>Итого прямые затраты по смете в ценах 2001г.</t>
  </si>
  <si>
    <t>21341
1291</t>
  </si>
  <si>
    <t>5894,71
107,81</t>
  </si>
  <si>
    <t>Итого прямые затраты по смете с учетом коэффициентов к итогам</t>
  </si>
  <si>
    <t>24690
1465</t>
  </si>
  <si>
    <t>6436,29
120,68</t>
  </si>
  <si>
    <t>Итого прямые затраты по смете с учетом индексов, в текущих ценах</t>
  </si>
  <si>
    <t>248151
24760</t>
  </si>
  <si>
    <t>Итоги по смете:</t>
  </si>
  <si>
    <t xml:space="preserve">  Итого Строительные работы</t>
  </si>
  <si>
    <t xml:space="preserve">  Итого Монтажные работы</t>
  </si>
  <si>
    <t>146,62
1,03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</si>
  <si>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</si>
  <si>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</si>
  <si>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</si>
  <si>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</si>
  <si>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</si>
  <si>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</si>
  <si>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</si>
  <si>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</si>
  <si>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3 кв. 2015 года</t>
  </si>
  <si>
    <t>Проведена проверка достоверности определения сметной стоимости</t>
  </si>
  <si>
    <t>Составила:____________________________</t>
  </si>
  <si>
    <t>6289,67
119,65</t>
  </si>
  <si>
    <t>на   Капитальный ремонт скатной  крыши</t>
  </si>
  <si>
    <t xml:space="preserve"> Капитальный ремонт многоквартирного дома, по адресу: Томская область,  г. Томск, ул. Елизаровых, дом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</si>
</sst>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2" fillId="0" borderId="0" xfId="0" applyFont="1" applyAlignment="1">
      <alignment horizontal="center" vertical="top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19"/>
  <sheetViews>
    <sheetView showGridLines="0" tabSelected="1" topLeftCell="A204" zoomScale="101" zoomScaleNormal="101" workbookViewId="0">
      <selection activeCell="E219" sqref="E219"/>
    </sheetView>
  </sheetViews>
  <sheetFormatPr defaultColWidth="9.109375" defaultRowHeight="13.2" x14ac:dyDescent="0.25"/>
  <cols>
    <col min="1" max="1" width="4.5546875" style="3" customWidth="1"/>
    <col min="2" max="2" width="14.44140625" style="3" customWidth="1"/>
    <col min="3" max="3" width="41.6640625" style="3" customWidth="1"/>
    <col min="4" max="4" width="6.88671875" style="3" customWidth="1"/>
    <col min="5" max="5" width="9.6640625" style="35" customWidth="1"/>
    <col min="6" max="6" width="8.88671875" style="35" customWidth="1"/>
    <col min="7" max="7" width="0.109375" style="35" hidden="1" customWidth="1"/>
    <col min="8" max="8" width="25.33203125" style="35" customWidth="1"/>
    <col min="9" max="9" width="9.6640625" style="35" customWidth="1"/>
    <col min="10" max="10" width="8.109375" style="35" customWidth="1"/>
    <col min="11" max="11" width="8.6640625" style="35" customWidth="1"/>
    <col min="12" max="12" width="8.88671875" style="35" hidden="1" customWidth="1"/>
    <col min="13" max="13" width="7.6640625" style="35" customWidth="1"/>
    <col min="14" max="14" width="8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54" width="0" style="2" hidden="1" customWidth="1"/>
    <col min="55" max="16384" width="9.109375" style="2"/>
  </cols>
  <sheetData>
    <row r="1" spans="1:14" s="1" customFormat="1" x14ac:dyDescent="0.25">
      <c r="A1" s="15"/>
      <c r="B1" s="20"/>
      <c r="C1" s="15"/>
      <c r="E1" s="21"/>
      <c r="F1" s="22" t="s">
        <v>617</v>
      </c>
      <c r="G1" s="21"/>
      <c r="H1" s="23"/>
      <c r="I1" s="15"/>
      <c r="J1" s="15"/>
      <c r="K1" s="15"/>
      <c r="L1" s="15"/>
      <c r="M1" s="15"/>
    </row>
    <row r="2" spans="1:14" s="1" customFormat="1" x14ac:dyDescent="0.25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5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5">
      <c r="A4" s="80" t="s">
        <v>25</v>
      </c>
      <c r="B4" s="80"/>
      <c r="C4" s="80"/>
      <c r="F4" s="28" t="s">
        <v>26</v>
      </c>
      <c r="G4" s="15"/>
      <c r="I4" s="81" t="s">
        <v>25</v>
      </c>
      <c r="J4" s="81"/>
      <c r="K4" s="81"/>
      <c r="L4" s="81"/>
      <c r="M4" s="81"/>
      <c r="N4" s="81"/>
    </row>
    <row r="5" spans="1:14" s="1" customFormat="1" x14ac:dyDescent="0.25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5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5">
      <c r="A7" s="15"/>
      <c r="B7" s="15"/>
      <c r="C7" s="29"/>
      <c r="D7" s="30" t="s">
        <v>616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5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5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5">
      <c r="A10" s="82" t="s">
        <v>27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x14ac:dyDescent="0.25">
      <c r="A11" s="6" t="s">
        <v>10</v>
      </c>
      <c r="B11" s="7"/>
      <c r="C11" s="83">
        <v>5056810</v>
      </c>
      <c r="D11" s="83"/>
      <c r="E11" s="83"/>
      <c r="F11" s="8" t="s">
        <v>9</v>
      </c>
      <c r="G11" s="9"/>
      <c r="H11" s="66" t="s">
        <v>613</v>
      </c>
      <c r="I11" s="66"/>
      <c r="J11" s="66"/>
      <c r="K11" s="66"/>
      <c r="L11" s="66"/>
      <c r="M11" s="66"/>
      <c r="N11" s="66"/>
    </row>
    <row r="12" spans="1:14" x14ac:dyDescent="0.25">
      <c r="A12" s="6" t="s">
        <v>20</v>
      </c>
      <c r="B12" s="7"/>
      <c r="C12" s="10"/>
      <c r="D12" s="84">
        <v>984870</v>
      </c>
      <c r="E12" s="84"/>
      <c r="F12" s="8" t="s">
        <v>9</v>
      </c>
      <c r="G12" s="9"/>
      <c r="H12" s="66"/>
      <c r="I12" s="66"/>
      <c r="J12" s="66"/>
      <c r="K12" s="66"/>
      <c r="L12" s="66"/>
      <c r="M12" s="66"/>
      <c r="N12" s="66"/>
    </row>
    <row r="13" spans="1:14" x14ac:dyDescent="0.25">
      <c r="A13" s="6" t="s">
        <v>612</v>
      </c>
      <c r="B13" s="2"/>
      <c r="C13" s="11"/>
      <c r="D13" s="12"/>
      <c r="E13" s="13"/>
      <c r="F13" s="36"/>
      <c r="G13" s="14"/>
      <c r="H13" s="14"/>
      <c r="I13" s="9"/>
      <c r="J13" s="9"/>
    </row>
    <row r="14" spans="1:14" ht="11.25" customHeight="1" x14ac:dyDescent="0.25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5">
      <c r="A15" s="76" t="s">
        <v>3</v>
      </c>
      <c r="B15" s="76" t="s">
        <v>17</v>
      </c>
      <c r="C15" s="78" t="s">
        <v>22</v>
      </c>
      <c r="D15" s="78" t="s">
        <v>18</v>
      </c>
      <c r="E15" s="89" t="s">
        <v>23</v>
      </c>
      <c r="F15" s="90"/>
      <c r="G15" s="91"/>
      <c r="H15" s="78" t="s">
        <v>4</v>
      </c>
      <c r="I15" s="89" t="s">
        <v>24</v>
      </c>
      <c r="J15" s="95"/>
      <c r="K15" s="95"/>
      <c r="L15" s="86"/>
      <c r="M15" s="85" t="s">
        <v>19</v>
      </c>
      <c r="N15" s="86"/>
    </row>
    <row r="16" spans="1:14" s="4" customFormat="1" ht="38.25" customHeight="1" x14ac:dyDescent="0.25">
      <c r="A16" s="79"/>
      <c r="B16" s="79"/>
      <c r="C16" s="79"/>
      <c r="D16" s="79"/>
      <c r="E16" s="92"/>
      <c r="F16" s="93"/>
      <c r="G16" s="94"/>
      <c r="H16" s="79"/>
      <c r="I16" s="87"/>
      <c r="J16" s="96"/>
      <c r="K16" s="96"/>
      <c r="L16" s="88"/>
      <c r="M16" s="87"/>
      <c r="N16" s="88"/>
    </row>
    <row r="17" spans="1:35" s="4" customFormat="1" ht="12.75" customHeight="1" x14ac:dyDescent="0.25">
      <c r="A17" s="79"/>
      <c r="B17" s="79"/>
      <c r="C17" s="79"/>
      <c r="D17" s="79"/>
      <c r="E17" s="37" t="s">
        <v>12</v>
      </c>
      <c r="F17" s="37" t="s">
        <v>14</v>
      </c>
      <c r="G17" s="78" t="s">
        <v>16</v>
      </c>
      <c r="H17" s="79"/>
      <c r="I17" s="78" t="s">
        <v>12</v>
      </c>
      <c r="J17" s="78" t="s">
        <v>15</v>
      </c>
      <c r="K17" s="37" t="s">
        <v>14</v>
      </c>
      <c r="L17" s="78" t="s">
        <v>16</v>
      </c>
      <c r="M17" s="76" t="s">
        <v>8</v>
      </c>
      <c r="N17" s="78" t="s">
        <v>12</v>
      </c>
    </row>
    <row r="18" spans="1:35" s="4" customFormat="1" ht="11.25" customHeight="1" x14ac:dyDescent="0.25">
      <c r="A18" s="77"/>
      <c r="B18" s="77"/>
      <c r="C18" s="77"/>
      <c r="D18" s="77"/>
      <c r="E18" s="38" t="s">
        <v>11</v>
      </c>
      <c r="F18" s="37" t="s">
        <v>13</v>
      </c>
      <c r="G18" s="77"/>
      <c r="H18" s="77"/>
      <c r="I18" s="77"/>
      <c r="J18" s="77"/>
      <c r="K18" s="37" t="s">
        <v>13</v>
      </c>
      <c r="L18" s="77"/>
      <c r="M18" s="77"/>
      <c r="N18" s="77"/>
    </row>
    <row r="19" spans="1:35" x14ac:dyDescent="0.25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5">
      <c r="A20" s="71" t="s">
        <v>29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35" ht="118.8" x14ac:dyDescent="0.25">
      <c r="A21" s="46">
        <v>1</v>
      </c>
      <c r="B21" s="47" t="s">
        <v>30</v>
      </c>
      <c r="C21" s="48" t="str">
        <f t="shared" ref="C21:C32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18739 руб. НР 84%=110%*(0,85*0,9) от ФОТ (22308 руб.)
10708 руб.СП 48%=70%*(0,8*0,85) от ФОТ (22308 руб.)
</v>
      </c>
      <c r="D21" s="46">
        <v>10.64</v>
      </c>
      <c r="E21" s="49" t="s">
        <v>31</v>
      </c>
      <c r="F21" s="49">
        <v>30.64</v>
      </c>
      <c r="G21" s="49"/>
      <c r="H21" s="50" t="s">
        <v>32</v>
      </c>
      <c r="I21" s="51">
        <v>23283</v>
      </c>
      <c r="J21" s="49">
        <v>22308</v>
      </c>
      <c r="K21" s="49">
        <v>975</v>
      </c>
      <c r="L21" s="49" t="str">
        <f>IF(10.64*0=0," ",TEXT(,ROUND((10.64*0*1),2)))</f>
        <v xml:space="preserve"> </v>
      </c>
      <c r="M21" s="49">
        <v>15.9</v>
      </c>
      <c r="N21" s="49">
        <v>169.18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33</v>
      </c>
      <c r="AB21" s="53" t="s">
        <v>34</v>
      </c>
      <c r="AC21" s="53">
        <v>18739</v>
      </c>
      <c r="AD21" s="53">
        <v>10708</v>
      </c>
      <c r="AE21" s="53"/>
      <c r="AF21" s="54" t="s">
        <v>35</v>
      </c>
      <c r="AG21" s="53" t="s">
        <v>36</v>
      </c>
      <c r="AH21" s="53"/>
      <c r="AI21" s="53">
        <f>22308+0</f>
        <v>22308</v>
      </c>
    </row>
    <row r="22" spans="1:35" ht="105.6" x14ac:dyDescent="0.25">
      <c r="A22" s="46">
        <v>2</v>
      </c>
      <c r="B22" s="47" t="s">
        <v>37</v>
      </c>
      <c r="C22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1428 руб. НР 71%=83%*0,85 от ФОТ (2011 руб.)
1046 руб.СП 52%=65%*0,8 от ФОТ (2011 руб.)
</v>
      </c>
      <c r="D22" s="46">
        <v>1.67</v>
      </c>
      <c r="E22" s="49" t="s">
        <v>38</v>
      </c>
      <c r="F22" s="49">
        <v>0.2</v>
      </c>
      <c r="G22" s="49"/>
      <c r="H22" s="50" t="s">
        <v>39</v>
      </c>
      <c r="I22" s="51">
        <v>2011</v>
      </c>
      <c r="J22" s="49">
        <v>2011</v>
      </c>
      <c r="K22" s="49"/>
      <c r="L22" s="49" t="str">
        <f>IF(1.67*0=0," ",TEXT(,ROUND((1.67*0*1),2)))</f>
        <v xml:space="preserve"> </v>
      </c>
      <c r="M22" s="49">
        <v>9.1</v>
      </c>
      <c r="N22" s="49">
        <v>15.2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40</v>
      </c>
      <c r="AB22" s="53" t="s">
        <v>41</v>
      </c>
      <c r="AC22" s="53">
        <v>1428</v>
      </c>
      <c r="AD22" s="53">
        <v>1046</v>
      </c>
      <c r="AE22" s="53"/>
      <c r="AF22" s="54" t="s">
        <v>42</v>
      </c>
      <c r="AG22" s="53" t="s">
        <v>43</v>
      </c>
      <c r="AH22" s="53"/>
      <c r="AI22" s="53">
        <f>2011+0</f>
        <v>2011</v>
      </c>
    </row>
    <row r="23" spans="1:35" ht="105.6" x14ac:dyDescent="0.25">
      <c r="A23" s="46">
        <v>3</v>
      </c>
      <c r="B23" s="47" t="s">
        <v>37</v>
      </c>
      <c r="C23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876 руб. НР 71%=83%*0,85 от ФОТ (1234 руб.)
642 руб.СП 52%=65%*0,8 от ФОТ (1234 руб.)
</v>
      </c>
      <c r="D23" s="46">
        <v>1.022</v>
      </c>
      <c r="E23" s="49" t="s">
        <v>38</v>
      </c>
      <c r="F23" s="49">
        <v>0.2</v>
      </c>
      <c r="G23" s="49"/>
      <c r="H23" s="50" t="s">
        <v>39</v>
      </c>
      <c r="I23" s="51">
        <v>1234</v>
      </c>
      <c r="J23" s="49">
        <v>1234</v>
      </c>
      <c r="K23" s="49"/>
      <c r="L23" s="49" t="str">
        <f>IF(1.022*0=0," ",TEXT(,ROUND((1.022*0*1),2)))</f>
        <v xml:space="preserve"> </v>
      </c>
      <c r="M23" s="49">
        <v>9.1</v>
      </c>
      <c r="N23" s="49">
        <v>9.3000000000000007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40</v>
      </c>
      <c r="AB23" s="53" t="s">
        <v>41</v>
      </c>
      <c r="AC23" s="53">
        <v>876</v>
      </c>
      <c r="AD23" s="53">
        <v>642</v>
      </c>
      <c r="AE23" s="53"/>
      <c r="AF23" s="54" t="s">
        <v>42</v>
      </c>
      <c r="AG23" s="53" t="s">
        <v>43</v>
      </c>
      <c r="AH23" s="53"/>
      <c r="AI23" s="53">
        <f>1234+0</f>
        <v>1234</v>
      </c>
    </row>
    <row r="24" spans="1:35" ht="92.4" x14ac:dyDescent="0.25">
      <c r="A24" s="46">
        <v>4</v>
      </c>
      <c r="B24" s="47" t="s">
        <v>44</v>
      </c>
      <c r="C24" s="48" t="str">
        <f t="shared" ca="1" si="0"/>
        <v xml:space="preserve">Разборка слуховых окон: прямоугольных двускатных
100 окон
2604 руб. НР 71%=83%*0,85 от ФОТ (3667 руб.)
1907 руб.СП 52%=65%*0,8 от ФОТ (3667 руб.)
</v>
      </c>
      <c r="D24" s="46">
        <v>0.08</v>
      </c>
      <c r="E24" s="49" t="s">
        <v>45</v>
      </c>
      <c r="F24" s="49">
        <v>10.37</v>
      </c>
      <c r="G24" s="49"/>
      <c r="H24" s="50" t="s">
        <v>46</v>
      </c>
      <c r="I24" s="51">
        <v>3672</v>
      </c>
      <c r="J24" s="49">
        <v>3667</v>
      </c>
      <c r="K24" s="49">
        <v>5</v>
      </c>
      <c r="L24" s="49" t="str">
        <f>IF(0.08*0=0," ",TEXT(,ROUND((0.08*0*1),2)))</f>
        <v xml:space="preserve"> </v>
      </c>
      <c r="M24" s="49">
        <v>341.3</v>
      </c>
      <c r="N24" s="49">
        <v>27.3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40</v>
      </c>
      <c r="AB24" s="53" t="s">
        <v>41</v>
      </c>
      <c r="AC24" s="53">
        <v>2604</v>
      </c>
      <c r="AD24" s="53">
        <v>1907</v>
      </c>
      <c r="AE24" s="53"/>
      <c r="AF24" s="54" t="s">
        <v>47</v>
      </c>
      <c r="AG24" s="53" t="s">
        <v>48</v>
      </c>
      <c r="AH24" s="53"/>
      <c r="AI24" s="53">
        <f>3667+0</f>
        <v>3667</v>
      </c>
    </row>
    <row r="25" spans="1:35" ht="118.8" x14ac:dyDescent="0.25">
      <c r="A25" s="46">
        <v>5</v>
      </c>
      <c r="B25" s="47" t="s">
        <v>49</v>
      </c>
      <c r="C25" s="48" t="str">
        <f t="shared" ca="1" si="0"/>
        <v xml:space="preserve">Разборка деревянных элементов конструкций крыш: обрешетки из брусков с прозорами
100 м2 кровли
16366 руб. НР 71%=83%*0,85 от ФОТ (23051 руб.)
11987 руб.СП 52%=65%*0,8 от ФОТ (23051 руб.)
</v>
      </c>
      <c r="D25" s="46">
        <v>10.776</v>
      </c>
      <c r="E25" s="49" t="s">
        <v>50</v>
      </c>
      <c r="F25" s="49" t="s">
        <v>51</v>
      </c>
      <c r="G25" s="49"/>
      <c r="H25" s="50" t="s">
        <v>52</v>
      </c>
      <c r="I25" s="51">
        <v>27106</v>
      </c>
      <c r="J25" s="49">
        <v>21919</v>
      </c>
      <c r="K25" s="49" t="s">
        <v>53</v>
      </c>
      <c r="L25" s="49" t="str">
        <f>IF(10.776*0=0," ",TEXT(,ROUND((10.776*0*1),2)))</f>
        <v xml:space="preserve"> </v>
      </c>
      <c r="M25" s="49" t="s">
        <v>54</v>
      </c>
      <c r="N25" s="49" t="s">
        <v>55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40</v>
      </c>
      <c r="AB25" s="53" t="s">
        <v>41</v>
      </c>
      <c r="AC25" s="53">
        <v>16366</v>
      </c>
      <c r="AD25" s="53">
        <v>11987</v>
      </c>
      <c r="AE25" s="53"/>
      <c r="AF25" s="54" t="s">
        <v>56</v>
      </c>
      <c r="AG25" s="53" t="s">
        <v>57</v>
      </c>
      <c r="AH25" s="53"/>
      <c r="AI25" s="53">
        <f>21919+1132</f>
        <v>23051</v>
      </c>
    </row>
    <row r="26" spans="1:35" ht="92.4" x14ac:dyDescent="0.25">
      <c r="A26" s="46">
        <v>6</v>
      </c>
      <c r="B26" s="47" t="s">
        <v>58</v>
      </c>
      <c r="C26" s="48" t="str">
        <f t="shared" ca="1" si="0"/>
        <v xml:space="preserve">Разборка деревянных элементов конструкций крыш: стропил со стойками и подкосами из досок
100 м2 кровли
4763 руб. НР 71%=83%*0,85 от ФОТ (6709 руб.)
3489 руб.СП 52%=65%*0,8 от ФОТ (6709 руб.)
</v>
      </c>
      <c r="D26" s="46">
        <v>2.12</v>
      </c>
      <c r="E26" s="49" t="s">
        <v>59</v>
      </c>
      <c r="F26" s="49" t="s">
        <v>60</v>
      </c>
      <c r="G26" s="49"/>
      <c r="H26" s="50" t="s">
        <v>52</v>
      </c>
      <c r="I26" s="51">
        <v>7216</v>
      </c>
      <c r="J26" s="49">
        <v>6574</v>
      </c>
      <c r="K26" s="49" t="s">
        <v>61</v>
      </c>
      <c r="L26" s="49" t="str">
        <f>IF(2.12*0=0," ",TEXT(,ROUND((2.12*0*1),2)))</f>
        <v xml:space="preserve"> </v>
      </c>
      <c r="M26" s="49" t="s">
        <v>62</v>
      </c>
      <c r="N26" s="49" t="s">
        <v>63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40</v>
      </c>
      <c r="AB26" s="53" t="s">
        <v>41</v>
      </c>
      <c r="AC26" s="53">
        <v>4763</v>
      </c>
      <c r="AD26" s="53">
        <v>3489</v>
      </c>
      <c r="AE26" s="53"/>
      <c r="AF26" s="54" t="s">
        <v>64</v>
      </c>
      <c r="AG26" s="53" t="s">
        <v>57</v>
      </c>
      <c r="AH26" s="53"/>
      <c r="AI26" s="53">
        <f>6574+135</f>
        <v>6709</v>
      </c>
    </row>
    <row r="27" spans="1:35" ht="92.4" x14ac:dyDescent="0.25">
      <c r="A27" s="46">
        <v>7</v>
      </c>
      <c r="B27" s="47" t="s">
        <v>65</v>
      </c>
      <c r="C27" s="48" t="str">
        <f t="shared" ca="1" si="0"/>
        <v xml:space="preserve">Разборка деревянных элементов конструкций крыш: мауэрлатов
100 м2 кровли
1452 руб. НР 71%=83%*0,85 от ФОТ (2045 руб.)
1063 руб.СП 52%=65%*0,8 от ФОТ (2045 руб.)
</v>
      </c>
      <c r="D27" s="46">
        <v>2.12</v>
      </c>
      <c r="E27" s="49" t="s">
        <v>66</v>
      </c>
      <c r="F27" s="49" t="s">
        <v>67</v>
      </c>
      <c r="G27" s="49"/>
      <c r="H27" s="50" t="s">
        <v>52</v>
      </c>
      <c r="I27" s="51">
        <v>2505</v>
      </c>
      <c r="J27" s="49">
        <v>1910</v>
      </c>
      <c r="K27" s="49" t="s">
        <v>68</v>
      </c>
      <c r="L27" s="49" t="str">
        <f>IF(2.12*0=0," ",TEXT(,ROUND((2.12*0*1),2)))</f>
        <v xml:space="preserve"> </v>
      </c>
      <c r="M27" s="49" t="s">
        <v>69</v>
      </c>
      <c r="N27" s="49" t="s">
        <v>70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40</v>
      </c>
      <c r="AB27" s="53" t="s">
        <v>41</v>
      </c>
      <c r="AC27" s="53">
        <v>1452</v>
      </c>
      <c r="AD27" s="53">
        <v>1063</v>
      </c>
      <c r="AE27" s="53"/>
      <c r="AF27" s="54" t="s">
        <v>71</v>
      </c>
      <c r="AG27" s="53" t="s">
        <v>57</v>
      </c>
      <c r="AH27" s="53"/>
      <c r="AI27" s="53">
        <f>1910+135</f>
        <v>2045</v>
      </c>
    </row>
    <row r="28" spans="1:35" ht="145.19999999999999" x14ac:dyDescent="0.25">
      <c r="A28" s="46">
        <v>8</v>
      </c>
      <c r="B28" s="47" t="s">
        <v>72</v>
      </c>
      <c r="C28" s="48" t="str">
        <f t="shared" ca="1" si="0"/>
        <v xml:space="preserve">Демонтаж ограждения кровель перилами
100 м ограждения
(Демонтаж (разборка) металлических конструкций ОЗП=0,7; ЭМ=0,7 к расх.; ЗПМ=0,7; МАТ=0 к расх.; ТЗ=0,7; ТЗМ=0,7)
1104 руб. НР 92%=120%*(0,85*0,9) от ФОТ (1200 руб.)
528 руб.СП 44%=65%*(0,8*0,85) от ФОТ (1200 руб.)
</v>
      </c>
      <c r="D28" s="46">
        <v>1.61</v>
      </c>
      <c r="E28" s="49" t="s">
        <v>73</v>
      </c>
      <c r="F28" s="49" t="s">
        <v>74</v>
      </c>
      <c r="G28" s="49"/>
      <c r="H28" s="50" t="s">
        <v>75</v>
      </c>
      <c r="I28" s="51">
        <v>1759</v>
      </c>
      <c r="J28" s="49">
        <v>1132</v>
      </c>
      <c r="K28" s="49" t="s">
        <v>76</v>
      </c>
      <c r="L28" s="49" t="str">
        <f>IF(1.61*0=0," ",TEXT(,ROUND((1.61*0*7.51),2)))</f>
        <v xml:space="preserve"> </v>
      </c>
      <c r="M28" s="49" t="s">
        <v>77</v>
      </c>
      <c r="N28" s="49" t="s">
        <v>78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79</v>
      </c>
      <c r="AB28" s="53" t="s">
        <v>80</v>
      </c>
      <c r="AC28" s="53">
        <v>1104</v>
      </c>
      <c r="AD28" s="53">
        <v>528</v>
      </c>
      <c r="AE28" s="53" t="s">
        <v>81</v>
      </c>
      <c r="AF28" s="54" t="s">
        <v>82</v>
      </c>
      <c r="AG28" s="53" t="s">
        <v>83</v>
      </c>
      <c r="AH28" s="53"/>
      <c r="AI28" s="53">
        <f>1132+68</f>
        <v>1200</v>
      </c>
    </row>
    <row r="29" spans="1:35" ht="158.4" x14ac:dyDescent="0.25">
      <c r="A29" s="46">
        <v>9</v>
      </c>
      <c r="B29" s="47" t="s">
        <v>84</v>
      </c>
      <c r="C29" s="48" t="str">
        <f t="shared" ca="1" si="0"/>
        <v xml:space="preserve">Демонтаж люков на чердак
1 м2 проема
(МДС36 п.3.3.1.Демонтаж (разборка) металлических конструкций ОЗП=0,7; ЭМ=0,7 к расх.; ЗПМ=0,7; МАТ=0 к расх.; ТЗ=0,7; ТЗМ=0,7)
502 руб. НР 69%=90%*(0,85*0,9) от ФОТ (727 руб.)
422 руб.СП 58%=85%*(0,8*0,85) от ФОТ (727 руб.)
</v>
      </c>
      <c r="D29" s="46">
        <v>2.56</v>
      </c>
      <c r="E29" s="49" t="s">
        <v>85</v>
      </c>
      <c r="F29" s="49">
        <v>13.35</v>
      </c>
      <c r="G29" s="49"/>
      <c r="H29" s="50" t="s">
        <v>86</v>
      </c>
      <c r="I29" s="51">
        <v>1077</v>
      </c>
      <c r="J29" s="49">
        <v>727</v>
      </c>
      <c r="K29" s="49">
        <v>350</v>
      </c>
      <c r="L29" s="49" t="str">
        <f>IF(2.56*0=0," ",TEXT(,ROUND((2.56*0*9.28),2)))</f>
        <v xml:space="preserve"> </v>
      </c>
      <c r="M29" s="49">
        <v>1.68</v>
      </c>
      <c r="N29" s="49">
        <v>4.3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87</v>
      </c>
      <c r="AB29" s="53" t="s">
        <v>88</v>
      </c>
      <c r="AC29" s="53">
        <v>502</v>
      </c>
      <c r="AD29" s="53">
        <v>422</v>
      </c>
      <c r="AE29" s="53" t="s">
        <v>89</v>
      </c>
      <c r="AF29" s="54" t="s">
        <v>90</v>
      </c>
      <c r="AG29" s="53" t="s">
        <v>91</v>
      </c>
      <c r="AH29" s="53"/>
      <c r="AI29" s="53">
        <f>727+0</f>
        <v>727</v>
      </c>
    </row>
    <row r="30" spans="1:35" ht="105.6" x14ac:dyDescent="0.25">
      <c r="A30" s="46">
        <v>10</v>
      </c>
      <c r="B30" s="47" t="s">
        <v>92</v>
      </c>
      <c r="C30" s="48" t="str">
        <f t="shared" ca="1" si="0"/>
        <v xml:space="preserve">Разборка: кирпичных стен
1 м3
47315 руб. НР 84%=110%*(0,85*0,9) от ФОТ (56327 руб.)
27037 руб.СП 48%=70%*(0,8*0,85) от ФОТ (56327 руб.)
</v>
      </c>
      <c r="D30" s="46">
        <v>39.4</v>
      </c>
      <c r="E30" s="49" t="s">
        <v>93</v>
      </c>
      <c r="F30" s="49" t="s">
        <v>94</v>
      </c>
      <c r="G30" s="49"/>
      <c r="H30" s="50" t="s">
        <v>95</v>
      </c>
      <c r="I30" s="51">
        <v>79953</v>
      </c>
      <c r="J30" s="49">
        <v>48621</v>
      </c>
      <c r="K30" s="49" t="s">
        <v>96</v>
      </c>
      <c r="L30" s="49" t="str">
        <f>IF(39.4*0=0," ",TEXT(,ROUND((39.4*0*1),2)))</f>
        <v xml:space="preserve"> </v>
      </c>
      <c r="M30" s="49" t="s">
        <v>97</v>
      </c>
      <c r="N30" s="49" t="s">
        <v>98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33</v>
      </c>
      <c r="AB30" s="53" t="s">
        <v>34</v>
      </c>
      <c r="AC30" s="53">
        <v>47315</v>
      </c>
      <c r="AD30" s="53">
        <v>27037</v>
      </c>
      <c r="AE30" s="53"/>
      <c r="AF30" s="54" t="s">
        <v>99</v>
      </c>
      <c r="AG30" s="53" t="s">
        <v>100</v>
      </c>
      <c r="AH30" s="53"/>
      <c r="AI30" s="53">
        <f>48621+7706</f>
        <v>56327</v>
      </c>
    </row>
    <row r="31" spans="1:35" ht="92.4" x14ac:dyDescent="0.25">
      <c r="A31" s="46">
        <v>11</v>
      </c>
      <c r="B31" s="47" t="s">
        <v>101</v>
      </c>
      <c r="C31" s="48" t="str">
        <f t="shared" ca="1" si="0"/>
        <v xml:space="preserve">Затаривание строительного мусора в мешки Шлак
1 т
8533 руб. НР 66%=78%*0,85 от ФОТ (12929 руб.)
5172 руб.СП 40%=50%*0,8 от ФОТ (12929 руб.)
</v>
      </c>
      <c r="D31" s="46" t="s">
        <v>102</v>
      </c>
      <c r="E31" s="49" t="s">
        <v>103</v>
      </c>
      <c r="F31" s="49"/>
      <c r="G31" s="49">
        <v>16.399999999999999</v>
      </c>
      <c r="H31" s="50" t="s">
        <v>104</v>
      </c>
      <c r="I31" s="51">
        <v>25416</v>
      </c>
      <c r="J31" s="49">
        <v>12929</v>
      </c>
      <c r="K31" s="49"/>
      <c r="L31" s="49" t="str">
        <f>IF(103.2*16.4=0," ",TEXT(,ROUND((103.2*16.4*7.38),2)))</f>
        <v>12490,5</v>
      </c>
      <c r="M31" s="49">
        <v>1.03</v>
      </c>
      <c r="N31" s="49">
        <v>106.3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 t="s">
        <v>105</v>
      </c>
      <c r="AB31" s="53" t="s">
        <v>106</v>
      </c>
      <c r="AC31" s="53">
        <v>8533</v>
      </c>
      <c r="AD31" s="53">
        <v>5172</v>
      </c>
      <c r="AE31" s="53"/>
      <c r="AF31" s="54" t="s">
        <v>107</v>
      </c>
      <c r="AG31" s="53" t="s">
        <v>108</v>
      </c>
      <c r="AH31" s="53"/>
      <c r="AI31" s="53">
        <f>12929+0</f>
        <v>12929</v>
      </c>
    </row>
    <row r="32" spans="1:35" ht="79.2" x14ac:dyDescent="0.25">
      <c r="A32" s="55">
        <v>12</v>
      </c>
      <c r="B32" s="56" t="s">
        <v>109</v>
      </c>
      <c r="C32" s="57" t="str">
        <f t="shared" ca="1" si="0"/>
        <v xml:space="preserve">Прочистка вентиляционных каналов
100 м канала
2970 руб. НР 63%=74%*0,85 от ФОТ (4715 руб.)
1886 руб.СП 40%=50%*0,8 от ФОТ (4715 руб.)
</v>
      </c>
      <c r="D32" s="55">
        <v>1.752</v>
      </c>
      <c r="E32" s="58" t="s">
        <v>110</v>
      </c>
      <c r="F32" s="58" t="s">
        <v>111</v>
      </c>
      <c r="G32" s="58">
        <v>29.24</v>
      </c>
      <c r="H32" s="59" t="s">
        <v>112</v>
      </c>
      <c r="I32" s="60">
        <v>4975</v>
      </c>
      <c r="J32" s="58">
        <v>4715</v>
      </c>
      <c r="K32" s="58">
        <v>7</v>
      </c>
      <c r="L32" s="58" t="str">
        <f>IF(1.752*29.24=0," ",TEXT(,ROUND((1.752*29.24*4.96),2)))</f>
        <v>254,09</v>
      </c>
      <c r="M32" s="58" t="s">
        <v>113</v>
      </c>
      <c r="N32" s="58" t="s">
        <v>114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 t="s">
        <v>115</v>
      </c>
      <c r="AB32" s="53" t="s">
        <v>106</v>
      </c>
      <c r="AC32" s="53">
        <v>2970</v>
      </c>
      <c r="AD32" s="53">
        <v>1886</v>
      </c>
      <c r="AE32" s="53"/>
      <c r="AF32" s="54" t="s">
        <v>116</v>
      </c>
      <c r="AG32" s="53" t="s">
        <v>117</v>
      </c>
      <c r="AH32" s="53"/>
      <c r="AI32" s="53">
        <f>4715+0</f>
        <v>4715</v>
      </c>
    </row>
    <row r="33" spans="1:35" ht="26.4" x14ac:dyDescent="0.25">
      <c r="A33" s="73" t="s">
        <v>118</v>
      </c>
      <c r="B33" s="68"/>
      <c r="C33" s="68"/>
      <c r="D33" s="68"/>
      <c r="E33" s="68"/>
      <c r="F33" s="68"/>
      <c r="G33" s="68"/>
      <c r="H33" s="68"/>
      <c r="I33" s="51">
        <v>14473</v>
      </c>
      <c r="J33" s="49">
        <v>7559</v>
      </c>
      <c r="K33" s="49" t="s">
        <v>119</v>
      </c>
      <c r="L33" s="49">
        <v>1743</v>
      </c>
      <c r="M33" s="49"/>
      <c r="N33" s="49" t="s">
        <v>120</v>
      </c>
      <c r="O33" s="18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F33" s="4"/>
    </row>
    <row r="34" spans="1:35" ht="26.4" x14ac:dyDescent="0.25">
      <c r="A34" s="73" t="s">
        <v>121</v>
      </c>
      <c r="B34" s="68"/>
      <c r="C34" s="68"/>
      <c r="D34" s="68"/>
      <c r="E34" s="68"/>
      <c r="F34" s="68"/>
      <c r="G34" s="68"/>
      <c r="H34" s="68"/>
      <c r="I34" s="51">
        <v>180207</v>
      </c>
      <c r="J34" s="49">
        <v>127747</v>
      </c>
      <c r="K34" s="49" t="s">
        <v>122</v>
      </c>
      <c r="L34" s="49">
        <v>12740</v>
      </c>
      <c r="M34" s="49"/>
      <c r="N34" s="49" t="s">
        <v>120</v>
      </c>
      <c r="O34" s="18"/>
      <c r="P34" s="19"/>
      <c r="Q34" s="18"/>
      <c r="R34" s="18"/>
      <c r="S34" s="18"/>
      <c r="T34" s="18"/>
      <c r="U34" s="18"/>
      <c r="V34" s="18"/>
      <c r="W34" s="18"/>
      <c r="X34" s="18"/>
      <c r="Y34" s="18"/>
      <c r="Z34" s="18"/>
      <c r="AF34" s="4"/>
    </row>
    <row r="35" spans="1:35" x14ac:dyDescent="0.25">
      <c r="A35" s="73" t="s">
        <v>123</v>
      </c>
      <c r="B35" s="68"/>
      <c r="C35" s="68"/>
      <c r="D35" s="68"/>
      <c r="E35" s="68"/>
      <c r="F35" s="68"/>
      <c r="G35" s="68"/>
      <c r="H35" s="68"/>
      <c r="I35" s="51">
        <v>106651</v>
      </c>
      <c r="J35" s="49"/>
      <c r="K35" s="49"/>
      <c r="L35" s="49"/>
      <c r="M35" s="49"/>
      <c r="N35" s="49"/>
      <c r="O35" s="18"/>
      <c r="P35" s="19"/>
      <c r="Q35" s="18"/>
      <c r="R35" s="18"/>
      <c r="S35" s="18"/>
      <c r="T35" s="5"/>
      <c r="U35" s="5"/>
      <c r="V35" s="5"/>
      <c r="W35" s="5"/>
      <c r="X35" s="5"/>
      <c r="Y35" s="5"/>
      <c r="Z35" s="5"/>
    </row>
    <row r="36" spans="1:35" x14ac:dyDescent="0.25">
      <c r="A36" s="73" t="s">
        <v>124</v>
      </c>
      <c r="B36" s="68"/>
      <c r="C36" s="68"/>
      <c r="D36" s="68"/>
      <c r="E36" s="68"/>
      <c r="F36" s="68"/>
      <c r="G36" s="68"/>
      <c r="H36" s="68"/>
      <c r="I36" s="51">
        <v>65886</v>
      </c>
      <c r="J36" s="49"/>
      <c r="K36" s="49"/>
      <c r="L36" s="49"/>
      <c r="M36" s="49"/>
      <c r="N36" s="49"/>
      <c r="O36" s="18"/>
      <c r="P36" s="19"/>
      <c r="Q36" s="18"/>
      <c r="R36" s="18"/>
      <c r="S36" s="18"/>
    </row>
    <row r="37" spans="1:35" ht="26.4" x14ac:dyDescent="0.25">
      <c r="A37" s="74" t="s">
        <v>125</v>
      </c>
      <c r="B37" s="75"/>
      <c r="C37" s="75"/>
      <c r="D37" s="75"/>
      <c r="E37" s="75"/>
      <c r="F37" s="75"/>
      <c r="G37" s="75"/>
      <c r="H37" s="75"/>
      <c r="I37" s="61">
        <v>352744</v>
      </c>
      <c r="J37" s="62"/>
      <c r="K37" s="62"/>
      <c r="L37" s="62"/>
      <c r="M37" s="62"/>
      <c r="N37" s="62" t="s">
        <v>120</v>
      </c>
      <c r="O37" s="18"/>
      <c r="P37" s="19"/>
      <c r="Q37" s="18"/>
      <c r="R37" s="18"/>
      <c r="S37" s="18"/>
    </row>
    <row r="38" spans="1:35" ht="21" customHeight="1" x14ac:dyDescent="0.25">
      <c r="A38" s="71" t="s">
        <v>126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</row>
    <row r="39" spans="1:35" ht="92.4" x14ac:dyDescent="0.25">
      <c r="A39" s="46">
        <v>13</v>
      </c>
      <c r="B39" s="47" t="s">
        <v>127</v>
      </c>
      <c r="C39" s="48" t="str">
        <f t="shared" ref="C39:C65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покрытия из рулонных материалов: насухо без промазки кромок
100 м2 кровли
3744 руб. НР 71%=83%*0,85 от ФОТ (5273 руб.)
2742 руб.СП 52%=65%*0,8 от ФОТ (5273 руб.)
</v>
      </c>
      <c r="D39" s="46">
        <v>8.6020000000000003</v>
      </c>
      <c r="E39" s="49" t="s">
        <v>128</v>
      </c>
      <c r="F39" s="49">
        <v>5.23</v>
      </c>
      <c r="G39" s="49">
        <v>883.33</v>
      </c>
      <c r="H39" s="50" t="s">
        <v>129</v>
      </c>
      <c r="I39" s="51">
        <v>43871</v>
      </c>
      <c r="J39" s="49">
        <v>5273</v>
      </c>
      <c r="K39" s="49">
        <v>532</v>
      </c>
      <c r="L39" s="49" t="str">
        <f>IF(8.602*883.33=0," ",TEXT(,ROUND((8.602*883.33*5.01),2)))</f>
        <v>38068,01</v>
      </c>
      <c r="M39" s="49">
        <v>4.5199999999999996</v>
      </c>
      <c r="N39" s="49">
        <v>38.880000000000003</v>
      </c>
      <c r="O39" s="52"/>
      <c r="P39" s="52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 t="s">
        <v>40</v>
      </c>
      <c r="AB39" s="53" t="s">
        <v>41</v>
      </c>
      <c r="AC39" s="53">
        <v>3744</v>
      </c>
      <c r="AD39" s="53">
        <v>2742</v>
      </c>
      <c r="AE39" s="53"/>
      <c r="AF39" s="53" t="s">
        <v>130</v>
      </c>
      <c r="AG39" s="53" t="s">
        <v>57</v>
      </c>
      <c r="AH39" s="53"/>
      <c r="AI39" s="53">
        <f>5273+0</f>
        <v>5273</v>
      </c>
    </row>
    <row r="40" spans="1:35" ht="66" x14ac:dyDescent="0.25">
      <c r="A40" s="46">
        <v>14</v>
      </c>
      <c r="B40" s="47" t="s">
        <v>131</v>
      </c>
      <c r="C40" s="48" t="str">
        <f t="shared" ca="1" si="1"/>
        <v xml:space="preserve">Рубероид кровельный с крупнозернистой посыпкой марки: РКК-350б
м2
</v>
      </c>
      <c r="D40" s="46">
        <v>-989.2</v>
      </c>
      <c r="E40" s="49">
        <v>7.46</v>
      </c>
      <c r="F40" s="49"/>
      <c r="G40" s="49">
        <v>7.46</v>
      </c>
      <c r="H40" s="50" t="s">
        <v>132</v>
      </c>
      <c r="I40" s="51">
        <v>-36925</v>
      </c>
      <c r="J40" s="49"/>
      <c r="K40" s="49"/>
      <c r="L40" s="49" t="str">
        <f>IF(-989.2*7.46=0," ",TEXT(,ROUND((-989.2*7.46*5.004),2)))</f>
        <v>-36926,68</v>
      </c>
      <c r="M40" s="49"/>
      <c r="N40" s="49"/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 t="s">
        <v>133</v>
      </c>
      <c r="AG40" s="53" t="s">
        <v>134</v>
      </c>
      <c r="AH40" s="53"/>
      <c r="AI40" s="53">
        <f>0+0</f>
        <v>0</v>
      </c>
    </row>
    <row r="41" spans="1:35" ht="66" x14ac:dyDescent="0.25">
      <c r="A41" s="46">
        <v>15</v>
      </c>
      <c r="B41" s="47" t="s">
        <v>135</v>
      </c>
      <c r="C41" s="48" t="str">
        <f t="shared" ca="1" si="1"/>
        <v xml:space="preserve">Изоспан: Двухслойная паропроницаемая мембрана марки В 14,62/5,56=2,63
м2
</v>
      </c>
      <c r="D41" s="46">
        <v>989.2</v>
      </c>
      <c r="E41" s="49">
        <v>2.63</v>
      </c>
      <c r="F41" s="49"/>
      <c r="G41" s="49">
        <v>2.63</v>
      </c>
      <c r="H41" s="50" t="s">
        <v>136</v>
      </c>
      <c r="I41" s="51">
        <v>14467</v>
      </c>
      <c r="J41" s="49"/>
      <c r="K41" s="49"/>
      <c r="L41" s="49" t="str">
        <f>IF(989.2*2.63=0," ",TEXT(,ROUND((989.2*2.63*5.56),2)))</f>
        <v>14464,87</v>
      </c>
      <c r="M41" s="49"/>
      <c r="N41" s="49"/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 t="s">
        <v>137</v>
      </c>
      <c r="AG41" s="53" t="s">
        <v>134</v>
      </c>
      <c r="AH41" s="53"/>
      <c r="AI41" s="53">
        <f>0+0</f>
        <v>0</v>
      </c>
    </row>
    <row r="42" spans="1:35" ht="198" x14ac:dyDescent="0.25">
      <c r="A42" s="46">
        <v>16</v>
      </c>
      <c r="B42" s="47" t="s">
        <v>138</v>
      </c>
      <c r="C42" s="48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61554 руб. НР 92%=120%*(0,85*0,9) от ФОТ (66907 руб.)
29439 руб.СП 44%=65%*(0,8*0,85) от ФОТ (66907 руб.)
</v>
      </c>
      <c r="D42" s="46">
        <v>7.8029999999999999</v>
      </c>
      <c r="E42" s="49" t="s">
        <v>139</v>
      </c>
      <c r="F42" s="49" t="s">
        <v>140</v>
      </c>
      <c r="G42" s="49">
        <v>4146.24</v>
      </c>
      <c r="H42" s="50" t="s">
        <v>141</v>
      </c>
      <c r="I42" s="51">
        <v>295536</v>
      </c>
      <c r="J42" s="49">
        <v>65673</v>
      </c>
      <c r="K42" s="49" t="s">
        <v>142</v>
      </c>
      <c r="L42" s="49" t="str">
        <f>IF(7.803*4146.24=0," ",TEXT(,ROUND((7.803*4146.24*6.74),2)))</f>
        <v>218059,97</v>
      </c>
      <c r="M42" s="49" t="s">
        <v>143</v>
      </c>
      <c r="N42" s="49" t="s">
        <v>144</v>
      </c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 t="s">
        <v>79</v>
      </c>
      <c r="AB42" s="53" t="s">
        <v>80</v>
      </c>
      <c r="AC42" s="53">
        <v>61554</v>
      </c>
      <c r="AD42" s="53">
        <v>29439</v>
      </c>
      <c r="AE42" s="63" t="s">
        <v>145</v>
      </c>
      <c r="AF42" s="53" t="s">
        <v>146</v>
      </c>
      <c r="AG42" s="53" t="s">
        <v>147</v>
      </c>
      <c r="AH42" s="53"/>
      <c r="AI42" s="53">
        <f>65673+1234</f>
        <v>66907</v>
      </c>
    </row>
    <row r="43" spans="1:35" ht="52.8" x14ac:dyDescent="0.25">
      <c r="A43" s="46">
        <v>17</v>
      </c>
      <c r="B43" s="47" t="s">
        <v>148</v>
      </c>
      <c r="C43" s="48" t="str">
        <f t="shared" ca="1" si="1"/>
        <v xml:space="preserve">Котлы битумные передвижные 400 л
маш.-ч
</v>
      </c>
      <c r="D43" s="46">
        <v>-17.95</v>
      </c>
      <c r="E43" s="49">
        <v>30</v>
      </c>
      <c r="F43" s="49">
        <v>30</v>
      </c>
      <c r="G43" s="49"/>
      <c r="H43" s="50" t="s">
        <v>149</v>
      </c>
      <c r="I43" s="51">
        <v>-2935</v>
      </c>
      <c r="J43" s="49"/>
      <c r="K43" s="49">
        <v>-2935</v>
      </c>
      <c r="L43" s="49" t="str">
        <f>IF(-17.95*0=0," ",TEXT(,ROUND((-17.95*0*1),2)))</f>
        <v xml:space="preserve"> </v>
      </c>
      <c r="M43" s="49"/>
      <c r="N43" s="49"/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 t="s">
        <v>150</v>
      </c>
      <c r="AB43" s="53" t="s">
        <v>151</v>
      </c>
      <c r="AC43" s="53"/>
      <c r="AD43" s="53"/>
      <c r="AE43" s="53"/>
      <c r="AF43" s="53" t="s">
        <v>152</v>
      </c>
      <c r="AG43" s="53" t="s">
        <v>153</v>
      </c>
      <c r="AH43" s="53"/>
      <c r="AI43" s="53">
        <f>0+0</f>
        <v>0</v>
      </c>
    </row>
    <row r="44" spans="1:35" ht="66" x14ac:dyDescent="0.25">
      <c r="A44" s="46">
        <v>18</v>
      </c>
      <c r="B44" s="47" t="s">
        <v>154</v>
      </c>
      <c r="C44" s="48" t="str">
        <f t="shared" ca="1" si="1"/>
        <v xml:space="preserve">Битумы нефтяные строительные кровельные марки БНК-45/190, БНК-45/180
т
</v>
      </c>
      <c r="D44" s="46">
        <v>-0.1951</v>
      </c>
      <c r="E44" s="49">
        <v>1530</v>
      </c>
      <c r="F44" s="49"/>
      <c r="G44" s="49">
        <v>1530</v>
      </c>
      <c r="H44" s="50" t="s">
        <v>155</v>
      </c>
      <c r="I44" s="51">
        <v>-3970</v>
      </c>
      <c r="J44" s="49"/>
      <c r="K44" s="49"/>
      <c r="L44" s="49" t="str">
        <f>IF(-0.1951*1530=0," ",TEXT(,ROUND((-0.1951*1530*13.277),2)))</f>
        <v>-3963,22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156</v>
      </c>
      <c r="AG44" s="53" t="s">
        <v>157</v>
      </c>
      <c r="AH44" s="53"/>
      <c r="AI44" s="53">
        <f>0+0</f>
        <v>0</v>
      </c>
    </row>
    <row r="45" spans="1:35" ht="52.8" x14ac:dyDescent="0.25">
      <c r="A45" s="46">
        <v>19</v>
      </c>
      <c r="B45" s="47" t="s">
        <v>158</v>
      </c>
      <c r="C45" s="48" t="str">
        <f t="shared" ca="1" si="1"/>
        <v xml:space="preserve">Керосин для технических целей марок КТ-1, КТ-2
т
</v>
      </c>
      <c r="D45" s="46">
        <v>-0.4526</v>
      </c>
      <c r="E45" s="49">
        <v>2606.9</v>
      </c>
      <c r="F45" s="49"/>
      <c r="G45" s="49">
        <v>2606.9</v>
      </c>
      <c r="H45" s="50" t="s">
        <v>159</v>
      </c>
      <c r="I45" s="51">
        <v>-18809</v>
      </c>
      <c r="J45" s="49"/>
      <c r="K45" s="49"/>
      <c r="L45" s="49" t="str">
        <f>IF(-0.4526*2606.9=0," ",TEXT(,ROUND((-0.4526*2606.9*15.94),2)))</f>
        <v>-18807,33</v>
      </c>
      <c r="M45" s="49"/>
      <c r="N45" s="49"/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160</v>
      </c>
      <c r="AG45" s="53" t="s">
        <v>157</v>
      </c>
      <c r="AH45" s="53"/>
      <c r="AI45" s="53">
        <f>0+0</f>
        <v>0</v>
      </c>
    </row>
    <row r="46" spans="1:35" ht="52.8" x14ac:dyDescent="0.25">
      <c r="A46" s="46">
        <v>20</v>
      </c>
      <c r="B46" s="47" t="s">
        <v>161</v>
      </c>
      <c r="C46" s="48" t="str">
        <f t="shared" ca="1" si="1"/>
        <v xml:space="preserve">Мастика битумная кровельная горячая
т
</v>
      </c>
      <c r="D46" s="46">
        <v>-1.5680000000000001</v>
      </c>
      <c r="E46" s="49">
        <v>3390</v>
      </c>
      <c r="F46" s="49"/>
      <c r="G46" s="49">
        <v>3390</v>
      </c>
      <c r="H46" s="50" t="s">
        <v>162</v>
      </c>
      <c r="I46" s="51">
        <v>-54048</v>
      </c>
      <c r="J46" s="49"/>
      <c r="K46" s="49"/>
      <c r="L46" s="49" t="str">
        <f>IF(-1.568*3390=0," ",TEXT(,ROUND((-1.568*3390*10.167),2)))</f>
        <v>-54042,89</v>
      </c>
      <c r="M46" s="49"/>
      <c r="N46" s="49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 t="s">
        <v>163</v>
      </c>
      <c r="AG46" s="53" t="s">
        <v>157</v>
      </c>
      <c r="AH46" s="53"/>
      <c r="AI46" s="53">
        <f>0+0</f>
        <v>0</v>
      </c>
    </row>
    <row r="47" spans="1:35" ht="66" x14ac:dyDescent="0.25">
      <c r="A47" s="46">
        <v>21</v>
      </c>
      <c r="B47" s="47" t="s">
        <v>164</v>
      </c>
      <c r="C47" s="48" t="str">
        <f t="shared" ca="1" si="1"/>
        <v xml:space="preserve">Плиты из минеральной ваты на синтетическом связующем М-125 (ГОСТ 9573-96)
м3
</v>
      </c>
      <c r="D47" s="46">
        <v>-48.22</v>
      </c>
      <c r="E47" s="49">
        <v>530</v>
      </c>
      <c r="F47" s="49"/>
      <c r="G47" s="49">
        <v>530</v>
      </c>
      <c r="H47" s="50" t="s">
        <v>165</v>
      </c>
      <c r="I47" s="51">
        <v>-147515</v>
      </c>
      <c r="J47" s="49"/>
      <c r="K47" s="49"/>
      <c r="L47" s="49" t="str">
        <f>IF(-48.22*530=0," ",TEXT(,ROUND((-48.22*530*5.772),2)))</f>
        <v>-147512,7</v>
      </c>
      <c r="M47" s="49"/>
      <c r="N47" s="49"/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 t="s">
        <v>166</v>
      </c>
      <c r="AG47" s="53" t="s">
        <v>167</v>
      </c>
      <c r="AH47" s="53"/>
      <c r="AI47" s="53">
        <f>0+0</f>
        <v>0</v>
      </c>
    </row>
    <row r="48" spans="1:35" ht="237.6" x14ac:dyDescent="0.25">
      <c r="A48" s="46">
        <v>22</v>
      </c>
      <c r="B48" s="47" t="s">
        <v>168</v>
      </c>
      <c r="C48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(Всего толщ. 200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143756 руб. НР 92%=120%*(0,85*0,9) от ФОТ (156257 руб.)
68753 руб.СП 44%=65%*(0,8*0,85) от ФОТ (156257 руб.)
</v>
      </c>
      <c r="D48" s="46">
        <v>7.8029999999999999</v>
      </c>
      <c r="E48" s="49" t="s">
        <v>169</v>
      </c>
      <c r="F48" s="49" t="s">
        <v>170</v>
      </c>
      <c r="G48" s="49">
        <v>11870.37</v>
      </c>
      <c r="H48" s="50" t="s">
        <v>141</v>
      </c>
      <c r="I48" s="51">
        <v>810741</v>
      </c>
      <c r="J48" s="49">
        <v>152573</v>
      </c>
      <c r="K48" s="49" t="s">
        <v>171</v>
      </c>
      <c r="L48" s="49" t="str">
        <f>IF(7.803*11870.37=0," ",TEXT(,ROUND((7.803*11870.37*6.74),2)))</f>
        <v>624289,11</v>
      </c>
      <c r="M48" s="49" t="s">
        <v>172</v>
      </c>
      <c r="N48" s="49" t="s">
        <v>173</v>
      </c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 t="s">
        <v>79</v>
      </c>
      <c r="AB48" s="53" t="s">
        <v>80</v>
      </c>
      <c r="AC48" s="53">
        <v>143756</v>
      </c>
      <c r="AD48" s="53">
        <v>68753</v>
      </c>
      <c r="AE48" s="63" t="s">
        <v>174</v>
      </c>
      <c r="AF48" s="53" t="s">
        <v>175</v>
      </c>
      <c r="AG48" s="53" t="s">
        <v>147</v>
      </c>
      <c r="AH48" s="53"/>
      <c r="AI48" s="53">
        <f>152573+3684</f>
        <v>156257</v>
      </c>
    </row>
    <row r="49" spans="1:35" ht="52.8" x14ac:dyDescent="0.25">
      <c r="A49" s="46">
        <v>23</v>
      </c>
      <c r="B49" s="47" t="s">
        <v>148</v>
      </c>
      <c r="C49" s="48" t="str">
        <f t="shared" ca="1" si="1"/>
        <v xml:space="preserve">Котлы битумные передвижные 400 л
маш.-ч
</v>
      </c>
      <c r="D49" s="46">
        <v>-48.28</v>
      </c>
      <c r="E49" s="49">
        <v>30</v>
      </c>
      <c r="F49" s="49">
        <v>30</v>
      </c>
      <c r="G49" s="49"/>
      <c r="H49" s="50" t="s">
        <v>149</v>
      </c>
      <c r="I49" s="51">
        <v>-7886</v>
      </c>
      <c r="J49" s="49"/>
      <c r="K49" s="49">
        <v>-7886</v>
      </c>
      <c r="L49" s="49" t="str">
        <f>IF(-48.28*0=0," ",TEXT(,ROUND((-48.28*0*1),2)))</f>
        <v xml:space="preserve"> </v>
      </c>
      <c r="M49" s="49"/>
      <c r="N49" s="49"/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 t="s">
        <v>150</v>
      </c>
      <c r="AB49" s="53" t="s">
        <v>151</v>
      </c>
      <c r="AC49" s="53"/>
      <c r="AD49" s="53"/>
      <c r="AE49" s="53"/>
      <c r="AF49" s="53" t="s">
        <v>152</v>
      </c>
      <c r="AG49" s="53" t="s">
        <v>153</v>
      </c>
      <c r="AH49" s="53"/>
      <c r="AI49" s="53">
        <f>0+0</f>
        <v>0</v>
      </c>
    </row>
    <row r="50" spans="1:35" ht="52.8" x14ac:dyDescent="0.25">
      <c r="A50" s="46">
        <v>24</v>
      </c>
      <c r="B50" s="47" t="s">
        <v>161</v>
      </c>
      <c r="C50" s="48" t="str">
        <f t="shared" ca="1" si="1"/>
        <v xml:space="preserve">Мастика битумная кровельная горячая
т
</v>
      </c>
      <c r="D50" s="46">
        <v>-6.55</v>
      </c>
      <c r="E50" s="49">
        <v>3390</v>
      </c>
      <c r="F50" s="49"/>
      <c r="G50" s="49">
        <v>3390</v>
      </c>
      <c r="H50" s="50" t="s">
        <v>162</v>
      </c>
      <c r="I50" s="51">
        <v>-225758</v>
      </c>
      <c r="J50" s="49"/>
      <c r="K50" s="49"/>
      <c r="L50" s="49" t="str">
        <f>IF(-6.55*3390=0," ",TEXT(,ROUND((-6.55*3390*10.167),2)))</f>
        <v>-225753,15</v>
      </c>
      <c r="M50" s="49"/>
      <c r="N50" s="49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163</v>
      </c>
      <c r="AG50" s="53" t="s">
        <v>157</v>
      </c>
      <c r="AH50" s="53"/>
      <c r="AI50" s="53">
        <f>0+0</f>
        <v>0</v>
      </c>
    </row>
    <row r="51" spans="1:35" ht="66" x14ac:dyDescent="0.25">
      <c r="A51" s="46">
        <v>25</v>
      </c>
      <c r="B51" s="47" t="s">
        <v>164</v>
      </c>
      <c r="C51" s="48" t="str">
        <f t="shared" ca="1" si="1"/>
        <v xml:space="preserve">Плиты из минеральной ваты на синтетическом связующем М-125 (ГОСТ 9573-96)
м3
</v>
      </c>
      <c r="D51" s="46">
        <v>-144.69999999999999</v>
      </c>
      <c r="E51" s="49">
        <v>530</v>
      </c>
      <c r="F51" s="49"/>
      <c r="G51" s="49">
        <v>530</v>
      </c>
      <c r="H51" s="50" t="s">
        <v>165</v>
      </c>
      <c r="I51" s="51">
        <v>-442660</v>
      </c>
      <c r="J51" s="49"/>
      <c r="K51" s="49"/>
      <c r="L51" s="49" t="str">
        <f>IF(-144.7*530=0," ",TEXT(,ROUND((-144.7*530*5.772),2)))</f>
        <v>-442660,45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166</v>
      </c>
      <c r="AG51" s="53" t="s">
        <v>167</v>
      </c>
      <c r="AH51" s="53"/>
      <c r="AI51" s="53">
        <f>0+0</f>
        <v>0</v>
      </c>
    </row>
    <row r="52" spans="1:35" ht="237.6" x14ac:dyDescent="0.25">
      <c r="A52" s="46">
        <v>26</v>
      </c>
      <c r="B52" s="47" t="s">
        <v>176</v>
      </c>
      <c r="C52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 2 слоя ПЗ=2 (ОЗП=2; ЭМ=2 к расх.; ЗПМ=2; МАТ=2 к расх.; ТЗ=2; ТЗМ=2)(КОЭФ.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19404 руб. НР 92%=120%*(0,85*0,9) от ФОТ (21091 руб.)
9280 руб.СП 44%=65%*(0,8*0,85) от ФОТ (21091 руб.)
</v>
      </c>
      <c r="D52" s="46">
        <v>1.58</v>
      </c>
      <c r="E52" s="49" t="s">
        <v>177</v>
      </c>
      <c r="F52" s="49" t="s">
        <v>178</v>
      </c>
      <c r="G52" s="49">
        <v>7913.58</v>
      </c>
      <c r="H52" s="50" t="s">
        <v>141</v>
      </c>
      <c r="I52" s="51">
        <v>109446</v>
      </c>
      <c r="J52" s="49">
        <v>20601</v>
      </c>
      <c r="K52" s="49" t="s">
        <v>179</v>
      </c>
      <c r="L52" s="49" t="str">
        <f>IF(1.58*7913.58=0," ",TEXT(,ROUND((1.58*7913.58*6.74),2)))</f>
        <v>84273,3</v>
      </c>
      <c r="M52" s="49" t="s">
        <v>180</v>
      </c>
      <c r="N52" s="49" t="s">
        <v>181</v>
      </c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 t="s">
        <v>79</v>
      </c>
      <c r="AB52" s="53" t="s">
        <v>80</v>
      </c>
      <c r="AC52" s="53">
        <v>19404</v>
      </c>
      <c r="AD52" s="53">
        <v>9280</v>
      </c>
      <c r="AE52" s="63" t="s">
        <v>182</v>
      </c>
      <c r="AF52" s="53" t="s">
        <v>175</v>
      </c>
      <c r="AG52" s="53" t="s">
        <v>147</v>
      </c>
      <c r="AH52" s="53"/>
      <c r="AI52" s="53">
        <f>20601+490</f>
        <v>21091</v>
      </c>
    </row>
    <row r="53" spans="1:35" ht="52.8" x14ac:dyDescent="0.25">
      <c r="A53" s="46">
        <v>27</v>
      </c>
      <c r="B53" s="47" t="s">
        <v>148</v>
      </c>
      <c r="C53" s="48" t="str">
        <f t="shared" ca="1" si="1"/>
        <v xml:space="preserve">Котлы битумные передвижные 400 л
маш.-ч
</v>
      </c>
      <c r="D53" s="46">
        <v>-6.51</v>
      </c>
      <c r="E53" s="49">
        <v>30</v>
      </c>
      <c r="F53" s="49">
        <v>30</v>
      </c>
      <c r="G53" s="49"/>
      <c r="H53" s="50" t="s">
        <v>149</v>
      </c>
      <c r="I53" s="51">
        <v>-1062</v>
      </c>
      <c r="J53" s="49"/>
      <c r="K53" s="49">
        <v>-1062</v>
      </c>
      <c r="L53" s="49" t="str">
        <f>IF(-6.51*0=0," ",TEXT(,ROUND((-6.51*0*1),2)))</f>
        <v xml:space="preserve"> </v>
      </c>
      <c r="M53" s="49"/>
      <c r="N53" s="49"/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 t="s">
        <v>150</v>
      </c>
      <c r="AB53" s="53" t="s">
        <v>151</v>
      </c>
      <c r="AC53" s="53"/>
      <c r="AD53" s="53"/>
      <c r="AE53" s="53"/>
      <c r="AF53" s="53" t="s">
        <v>152</v>
      </c>
      <c r="AG53" s="53" t="s">
        <v>153</v>
      </c>
      <c r="AH53" s="53"/>
      <c r="AI53" s="53">
        <f>0+0</f>
        <v>0</v>
      </c>
    </row>
    <row r="54" spans="1:35" ht="52.8" x14ac:dyDescent="0.25">
      <c r="A54" s="46">
        <v>28</v>
      </c>
      <c r="B54" s="47" t="s">
        <v>161</v>
      </c>
      <c r="C54" s="48" t="str">
        <f t="shared" ca="1" si="1"/>
        <v xml:space="preserve">Мастика битумная кровельная горячая
т
</v>
      </c>
      <c r="D54" s="46">
        <v>-0.63519999999999999</v>
      </c>
      <c r="E54" s="49">
        <v>3390</v>
      </c>
      <c r="F54" s="49"/>
      <c r="G54" s="49">
        <v>3390</v>
      </c>
      <c r="H54" s="50" t="s">
        <v>162</v>
      </c>
      <c r="I54" s="51">
        <v>-21890</v>
      </c>
      <c r="J54" s="49"/>
      <c r="K54" s="49"/>
      <c r="L54" s="49" t="str">
        <f>IF(-0.6352*3390=0," ",TEXT(,ROUND((-0.6352*3390*10.167),2)))</f>
        <v>-21892,89</v>
      </c>
      <c r="M54" s="49"/>
      <c r="N54" s="49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 t="s">
        <v>163</v>
      </c>
      <c r="AG54" s="53" t="s">
        <v>157</v>
      </c>
      <c r="AH54" s="53"/>
      <c r="AI54" s="53">
        <f>0+0</f>
        <v>0</v>
      </c>
    </row>
    <row r="55" spans="1:35" ht="66" x14ac:dyDescent="0.25">
      <c r="A55" s="46">
        <v>29</v>
      </c>
      <c r="B55" s="47" t="s">
        <v>164</v>
      </c>
      <c r="C55" s="48" t="str">
        <f t="shared" ca="1" si="1"/>
        <v xml:space="preserve">Плиты из минеральной ваты на синтетическом связующем М-125 (ГОСТ 9573-96)
м3
</v>
      </c>
      <c r="D55" s="46">
        <v>-19.53</v>
      </c>
      <c r="E55" s="49">
        <v>530</v>
      </c>
      <c r="F55" s="49"/>
      <c r="G55" s="49">
        <v>530</v>
      </c>
      <c r="H55" s="50" t="s">
        <v>165</v>
      </c>
      <c r="I55" s="51">
        <v>-59746</v>
      </c>
      <c r="J55" s="49"/>
      <c r="K55" s="49"/>
      <c r="L55" s="49" t="str">
        <f>IF(-19.53*530=0," ",TEXT(,ROUND((-19.53*530*5.772),2)))</f>
        <v>-59745,39</v>
      </c>
      <c r="M55" s="49"/>
      <c r="N55" s="49"/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 t="s">
        <v>166</v>
      </c>
      <c r="AG55" s="53" t="s">
        <v>167</v>
      </c>
      <c r="AH55" s="53"/>
      <c r="AI55" s="53">
        <f>0+0</f>
        <v>0</v>
      </c>
    </row>
    <row r="56" spans="1:35" ht="92.4" x14ac:dyDescent="0.25">
      <c r="A56" s="46">
        <v>30</v>
      </c>
      <c r="B56" s="47" t="s">
        <v>183</v>
      </c>
      <c r="C56" s="48" t="str">
        <f t="shared" ca="1" si="1"/>
        <v xml:space="preserve">Плиты теплоизоляционные энергетические гидрофобизированные базальтовые: ПТЭ-125 , размером 2000х1000х50 мм 4146,89/5,56=745,84
м3
</v>
      </c>
      <c r="D56" s="46" t="s">
        <v>184</v>
      </c>
      <c r="E56" s="49">
        <v>745.84</v>
      </c>
      <c r="F56" s="49"/>
      <c r="G56" s="49">
        <v>745.84</v>
      </c>
      <c r="H56" s="50" t="s">
        <v>136</v>
      </c>
      <c r="I56" s="51">
        <v>734231</v>
      </c>
      <c r="J56" s="49"/>
      <c r="K56" s="49"/>
      <c r="L56" s="49" t="str">
        <f>IF(177.057*745.84=0," ",TEXT(,ROUND((177.057*745.84*5.56),2)))</f>
        <v>734232,43</v>
      </c>
      <c r="M56" s="49"/>
      <c r="N56" s="49"/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 t="s">
        <v>185</v>
      </c>
      <c r="AG56" s="53" t="s">
        <v>167</v>
      </c>
      <c r="AH56" s="53"/>
      <c r="AI56" s="53">
        <f>0+0</f>
        <v>0</v>
      </c>
    </row>
    <row r="57" spans="1:35" ht="92.4" x14ac:dyDescent="0.25">
      <c r="A57" s="46">
        <v>31</v>
      </c>
      <c r="B57" s="47" t="s">
        <v>127</v>
      </c>
      <c r="C57" s="48" t="str">
        <f t="shared" ca="1" si="1"/>
        <v xml:space="preserve">Устройство покрытия из рулонных материалов: насухо без промазки кромок
100 м2 кровли
3396 руб. НР 71%=83%*0,85 от ФОТ (4783 руб.)
2487 руб.СП 52%=65%*0,8 от ФОТ (4783 руб.)
</v>
      </c>
      <c r="D57" s="46">
        <v>7.8029999999999999</v>
      </c>
      <c r="E57" s="49" t="s">
        <v>128</v>
      </c>
      <c r="F57" s="49">
        <v>5.23</v>
      </c>
      <c r="G57" s="49">
        <v>883.33</v>
      </c>
      <c r="H57" s="50" t="s">
        <v>129</v>
      </c>
      <c r="I57" s="51">
        <v>39800</v>
      </c>
      <c r="J57" s="49">
        <v>4783</v>
      </c>
      <c r="K57" s="49">
        <v>485</v>
      </c>
      <c r="L57" s="49" t="str">
        <f>IF(7.803*883.33=0," ",TEXT(,ROUND((7.803*883.33*5.01),2)))</f>
        <v>34532,05</v>
      </c>
      <c r="M57" s="49">
        <v>4.5199999999999996</v>
      </c>
      <c r="N57" s="49">
        <v>35.270000000000003</v>
      </c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 t="s">
        <v>40</v>
      </c>
      <c r="AB57" s="53" t="s">
        <v>41</v>
      </c>
      <c r="AC57" s="53">
        <v>3396</v>
      </c>
      <c r="AD57" s="53">
        <v>2487</v>
      </c>
      <c r="AE57" s="53"/>
      <c r="AF57" s="53" t="s">
        <v>130</v>
      </c>
      <c r="AG57" s="53" t="s">
        <v>57</v>
      </c>
      <c r="AH57" s="53"/>
      <c r="AI57" s="53">
        <f>4783+0</f>
        <v>4783</v>
      </c>
    </row>
    <row r="58" spans="1:35" ht="66" x14ac:dyDescent="0.25">
      <c r="A58" s="46">
        <v>32</v>
      </c>
      <c r="B58" s="47" t="s">
        <v>131</v>
      </c>
      <c r="C58" s="48" t="str">
        <f t="shared" ca="1" si="1"/>
        <v xml:space="preserve">Рубероид кровельный с крупнозернистой посыпкой марки: РКК-350б
м2
</v>
      </c>
      <c r="D58" s="46">
        <v>-897.3</v>
      </c>
      <c r="E58" s="49">
        <v>7.46</v>
      </c>
      <c r="F58" s="49"/>
      <c r="G58" s="49">
        <v>7.46</v>
      </c>
      <c r="H58" s="50" t="s">
        <v>132</v>
      </c>
      <c r="I58" s="51">
        <v>-33497</v>
      </c>
      <c r="J58" s="49"/>
      <c r="K58" s="49"/>
      <c r="L58" s="49" t="str">
        <f>IF(-897.3*7.46=0," ",TEXT(,ROUND((-897.3*7.46*5.004),2)))</f>
        <v>-33496,07</v>
      </c>
      <c r="M58" s="49"/>
      <c r="N58" s="4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133</v>
      </c>
      <c r="AG58" s="53" t="s">
        <v>134</v>
      </c>
      <c r="AH58" s="53"/>
      <c r="AI58" s="53">
        <f>0+0</f>
        <v>0</v>
      </c>
    </row>
    <row r="59" spans="1:35" ht="66" x14ac:dyDescent="0.25">
      <c r="A59" s="46">
        <v>33</v>
      </c>
      <c r="B59" s="47" t="s">
        <v>186</v>
      </c>
      <c r="C59" s="48" t="str">
        <f t="shared" ca="1" si="1"/>
        <v xml:space="preserve">Изоспан: Защитный материал марки А 20,40/5,56=3,67
м2
</v>
      </c>
      <c r="D59" s="46">
        <v>897.3</v>
      </c>
      <c r="E59" s="49">
        <v>3.67</v>
      </c>
      <c r="F59" s="49"/>
      <c r="G59" s="49">
        <v>3.67</v>
      </c>
      <c r="H59" s="50" t="s">
        <v>136</v>
      </c>
      <c r="I59" s="51">
        <v>18309</v>
      </c>
      <c r="J59" s="49"/>
      <c r="K59" s="49"/>
      <c r="L59" s="49" t="str">
        <f>IF(897.3*3.67=0," ",TEXT(,ROUND((897.3*3.67*5.56),2)))</f>
        <v>18309,59</v>
      </c>
      <c r="M59" s="49"/>
      <c r="N59" s="49"/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 t="s">
        <v>187</v>
      </c>
      <c r="AG59" s="53" t="s">
        <v>134</v>
      </c>
      <c r="AH59" s="53"/>
      <c r="AI59" s="53">
        <f>0+0</f>
        <v>0</v>
      </c>
    </row>
    <row r="60" spans="1:35" ht="184.8" x14ac:dyDescent="0.25">
      <c r="A60" s="46">
        <v>34</v>
      </c>
      <c r="B60" s="47" t="s">
        <v>188</v>
      </c>
      <c r="C60" s="48" t="str">
        <f t="shared" ca="1" si="1"/>
        <v xml:space="preserve">Укладка ходовых досок
100 м ходов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670 руб. НР 90%=118%*(0,85*0,9) от ФОТ (744 руб.)
320 руб.СП 43%=63%*(0,8*0,85) от ФОТ (744 руб.)
</v>
      </c>
      <c r="D60" s="46">
        <v>1.1499999999999999</v>
      </c>
      <c r="E60" s="49" t="s">
        <v>189</v>
      </c>
      <c r="F60" s="49" t="s">
        <v>190</v>
      </c>
      <c r="G60" s="49">
        <v>1007.15</v>
      </c>
      <c r="H60" s="50" t="s">
        <v>191</v>
      </c>
      <c r="I60" s="51">
        <v>7123</v>
      </c>
      <c r="J60" s="49">
        <v>727</v>
      </c>
      <c r="K60" s="49" t="s">
        <v>192</v>
      </c>
      <c r="L60" s="49" t="str">
        <f>IF(1.15*1007.15=0," ",TEXT(,ROUND((1.15*1007.15*5.35),2)))</f>
        <v>6196,49</v>
      </c>
      <c r="M60" s="49" t="s">
        <v>193</v>
      </c>
      <c r="N60" s="49" t="s">
        <v>194</v>
      </c>
      <c r="O60" s="52"/>
      <c r="P60" s="52"/>
      <c r="Q60" s="52"/>
      <c r="R60" s="52"/>
      <c r="S60" s="52"/>
      <c r="T60" s="53"/>
      <c r="U60" s="53"/>
      <c r="V60" s="53"/>
      <c r="W60" s="53"/>
      <c r="X60" s="53"/>
      <c r="Y60" s="53"/>
      <c r="Z60" s="53"/>
      <c r="AA60" s="53" t="s">
        <v>195</v>
      </c>
      <c r="AB60" s="53" t="s">
        <v>196</v>
      </c>
      <c r="AC60" s="53">
        <v>670</v>
      </c>
      <c r="AD60" s="53">
        <v>320</v>
      </c>
      <c r="AE60" s="63" t="s">
        <v>145</v>
      </c>
      <c r="AF60" s="53" t="s">
        <v>197</v>
      </c>
      <c r="AG60" s="53" t="s">
        <v>198</v>
      </c>
      <c r="AH60" s="53"/>
      <c r="AI60" s="53">
        <f>727+17</f>
        <v>744</v>
      </c>
    </row>
    <row r="61" spans="1:35" ht="66" x14ac:dyDescent="0.25">
      <c r="A61" s="46">
        <v>35</v>
      </c>
      <c r="B61" s="47" t="s">
        <v>199</v>
      </c>
      <c r="C61" s="48" t="str">
        <f t="shared" ca="1" si="1"/>
        <v xml:space="preserve">Доски необрезные хвойных пород длиной: 4-6,5 м, все ширины, толщиной 32-40 мм, III сорта
м3
</v>
      </c>
      <c r="D61" s="46">
        <v>-1.38</v>
      </c>
      <c r="E61" s="49">
        <v>832.7</v>
      </c>
      <c r="F61" s="49"/>
      <c r="G61" s="49">
        <v>832.7</v>
      </c>
      <c r="H61" s="50" t="s">
        <v>200</v>
      </c>
      <c r="I61" s="51">
        <v>-6163</v>
      </c>
      <c r="J61" s="49"/>
      <c r="K61" s="49"/>
      <c r="L61" s="49" t="str">
        <f>IF(-1.38*832.7=0," ",TEXT(,ROUND((-1.38*832.7*5.364),2)))</f>
        <v>-6163,91</v>
      </c>
      <c r="M61" s="49"/>
      <c r="N61" s="49"/>
      <c r="O61" s="52"/>
      <c r="P61" s="52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 t="s">
        <v>201</v>
      </c>
      <c r="AG61" s="53" t="s">
        <v>167</v>
      </c>
      <c r="AH61" s="53"/>
      <c r="AI61" s="53">
        <f>0+0</f>
        <v>0</v>
      </c>
    </row>
    <row r="62" spans="1:35" ht="79.2" x14ac:dyDescent="0.25">
      <c r="A62" s="46">
        <v>36</v>
      </c>
      <c r="B62" s="47" t="s">
        <v>202</v>
      </c>
      <c r="C62" s="48" t="str">
        <f t="shared" ca="1" si="1"/>
        <v xml:space="preserve">Доски обрезные хвойных пород длиной: 4-6,5 м, шириной 75-150 мм, толщиной 44 мм и более, II сорта
м3
</v>
      </c>
      <c r="D62" s="46">
        <v>2.2999999999999998</v>
      </c>
      <c r="E62" s="49">
        <v>1320</v>
      </c>
      <c r="F62" s="49"/>
      <c r="G62" s="49">
        <v>1320</v>
      </c>
      <c r="H62" s="50" t="s">
        <v>203</v>
      </c>
      <c r="I62" s="51">
        <v>12627</v>
      </c>
      <c r="J62" s="49"/>
      <c r="K62" s="49"/>
      <c r="L62" s="49" t="str">
        <f>IF(2.3*1320=0," ",TEXT(,ROUND((2.3*1320*4.159),2)))</f>
        <v>12626,72</v>
      </c>
      <c r="M62" s="49"/>
      <c r="N62" s="49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 t="s">
        <v>204</v>
      </c>
      <c r="AG62" s="53" t="s">
        <v>167</v>
      </c>
      <c r="AH62" s="53"/>
      <c r="AI62" s="53">
        <f>0+0</f>
        <v>0</v>
      </c>
    </row>
    <row r="63" spans="1:35" ht="184.8" x14ac:dyDescent="0.25">
      <c r="A63" s="46">
        <v>37</v>
      </c>
      <c r="B63" s="47" t="s">
        <v>205</v>
      </c>
      <c r="C63" s="48" t="str">
        <f t="shared" ca="1" si="1"/>
        <v xml:space="preserve">Установка элементов каркаса: из брусьев
1 м3 древесины в конструкции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335 руб. НР 90%=118%*(0,85*0,9) от ФОТ (372 руб.)
160 руб.СП 43%=63%*(0,8*0,85) от ФОТ (372 руб.)
</v>
      </c>
      <c r="D63" s="46">
        <v>0.1</v>
      </c>
      <c r="E63" s="49" t="s">
        <v>206</v>
      </c>
      <c r="F63" s="49">
        <v>33.51</v>
      </c>
      <c r="G63" s="49">
        <v>2189</v>
      </c>
      <c r="H63" s="50" t="s">
        <v>207</v>
      </c>
      <c r="I63" s="51">
        <v>1156</v>
      </c>
      <c r="J63" s="49">
        <v>372</v>
      </c>
      <c r="K63" s="49">
        <v>46</v>
      </c>
      <c r="L63" s="49" t="str">
        <f>IF(0.1*2189=0," ",TEXT(,ROUND((0.1*2189*3.37),2)))</f>
        <v>737,69</v>
      </c>
      <c r="M63" s="49">
        <v>22.5</v>
      </c>
      <c r="N63" s="49">
        <v>2.25</v>
      </c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 t="s">
        <v>195</v>
      </c>
      <c r="AB63" s="53" t="s">
        <v>196</v>
      </c>
      <c r="AC63" s="53">
        <v>335</v>
      </c>
      <c r="AD63" s="53">
        <v>160</v>
      </c>
      <c r="AE63" s="63" t="s">
        <v>145</v>
      </c>
      <c r="AF63" s="53" t="s">
        <v>208</v>
      </c>
      <c r="AG63" s="53" t="s">
        <v>209</v>
      </c>
      <c r="AH63" s="53"/>
      <c r="AI63" s="53">
        <f>372+0</f>
        <v>372</v>
      </c>
    </row>
    <row r="64" spans="1:35" ht="198" x14ac:dyDescent="0.25">
      <c r="A64" s="46">
        <v>38</v>
      </c>
      <c r="B64" s="47" t="s">
        <v>210</v>
      </c>
      <c r="C64" s="48" t="str">
        <f t="shared" ca="1" si="1"/>
        <v xml:space="preserve">Установка противопожарных дверей: однопольных глухих
1 м2 проема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723 руб. НР 69%=90%*(0,85*0,9) от ФОТ (1048 руб.)
608 руб.СП 58%=85%*(0,8*0,85) от ФОТ (1048 руб.)
</v>
      </c>
      <c r="D64" s="46">
        <v>2.56</v>
      </c>
      <c r="E64" s="49" t="s">
        <v>211</v>
      </c>
      <c r="F64" s="49">
        <v>10.199999999999999</v>
      </c>
      <c r="G64" s="49">
        <v>60.66</v>
      </c>
      <c r="H64" s="50" t="s">
        <v>212</v>
      </c>
      <c r="I64" s="51">
        <v>2018</v>
      </c>
      <c r="J64" s="49">
        <v>1048</v>
      </c>
      <c r="K64" s="49">
        <v>215</v>
      </c>
      <c r="L64" s="49" t="str">
        <f>IF(2.56*60.66=0," ",TEXT(,ROUND((2.56*60.66*4.87),2)))</f>
        <v>756,26</v>
      </c>
      <c r="M64" s="49">
        <v>2.0699999999999998</v>
      </c>
      <c r="N64" s="49">
        <v>5.3</v>
      </c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 t="s">
        <v>87</v>
      </c>
      <c r="AB64" s="53" t="s">
        <v>88</v>
      </c>
      <c r="AC64" s="53">
        <v>723</v>
      </c>
      <c r="AD64" s="53">
        <v>608</v>
      </c>
      <c r="AE64" s="63" t="s">
        <v>145</v>
      </c>
      <c r="AF64" s="53" t="s">
        <v>213</v>
      </c>
      <c r="AG64" s="53" t="s">
        <v>91</v>
      </c>
      <c r="AH64" s="53"/>
      <c r="AI64" s="53">
        <f>1048+0</f>
        <v>1048</v>
      </c>
    </row>
    <row r="65" spans="1:35" ht="145.19999999999999" x14ac:dyDescent="0.25">
      <c r="A65" s="55">
        <v>39</v>
      </c>
      <c r="B65" s="56" t="s">
        <v>214</v>
      </c>
      <c r="C65" s="57" t="str">
        <f t="shared" ca="1" si="1"/>
        <v xml:space="preserve">Люки противопожарные: ЛПМ 01/60, 800х900 мм 8654,13/5,56=1556,50
шт.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65" s="55">
        <v>4</v>
      </c>
      <c r="E65" s="58">
        <v>1556.5</v>
      </c>
      <c r="F65" s="58"/>
      <c r="G65" s="58">
        <v>1556.5</v>
      </c>
      <c r="H65" s="59" t="s">
        <v>136</v>
      </c>
      <c r="I65" s="60">
        <v>34617</v>
      </c>
      <c r="J65" s="58"/>
      <c r="K65" s="58"/>
      <c r="L65" s="58" t="str">
        <f>IF(4*1556.5=0," ",TEXT(,ROUND((4*1556.5*5.56),2)))</f>
        <v>34616,56</v>
      </c>
      <c r="M65" s="58"/>
      <c r="N65" s="58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63" t="s">
        <v>145</v>
      </c>
      <c r="AF65" s="53" t="s">
        <v>215</v>
      </c>
      <c r="AG65" s="53" t="s">
        <v>216</v>
      </c>
      <c r="AH65" s="53"/>
      <c r="AI65" s="53">
        <f>0+0</f>
        <v>0</v>
      </c>
    </row>
    <row r="66" spans="1:35" ht="26.4" x14ac:dyDescent="0.25">
      <c r="A66" s="73" t="s">
        <v>118</v>
      </c>
      <c r="B66" s="68"/>
      <c r="C66" s="68"/>
      <c r="D66" s="68"/>
      <c r="E66" s="68"/>
      <c r="F66" s="68"/>
      <c r="G66" s="68"/>
      <c r="H66" s="68"/>
      <c r="I66" s="51">
        <v>157076</v>
      </c>
      <c r="J66" s="49">
        <v>12994</v>
      </c>
      <c r="K66" s="49" t="s">
        <v>217</v>
      </c>
      <c r="L66" s="49">
        <v>141742</v>
      </c>
      <c r="M66" s="49"/>
      <c r="N66" s="49" t="s">
        <v>218</v>
      </c>
      <c r="O66" s="18"/>
      <c r="P66" s="19"/>
      <c r="Q66" s="18"/>
      <c r="R66" s="18"/>
      <c r="S66" s="18"/>
    </row>
    <row r="67" spans="1:35" ht="26.4" x14ac:dyDescent="0.25">
      <c r="A67" s="73" t="s">
        <v>219</v>
      </c>
      <c r="B67" s="68"/>
      <c r="C67" s="68"/>
      <c r="D67" s="68"/>
      <c r="E67" s="68"/>
      <c r="F67" s="68"/>
      <c r="G67" s="68"/>
      <c r="H67" s="68"/>
      <c r="I67" s="51">
        <v>160048</v>
      </c>
      <c r="J67" s="49">
        <v>14855</v>
      </c>
      <c r="K67" s="49" t="s">
        <v>220</v>
      </c>
      <c r="L67" s="49">
        <v>141742</v>
      </c>
      <c r="M67" s="49"/>
      <c r="N67" s="49" t="s">
        <v>221</v>
      </c>
      <c r="O67" s="18"/>
      <c r="P67" s="19"/>
      <c r="Q67" s="18"/>
      <c r="R67" s="18"/>
      <c r="S67" s="18"/>
    </row>
    <row r="68" spans="1:35" x14ac:dyDescent="0.25">
      <c r="A68" s="73" t="s">
        <v>222</v>
      </c>
      <c r="B68" s="68"/>
      <c r="C68" s="68"/>
      <c r="D68" s="68"/>
      <c r="E68" s="68"/>
      <c r="F68" s="68"/>
      <c r="G68" s="68"/>
      <c r="H68" s="68"/>
      <c r="I68" s="51"/>
      <c r="J68" s="49"/>
      <c r="K68" s="49"/>
      <c r="L68" s="49"/>
      <c r="M68" s="49"/>
      <c r="N68" s="49"/>
      <c r="O68" s="18"/>
      <c r="P68" s="19"/>
      <c r="Q68" s="18"/>
      <c r="R68" s="18"/>
      <c r="S68" s="18"/>
    </row>
    <row r="69" spans="1:35" ht="27.9" customHeight="1" x14ac:dyDescent="0.25">
      <c r="A69" s="73" t="s">
        <v>223</v>
      </c>
      <c r="B69" s="68"/>
      <c r="C69" s="68"/>
      <c r="D69" s="68"/>
      <c r="E69" s="68"/>
      <c r="F69" s="68"/>
      <c r="G69" s="68"/>
      <c r="H69" s="68"/>
      <c r="I69" s="51">
        <v>2972</v>
      </c>
      <c r="J69" s="49">
        <v>1860</v>
      </c>
      <c r="K69" s="49" t="s">
        <v>224</v>
      </c>
      <c r="L69" s="49"/>
      <c r="M69" s="49"/>
      <c r="N69" s="49" t="s">
        <v>225</v>
      </c>
      <c r="O69" s="18"/>
      <c r="P69" s="19"/>
      <c r="Q69" s="18"/>
      <c r="R69" s="18"/>
      <c r="S69" s="18"/>
    </row>
    <row r="70" spans="1:35" ht="26.4" x14ac:dyDescent="0.25">
      <c r="A70" s="73" t="s">
        <v>121</v>
      </c>
      <c r="B70" s="68"/>
      <c r="C70" s="68"/>
      <c r="D70" s="68"/>
      <c r="E70" s="68"/>
      <c r="F70" s="68"/>
      <c r="G70" s="68"/>
      <c r="H70" s="68"/>
      <c r="I70" s="51">
        <v>1061080</v>
      </c>
      <c r="J70" s="49">
        <v>251050</v>
      </c>
      <c r="K70" s="49" t="s">
        <v>226</v>
      </c>
      <c r="L70" s="49">
        <v>770175</v>
      </c>
      <c r="M70" s="49"/>
      <c r="N70" s="49" t="s">
        <v>221</v>
      </c>
      <c r="O70" s="18"/>
      <c r="P70" s="19"/>
      <c r="Q70" s="18"/>
      <c r="R70" s="18"/>
      <c r="S70" s="18"/>
    </row>
    <row r="71" spans="1:35" x14ac:dyDescent="0.25">
      <c r="A71" s="73" t="s">
        <v>123</v>
      </c>
      <c r="B71" s="68"/>
      <c r="C71" s="68"/>
      <c r="D71" s="68"/>
      <c r="E71" s="68"/>
      <c r="F71" s="68"/>
      <c r="G71" s="68"/>
      <c r="H71" s="68"/>
      <c r="I71" s="51">
        <v>233566</v>
      </c>
      <c r="J71" s="49"/>
      <c r="K71" s="49"/>
      <c r="L71" s="49"/>
      <c r="M71" s="49"/>
      <c r="N71" s="49"/>
      <c r="O71" s="18"/>
      <c r="P71" s="19"/>
      <c r="Q71" s="18"/>
      <c r="R71" s="18"/>
      <c r="S71" s="18"/>
    </row>
    <row r="72" spans="1:35" x14ac:dyDescent="0.25">
      <c r="A72" s="73" t="s">
        <v>124</v>
      </c>
      <c r="B72" s="68"/>
      <c r="C72" s="68"/>
      <c r="D72" s="68"/>
      <c r="E72" s="68"/>
      <c r="F72" s="68"/>
      <c r="G72" s="68"/>
      <c r="H72" s="68"/>
      <c r="I72" s="51">
        <v>113782</v>
      </c>
      <c r="J72" s="49"/>
      <c r="K72" s="49"/>
      <c r="L72" s="49"/>
      <c r="M72" s="49"/>
      <c r="N72" s="49"/>
      <c r="O72" s="18"/>
      <c r="P72" s="19"/>
      <c r="Q72" s="18"/>
      <c r="R72" s="18"/>
      <c r="S72" s="18"/>
    </row>
    <row r="73" spans="1:35" ht="26.4" x14ac:dyDescent="0.25">
      <c r="A73" s="74" t="s">
        <v>227</v>
      </c>
      <c r="B73" s="75"/>
      <c r="C73" s="75"/>
      <c r="D73" s="75"/>
      <c r="E73" s="75"/>
      <c r="F73" s="75"/>
      <c r="G73" s="75"/>
      <c r="H73" s="75"/>
      <c r="I73" s="61">
        <v>1408428</v>
      </c>
      <c r="J73" s="62"/>
      <c r="K73" s="62"/>
      <c r="L73" s="62"/>
      <c r="M73" s="62"/>
      <c r="N73" s="62" t="s">
        <v>221</v>
      </c>
      <c r="O73" s="18"/>
      <c r="P73" s="19"/>
      <c r="Q73" s="18"/>
      <c r="R73" s="18"/>
      <c r="S73" s="18"/>
    </row>
    <row r="74" spans="1:35" ht="21" customHeight="1" x14ac:dyDescent="0.25">
      <c r="A74" s="71" t="s">
        <v>228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</row>
    <row r="75" spans="1:35" ht="118.8" x14ac:dyDescent="0.25">
      <c r="A75" s="46">
        <v>40</v>
      </c>
      <c r="B75" s="47" t="s">
        <v>229</v>
      </c>
      <c r="C75" s="48" t="str">
        <f t="shared" ref="C75:C106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Ремонт деревянных элементов конструкций крыш: укрепление стропильных ног расшивкой досками с двух сторон
100 м
8591 руб. НР 71%=83%*0,85 от ФОТ (12100 руб.)
6292 руб.СП 52%=65%*0,8 от ФОТ (12100 руб.)
</v>
      </c>
      <c r="D75" s="46">
        <v>2.1059999999999999</v>
      </c>
      <c r="E75" s="49" t="s">
        <v>230</v>
      </c>
      <c r="F75" s="49">
        <v>31.6</v>
      </c>
      <c r="G75" s="49">
        <v>3227.16</v>
      </c>
      <c r="H75" s="50" t="s">
        <v>231</v>
      </c>
      <c r="I75" s="51">
        <v>40059</v>
      </c>
      <c r="J75" s="49">
        <v>12100</v>
      </c>
      <c r="K75" s="49">
        <v>775</v>
      </c>
      <c r="L75" s="49" t="str">
        <f>IF(2.106*3227.16=0," ",TEXT(,ROUND((2.106*3227.16*4),2)))</f>
        <v>27185,6</v>
      </c>
      <c r="M75" s="49">
        <v>39.869999999999997</v>
      </c>
      <c r="N75" s="49">
        <v>83.97</v>
      </c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 t="s">
        <v>40</v>
      </c>
      <c r="AB75" s="53" t="s">
        <v>41</v>
      </c>
      <c r="AC75" s="53">
        <v>8591</v>
      </c>
      <c r="AD75" s="53">
        <v>6292</v>
      </c>
      <c r="AE75" s="53"/>
      <c r="AF75" s="53" t="s">
        <v>232</v>
      </c>
      <c r="AG75" s="53" t="s">
        <v>233</v>
      </c>
      <c r="AH75" s="53"/>
      <c r="AI75" s="53">
        <f>12100+0</f>
        <v>12100</v>
      </c>
    </row>
    <row r="76" spans="1:35" ht="118.8" x14ac:dyDescent="0.25">
      <c r="A76" s="46">
        <v>41</v>
      </c>
      <c r="B76" s="47" t="s">
        <v>234</v>
      </c>
      <c r="C76" s="48" t="str">
        <f t="shared" ca="1" si="2"/>
        <v xml:space="preserve">Ремонт деревянных элементов конструкций крыш: смена стропильных ног из досок
100 м
67758 руб. НР 71%=83%*0,85 от ФОТ (95434 руб.)
49626 руб.СП 52%=65%*0,8 от ФОТ (95434 руб.)
</v>
      </c>
      <c r="D76" s="46" t="s">
        <v>235</v>
      </c>
      <c r="E76" s="49" t="s">
        <v>236</v>
      </c>
      <c r="F76" s="49">
        <v>17.45</v>
      </c>
      <c r="G76" s="49">
        <v>1568.5</v>
      </c>
      <c r="H76" s="50" t="s">
        <v>237</v>
      </c>
      <c r="I76" s="51">
        <v>126742</v>
      </c>
      <c r="J76" s="49">
        <v>95434</v>
      </c>
      <c r="K76" s="49">
        <v>997</v>
      </c>
      <c r="L76" s="49" t="str">
        <f>IF(4.968*1568.5=0," ",TEXT(,ROUND((4.968*1568.5*3.89),2)))</f>
        <v>30312,08</v>
      </c>
      <c r="M76" s="49">
        <v>133.25</v>
      </c>
      <c r="N76" s="49">
        <v>661.99</v>
      </c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 t="s">
        <v>40</v>
      </c>
      <c r="AB76" s="53" t="s">
        <v>41</v>
      </c>
      <c r="AC76" s="53">
        <v>67758</v>
      </c>
      <c r="AD76" s="53">
        <v>49626</v>
      </c>
      <c r="AE76" s="53"/>
      <c r="AF76" s="53" t="s">
        <v>238</v>
      </c>
      <c r="AG76" s="53" t="s">
        <v>233</v>
      </c>
      <c r="AH76" s="53"/>
      <c r="AI76" s="53">
        <f>95434+0</f>
        <v>95434</v>
      </c>
    </row>
    <row r="77" spans="1:35" ht="105.6" x14ac:dyDescent="0.25">
      <c r="A77" s="46">
        <v>42</v>
      </c>
      <c r="B77" s="47" t="s">
        <v>239</v>
      </c>
      <c r="C77" s="48" t="str">
        <f t="shared" ca="1" si="2"/>
        <v xml:space="preserve">Ремонт деревянных элементов конструкций крыш: выправка деревянных стропильных ног с постановкой раскосов
1 шт.
2280 руб. НР 71%=83%*0,85 от ФОТ (3211 руб.)
1670 руб.СП 52%=65%*0,8 от ФОТ (3211 руб.)
</v>
      </c>
      <c r="D77" s="46">
        <v>16</v>
      </c>
      <c r="E77" s="49" t="s">
        <v>240</v>
      </c>
      <c r="F77" s="49">
        <v>24.4</v>
      </c>
      <c r="G77" s="49">
        <v>43.4</v>
      </c>
      <c r="H77" s="50" t="s">
        <v>241</v>
      </c>
      <c r="I77" s="51">
        <v>10004</v>
      </c>
      <c r="J77" s="49">
        <v>3211</v>
      </c>
      <c r="K77" s="49">
        <v>4508</v>
      </c>
      <c r="L77" s="49" t="str">
        <f>IF(16*43.4=0," ",TEXT(,ROUND((16*43.4*3.29),2)))</f>
        <v>2284,58</v>
      </c>
      <c r="M77" s="49">
        <v>1.42</v>
      </c>
      <c r="N77" s="49">
        <v>22.72</v>
      </c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 t="s">
        <v>40</v>
      </c>
      <c r="AB77" s="53" t="s">
        <v>41</v>
      </c>
      <c r="AC77" s="53">
        <v>2280</v>
      </c>
      <c r="AD77" s="53">
        <v>1670</v>
      </c>
      <c r="AE77" s="53"/>
      <c r="AF77" s="53" t="s">
        <v>242</v>
      </c>
      <c r="AG77" s="53" t="s">
        <v>243</v>
      </c>
      <c r="AH77" s="53"/>
      <c r="AI77" s="53">
        <f>3211+0</f>
        <v>3211</v>
      </c>
    </row>
    <row r="78" spans="1:35" ht="79.2" x14ac:dyDescent="0.25">
      <c r="A78" s="46">
        <v>43</v>
      </c>
      <c r="B78" s="47" t="s">
        <v>244</v>
      </c>
      <c r="C78" s="48" t="str">
        <f t="shared" ca="1" si="2"/>
        <v xml:space="preserve">Лесоматериалы круглые хвойных пород для строительства диаметром 14-24 см, длиной 3-6,5 м
м3
</v>
      </c>
      <c r="D78" s="46">
        <v>-1.0720000000000001</v>
      </c>
      <c r="E78" s="49">
        <v>558.33000000000004</v>
      </c>
      <c r="F78" s="49"/>
      <c r="G78" s="49">
        <v>558.33000000000004</v>
      </c>
      <c r="H78" s="50" t="s">
        <v>245</v>
      </c>
      <c r="I78" s="51">
        <v>-1874</v>
      </c>
      <c r="J78" s="49"/>
      <c r="K78" s="49"/>
      <c r="L78" s="49" t="str">
        <f>IF(-1.072*558.33=0," ",TEXT(,ROUND((-1.072*558.33*3.129),2)))</f>
        <v>-1872,8</v>
      </c>
      <c r="M78" s="49"/>
      <c r="N78" s="49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 t="s">
        <v>246</v>
      </c>
      <c r="AG78" s="53" t="s">
        <v>167</v>
      </c>
      <c r="AH78" s="53"/>
      <c r="AI78" s="53">
        <f>0+0</f>
        <v>0</v>
      </c>
    </row>
    <row r="79" spans="1:35" ht="79.2" x14ac:dyDescent="0.25">
      <c r="A79" s="46">
        <v>44</v>
      </c>
      <c r="B79" s="47" t="s">
        <v>202</v>
      </c>
      <c r="C79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79" s="46">
        <v>1.0720000000000001</v>
      </c>
      <c r="E79" s="49">
        <v>1320</v>
      </c>
      <c r="F79" s="49"/>
      <c r="G79" s="49">
        <v>1320</v>
      </c>
      <c r="H79" s="50" t="s">
        <v>203</v>
      </c>
      <c r="I79" s="51">
        <v>5885</v>
      </c>
      <c r="J79" s="49"/>
      <c r="K79" s="49"/>
      <c r="L79" s="49" t="str">
        <f>IF(1.072*1320=0," ",TEXT(,ROUND((1.072*1320*4.159),2)))</f>
        <v>5885,15</v>
      </c>
      <c r="M79" s="49"/>
      <c r="N79" s="49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 t="s">
        <v>204</v>
      </c>
      <c r="AG79" s="53" t="s">
        <v>167</v>
      </c>
      <c r="AH79" s="53"/>
      <c r="AI79" s="53">
        <f>0+0</f>
        <v>0</v>
      </c>
    </row>
    <row r="80" spans="1:35" ht="184.8" x14ac:dyDescent="0.25">
      <c r="A80" s="46">
        <v>45</v>
      </c>
      <c r="B80" s="47" t="s">
        <v>247</v>
      </c>
      <c r="C80" s="48" t="str">
        <f t="shared" ca="1" si="2"/>
        <v xml:space="preserve">Установка стропил
1 м3 древесины в конструкции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53661 руб. НР 90%=118%*(0,85*0,9) от ФОТ (59623 руб.)
25638 руб.СП 43%=63%*(0,8*0,85) от ФОТ (59623 руб.)
</v>
      </c>
      <c r="D80" s="46">
        <v>15.154999999999999</v>
      </c>
      <c r="E80" s="49" t="s">
        <v>248</v>
      </c>
      <c r="F80" s="49" t="s">
        <v>249</v>
      </c>
      <c r="G80" s="49">
        <v>2062.2600000000002</v>
      </c>
      <c r="H80" s="50" t="s">
        <v>250</v>
      </c>
      <c r="I80" s="51">
        <v>182945</v>
      </c>
      <c r="J80" s="49">
        <v>58964</v>
      </c>
      <c r="K80" s="49" t="s">
        <v>251</v>
      </c>
      <c r="L80" s="49" t="str">
        <f>IF(15.155*2062.26=0," ",TEXT(,ROUND((15.155*2062.26*3.71),2)))</f>
        <v>115950,67</v>
      </c>
      <c r="M80" s="49" t="s">
        <v>252</v>
      </c>
      <c r="N80" s="49" t="s">
        <v>253</v>
      </c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 t="s">
        <v>195</v>
      </c>
      <c r="AB80" s="53" t="s">
        <v>196</v>
      </c>
      <c r="AC80" s="53">
        <v>53661</v>
      </c>
      <c r="AD80" s="53">
        <v>25638</v>
      </c>
      <c r="AE80" s="63" t="s">
        <v>145</v>
      </c>
      <c r="AF80" s="53" t="s">
        <v>254</v>
      </c>
      <c r="AG80" s="53" t="s">
        <v>209</v>
      </c>
      <c r="AH80" s="53"/>
      <c r="AI80" s="53">
        <f>58964+659</f>
        <v>59623</v>
      </c>
    </row>
    <row r="81" spans="1:35" ht="105.6" x14ac:dyDescent="0.25">
      <c r="A81" s="46">
        <v>46</v>
      </c>
      <c r="B81" s="47" t="s">
        <v>255</v>
      </c>
      <c r="C81" s="48" t="str">
        <f t="shared" ca="1" si="2"/>
        <v xml:space="preserve">Устройство обрешетки сплошной из досок
100 м2
18503 руб. НР 71%=83%*0,85 от ФОТ (26060 руб.)
13551 руб.СП 52%=65%*0,8 от ФОТ (26060 руб.)
</v>
      </c>
      <c r="D81" s="46" t="s">
        <v>256</v>
      </c>
      <c r="E81" s="49" t="s">
        <v>257</v>
      </c>
      <c r="F81" s="49" t="s">
        <v>258</v>
      </c>
      <c r="G81" s="49">
        <v>2198.6799999999998</v>
      </c>
      <c r="H81" s="50" t="s">
        <v>259</v>
      </c>
      <c r="I81" s="51">
        <v>100190</v>
      </c>
      <c r="J81" s="49">
        <v>25468</v>
      </c>
      <c r="K81" s="49" t="s">
        <v>260</v>
      </c>
      <c r="L81" s="49" t="str">
        <f>IF(5.961*2198.68=0," ",TEXT(,ROUND((5.961*2198.68*5.51),2)))</f>
        <v>72215,89</v>
      </c>
      <c r="M81" s="49" t="s">
        <v>261</v>
      </c>
      <c r="N81" s="49" t="s">
        <v>262</v>
      </c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 t="s">
        <v>40</v>
      </c>
      <c r="AB81" s="53" t="s">
        <v>41</v>
      </c>
      <c r="AC81" s="53">
        <v>18503</v>
      </c>
      <c r="AD81" s="53">
        <v>13551</v>
      </c>
      <c r="AE81" s="53"/>
      <c r="AF81" s="53" t="s">
        <v>263</v>
      </c>
      <c r="AG81" s="53" t="s">
        <v>264</v>
      </c>
      <c r="AH81" s="53"/>
      <c r="AI81" s="53">
        <f>25468+592</f>
        <v>26060</v>
      </c>
    </row>
    <row r="82" spans="1:35" ht="66" x14ac:dyDescent="0.25">
      <c r="A82" s="46">
        <v>47</v>
      </c>
      <c r="B82" s="47" t="s">
        <v>265</v>
      </c>
      <c r="C82" s="48" t="str">
        <f t="shared" ca="1" si="2"/>
        <v xml:space="preserve">Доски необрезные хвойных пород длиной: 4-6,5 м, все ширины, толщиной 25 мм, III сорта
м3
</v>
      </c>
      <c r="D82" s="46">
        <v>-15.74</v>
      </c>
      <c r="E82" s="49">
        <v>792</v>
      </c>
      <c r="F82" s="49"/>
      <c r="G82" s="49">
        <v>792</v>
      </c>
      <c r="H82" s="50" t="s">
        <v>266</v>
      </c>
      <c r="I82" s="51">
        <v>-70296</v>
      </c>
      <c r="J82" s="49"/>
      <c r="K82" s="49"/>
      <c r="L82" s="49" t="str">
        <f>IF(-15.74*792=0," ",TEXT(,ROUND((-15.74*792*5.639),2)))</f>
        <v>-70296,23</v>
      </c>
      <c r="M82" s="49"/>
      <c r="N82" s="49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 t="s">
        <v>267</v>
      </c>
      <c r="AG82" s="53" t="s">
        <v>167</v>
      </c>
      <c r="AH82" s="53"/>
      <c r="AI82" s="53">
        <f>0+0</f>
        <v>0</v>
      </c>
    </row>
    <row r="83" spans="1:35" ht="79.2" x14ac:dyDescent="0.25">
      <c r="A83" s="46">
        <v>48</v>
      </c>
      <c r="B83" s="47" t="s">
        <v>202</v>
      </c>
      <c r="C83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83" s="46">
        <v>31.48</v>
      </c>
      <c r="E83" s="49">
        <v>1320</v>
      </c>
      <c r="F83" s="49"/>
      <c r="G83" s="49">
        <v>1320</v>
      </c>
      <c r="H83" s="50" t="s">
        <v>203</v>
      </c>
      <c r="I83" s="51">
        <v>172823</v>
      </c>
      <c r="J83" s="49"/>
      <c r="K83" s="49"/>
      <c r="L83" s="49" t="str">
        <f>IF(31.48*1320=0," ",TEXT(,ROUND((31.48*1320*4.159),2)))</f>
        <v>172821,42</v>
      </c>
      <c r="M83" s="49"/>
      <c r="N83" s="49"/>
      <c r="O83" s="52"/>
      <c r="P83" s="52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 t="s">
        <v>204</v>
      </c>
      <c r="AG83" s="53" t="s">
        <v>167</v>
      </c>
      <c r="AH83" s="53"/>
      <c r="AI83" s="53">
        <f>0+0</f>
        <v>0</v>
      </c>
    </row>
    <row r="84" spans="1:35" ht="92.4" x14ac:dyDescent="0.25">
      <c r="A84" s="46">
        <v>49</v>
      </c>
      <c r="B84" s="47" t="s">
        <v>268</v>
      </c>
      <c r="C84" s="48" t="str">
        <f t="shared" ca="1" si="2"/>
        <v xml:space="preserve">Устройство обрешетки с прозорами из досок и брусков под кровлю: из листовой стали
100 м2
5700 руб. НР 71%=83%*0,85 от ФОТ (8028 руб.)
4175 руб.СП 52%=65%*0,8 от ФОТ (8028 руб.)
</v>
      </c>
      <c r="D84" s="46">
        <v>2.7330000000000001</v>
      </c>
      <c r="E84" s="49" t="s">
        <v>269</v>
      </c>
      <c r="F84" s="49" t="s">
        <v>270</v>
      </c>
      <c r="G84" s="49">
        <v>1570.73</v>
      </c>
      <c r="H84" s="50" t="s">
        <v>271</v>
      </c>
      <c r="I84" s="51">
        <v>31147</v>
      </c>
      <c r="J84" s="49">
        <v>7825</v>
      </c>
      <c r="K84" s="49" t="s">
        <v>272</v>
      </c>
      <c r="L84" s="49" t="str">
        <f>IF(2.733*1570.73=0," ",TEXT(,ROUND((2.733*1570.73*5.26),2)))</f>
        <v>22580,15</v>
      </c>
      <c r="M84" s="49" t="s">
        <v>273</v>
      </c>
      <c r="N84" s="49" t="s">
        <v>274</v>
      </c>
      <c r="O84" s="52"/>
      <c r="P84" s="52"/>
      <c r="Q84" s="52"/>
      <c r="R84" s="52"/>
      <c r="S84" s="52"/>
      <c r="T84" s="53"/>
      <c r="U84" s="53"/>
      <c r="V84" s="53"/>
      <c r="W84" s="53"/>
      <c r="X84" s="53"/>
      <c r="Y84" s="53"/>
      <c r="Z84" s="53"/>
      <c r="AA84" s="53" t="s">
        <v>40</v>
      </c>
      <c r="AB84" s="53" t="s">
        <v>41</v>
      </c>
      <c r="AC84" s="53">
        <v>5700</v>
      </c>
      <c r="AD84" s="53">
        <v>4175</v>
      </c>
      <c r="AE84" s="53"/>
      <c r="AF84" s="53" t="s">
        <v>275</v>
      </c>
      <c r="AG84" s="53" t="s">
        <v>264</v>
      </c>
      <c r="AH84" s="53"/>
      <c r="AI84" s="53">
        <f>7825+203</f>
        <v>8028</v>
      </c>
    </row>
    <row r="85" spans="1:35" ht="66" x14ac:dyDescent="0.25">
      <c r="A85" s="46">
        <v>50</v>
      </c>
      <c r="B85" s="47" t="s">
        <v>199</v>
      </c>
      <c r="C85" s="48" t="str">
        <f t="shared" ca="1" si="2"/>
        <v xml:space="preserve">Доски необрезные хвойных пород длиной: 4-6,5 м, все ширины, толщиной 32-40 мм, III сорта
м3
</v>
      </c>
      <c r="D85" s="46">
        <v>-4.9189999999999996</v>
      </c>
      <c r="E85" s="49">
        <v>832.7</v>
      </c>
      <c r="F85" s="49"/>
      <c r="G85" s="49">
        <v>832.7</v>
      </c>
      <c r="H85" s="50" t="s">
        <v>200</v>
      </c>
      <c r="I85" s="51">
        <v>-21971</v>
      </c>
      <c r="J85" s="49"/>
      <c r="K85" s="49"/>
      <c r="L85" s="49" t="str">
        <f>IF(-4.919*832.7=0," ",TEXT(,ROUND((-4.919*832.7*5.364),2)))</f>
        <v>-21971,22</v>
      </c>
      <c r="M85" s="49"/>
      <c r="N85" s="49"/>
      <c r="O85" s="52"/>
      <c r="P85" s="52"/>
      <c r="Q85" s="52"/>
      <c r="R85" s="52"/>
      <c r="S85" s="52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 t="s">
        <v>201</v>
      </c>
      <c r="AG85" s="53" t="s">
        <v>167</v>
      </c>
      <c r="AH85" s="53"/>
      <c r="AI85" s="53">
        <f>0+0</f>
        <v>0</v>
      </c>
    </row>
    <row r="86" spans="1:35" ht="79.2" x14ac:dyDescent="0.25">
      <c r="A86" s="46">
        <v>51</v>
      </c>
      <c r="B86" s="47" t="s">
        <v>202</v>
      </c>
      <c r="C86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86" s="46">
        <v>6.149</v>
      </c>
      <c r="E86" s="49">
        <v>1320</v>
      </c>
      <c r="F86" s="49"/>
      <c r="G86" s="49">
        <v>1320</v>
      </c>
      <c r="H86" s="50" t="s">
        <v>203</v>
      </c>
      <c r="I86" s="51">
        <v>33759</v>
      </c>
      <c r="J86" s="49"/>
      <c r="K86" s="49"/>
      <c r="L86" s="49" t="str">
        <f>IF(6.149*1320=0," ",TEXT(,ROUND((6.149*1320*4.159),2)))</f>
        <v>33757,27</v>
      </c>
      <c r="M86" s="49"/>
      <c r="N86" s="49"/>
      <c r="O86" s="52"/>
      <c r="P86" s="52"/>
      <c r="Q86" s="52"/>
      <c r="R86" s="52"/>
      <c r="S86" s="52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 t="s">
        <v>204</v>
      </c>
      <c r="AG86" s="53" t="s">
        <v>167</v>
      </c>
      <c r="AH86" s="53"/>
      <c r="AI86" s="53">
        <f>0+0</f>
        <v>0</v>
      </c>
    </row>
    <row r="87" spans="1:35" ht="92.4" x14ac:dyDescent="0.25">
      <c r="A87" s="46">
        <v>52</v>
      </c>
      <c r="B87" s="47" t="s">
        <v>127</v>
      </c>
      <c r="C87" s="48" t="str">
        <f t="shared" ca="1" si="2"/>
        <v xml:space="preserve">Устройство покрытия из рулонных материалов: насухо без промазки кромок
100 м2 кровли
4692 руб. НР 71%=83%*0,85 от ФОТ (6608 руб.)
3436 руб.СП 52%=65%*0,8 от ФОТ (6608 руб.)
</v>
      </c>
      <c r="D87" s="46">
        <v>10.776</v>
      </c>
      <c r="E87" s="49" t="s">
        <v>128</v>
      </c>
      <c r="F87" s="49">
        <v>5.23</v>
      </c>
      <c r="G87" s="49">
        <v>883.33</v>
      </c>
      <c r="H87" s="50" t="s">
        <v>129</v>
      </c>
      <c r="I87" s="51">
        <v>54960</v>
      </c>
      <c r="J87" s="49">
        <v>6608</v>
      </c>
      <c r="K87" s="49">
        <v>662</v>
      </c>
      <c r="L87" s="49" t="str">
        <f>IF(10.776*883.33=0," ",TEXT(,ROUND((10.776*883.33*5.01),2)))</f>
        <v>47689,01</v>
      </c>
      <c r="M87" s="49">
        <v>4.5199999999999996</v>
      </c>
      <c r="N87" s="49">
        <v>48.71</v>
      </c>
      <c r="O87" s="52"/>
      <c r="P87" s="52"/>
      <c r="Q87" s="52"/>
      <c r="R87" s="52"/>
      <c r="S87" s="52"/>
      <c r="T87" s="53"/>
      <c r="U87" s="53"/>
      <c r="V87" s="53"/>
      <c r="W87" s="53"/>
      <c r="X87" s="53"/>
      <c r="Y87" s="53"/>
      <c r="Z87" s="53"/>
      <c r="AA87" s="53" t="s">
        <v>40</v>
      </c>
      <c r="AB87" s="53" t="s">
        <v>41</v>
      </c>
      <c r="AC87" s="53">
        <v>4692</v>
      </c>
      <c r="AD87" s="53">
        <v>3436</v>
      </c>
      <c r="AE87" s="53"/>
      <c r="AF87" s="53" t="s">
        <v>130</v>
      </c>
      <c r="AG87" s="53" t="s">
        <v>57</v>
      </c>
      <c r="AH87" s="53"/>
      <c r="AI87" s="53">
        <f>6608+0</f>
        <v>6608</v>
      </c>
    </row>
    <row r="88" spans="1:35" ht="66" x14ac:dyDescent="0.25">
      <c r="A88" s="46">
        <v>53</v>
      </c>
      <c r="B88" s="47" t="s">
        <v>131</v>
      </c>
      <c r="C88" s="48" t="str">
        <f t="shared" ca="1" si="2"/>
        <v xml:space="preserve">Рубероид кровельный с крупнозернистой посыпкой марки: РКК-350б
м2
</v>
      </c>
      <c r="D88" s="46">
        <v>-1239</v>
      </c>
      <c r="E88" s="49">
        <v>7.46</v>
      </c>
      <c r="F88" s="49"/>
      <c r="G88" s="49">
        <v>7.46</v>
      </c>
      <c r="H88" s="50" t="s">
        <v>132</v>
      </c>
      <c r="I88" s="51">
        <v>-46252</v>
      </c>
      <c r="J88" s="49"/>
      <c r="K88" s="49"/>
      <c r="L88" s="49" t="str">
        <f>IF(-1239*7.46=0," ",TEXT(,ROUND((-1239*7.46*5.004),2)))</f>
        <v>-46251,67</v>
      </c>
      <c r="M88" s="49"/>
      <c r="N88" s="49"/>
      <c r="O88" s="52"/>
      <c r="P88" s="52"/>
      <c r="Q88" s="52"/>
      <c r="R88" s="52"/>
      <c r="S88" s="52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 t="s">
        <v>133</v>
      </c>
      <c r="AG88" s="53" t="s">
        <v>134</v>
      </c>
      <c r="AH88" s="53"/>
      <c r="AI88" s="53">
        <f>0+0</f>
        <v>0</v>
      </c>
    </row>
    <row r="89" spans="1:35" ht="66" x14ac:dyDescent="0.25">
      <c r="A89" s="46">
        <v>54</v>
      </c>
      <c r="B89" s="47" t="s">
        <v>276</v>
      </c>
      <c r="C89" s="48" t="str">
        <f t="shared" ca="1" si="2"/>
        <v xml:space="preserve">Изоспан: Защитный материал марки D 19,47/5,56=3,50
м2
</v>
      </c>
      <c r="D89" s="46">
        <v>1239</v>
      </c>
      <c r="E89" s="49">
        <v>3.5</v>
      </c>
      <c r="F89" s="49"/>
      <c r="G89" s="49">
        <v>3.5</v>
      </c>
      <c r="H89" s="50" t="s">
        <v>136</v>
      </c>
      <c r="I89" s="51">
        <v>24114</v>
      </c>
      <c r="J89" s="49"/>
      <c r="K89" s="49"/>
      <c r="L89" s="49" t="str">
        <f>IF(1239*3.5=0," ",TEXT(,ROUND((1239*3.5*5.56),2)))</f>
        <v>24110,94</v>
      </c>
      <c r="M89" s="49"/>
      <c r="N89" s="49"/>
      <c r="O89" s="52"/>
      <c r="P89" s="52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 t="s">
        <v>277</v>
      </c>
      <c r="AG89" s="53" t="s">
        <v>134</v>
      </c>
      <c r="AH89" s="53"/>
      <c r="AI89" s="53">
        <f>0+0</f>
        <v>0</v>
      </c>
    </row>
    <row r="90" spans="1:35" ht="184.8" x14ac:dyDescent="0.25">
      <c r="A90" s="46">
        <v>55</v>
      </c>
      <c r="B90" s="47" t="s">
        <v>278</v>
      </c>
      <c r="C90" s="48" t="str">
        <f t="shared" ca="1" si="2"/>
        <v xml:space="preserve">Устройство слуховых окон
1 слуховое окно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8138 руб. НР 90%=118%*(0,85*0,9) от ФОТ (9042 руб.)
3888 руб.СП 43%=63%*(0,8*0,85) от ФОТ (9042 руб.)
</v>
      </c>
      <c r="D90" s="46">
        <v>8</v>
      </c>
      <c r="E90" s="49" t="s">
        <v>279</v>
      </c>
      <c r="F90" s="49" t="s">
        <v>280</v>
      </c>
      <c r="G90" s="49">
        <v>300.2</v>
      </c>
      <c r="H90" s="50" t="s">
        <v>281</v>
      </c>
      <c r="I90" s="51">
        <v>24310</v>
      </c>
      <c r="J90" s="49">
        <v>8788</v>
      </c>
      <c r="K90" s="49" t="s">
        <v>282</v>
      </c>
      <c r="L90" s="49" t="str">
        <f>IF(8*300.2=0," ",TEXT(,ROUND((8*300.2*5.43),2)))</f>
        <v>13040,69</v>
      </c>
      <c r="M90" s="49" t="s">
        <v>283</v>
      </c>
      <c r="N90" s="49" t="s">
        <v>284</v>
      </c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 t="s">
        <v>195</v>
      </c>
      <c r="AB90" s="53" t="s">
        <v>196</v>
      </c>
      <c r="AC90" s="53">
        <v>8138</v>
      </c>
      <c r="AD90" s="53">
        <v>3888</v>
      </c>
      <c r="AE90" s="63" t="s">
        <v>145</v>
      </c>
      <c r="AF90" s="53" t="s">
        <v>285</v>
      </c>
      <c r="AG90" s="53" t="s">
        <v>286</v>
      </c>
      <c r="AH90" s="53"/>
      <c r="AI90" s="53">
        <f>8788+254</f>
        <v>9042</v>
      </c>
    </row>
    <row r="91" spans="1:35" ht="52.8" x14ac:dyDescent="0.25">
      <c r="A91" s="46">
        <v>56</v>
      </c>
      <c r="B91" s="47" t="s">
        <v>287</v>
      </c>
      <c r="C91" s="48" t="str">
        <f t="shared" ca="1" si="2"/>
        <v xml:space="preserve">Петли форточные накладные размером 70х55 мм
компл.
</v>
      </c>
      <c r="D91" s="46">
        <v>8</v>
      </c>
      <c r="E91" s="49">
        <v>3.74</v>
      </c>
      <c r="F91" s="49"/>
      <c r="G91" s="49">
        <v>3.74</v>
      </c>
      <c r="H91" s="50" t="s">
        <v>288</v>
      </c>
      <c r="I91" s="51">
        <v>70</v>
      </c>
      <c r="J91" s="49"/>
      <c r="K91" s="49"/>
      <c r="L91" s="49" t="str">
        <f>IF(8*3.74=0," ",TEXT(,ROUND((8*3.74*2.338),2)))</f>
        <v>69,95</v>
      </c>
      <c r="M91" s="49"/>
      <c r="N91" s="49"/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 t="s">
        <v>289</v>
      </c>
      <c r="AG91" s="53" t="s">
        <v>290</v>
      </c>
      <c r="AH91" s="53"/>
      <c r="AI91" s="53">
        <f>0+0</f>
        <v>0</v>
      </c>
    </row>
    <row r="92" spans="1:35" ht="66" x14ac:dyDescent="0.25">
      <c r="A92" s="46">
        <v>57</v>
      </c>
      <c r="B92" s="47" t="s">
        <v>291</v>
      </c>
      <c r="C92" s="48" t="str">
        <f t="shared" ca="1" si="2"/>
        <v xml:space="preserve">Шпингалеты дверные размером 230х26 мм, оцинкованные или окрашенные
компл.
</v>
      </c>
      <c r="D92" s="46">
        <v>8</v>
      </c>
      <c r="E92" s="49">
        <v>13.42</v>
      </c>
      <c r="F92" s="49"/>
      <c r="G92" s="49">
        <v>13.42</v>
      </c>
      <c r="H92" s="50" t="s">
        <v>292</v>
      </c>
      <c r="I92" s="51">
        <v>213</v>
      </c>
      <c r="J92" s="49"/>
      <c r="K92" s="49"/>
      <c r="L92" s="49" t="str">
        <f>IF(8*13.42=0," ",TEXT(,ROUND((8*13.42*1.986),2)))</f>
        <v>213,22</v>
      </c>
      <c r="M92" s="49"/>
      <c r="N92" s="49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 t="s">
        <v>293</v>
      </c>
      <c r="AG92" s="53" t="s">
        <v>290</v>
      </c>
      <c r="AH92" s="53"/>
      <c r="AI92" s="53">
        <f>0+0</f>
        <v>0</v>
      </c>
    </row>
    <row r="93" spans="1:35" ht="237.6" x14ac:dyDescent="0.25">
      <c r="A93" s="46">
        <v>58</v>
      </c>
      <c r="B93" s="47" t="s">
        <v>294</v>
      </c>
      <c r="C93" s="48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
100 м2 обрабатываемой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48955 руб. НР 77%=100%*(0,85*0,9) от ФОТ (63578 руб.)
30517 руб.СП 48%=70%*(0,8*0,85) от ФОТ (63578 руб.)
</v>
      </c>
      <c r="D93" s="46">
        <v>38.71</v>
      </c>
      <c r="E93" s="49" t="s">
        <v>295</v>
      </c>
      <c r="F93" s="49" t="s">
        <v>296</v>
      </c>
      <c r="G93" s="49">
        <v>1.83</v>
      </c>
      <c r="H93" s="50" t="s">
        <v>297</v>
      </c>
      <c r="I93" s="51">
        <v>104878</v>
      </c>
      <c r="J93" s="49">
        <v>62733</v>
      </c>
      <c r="K93" s="49" t="s">
        <v>298</v>
      </c>
      <c r="L93" s="49" t="str">
        <f>IF(38.71*1.83=0," ",TEXT(,ROUND((38.71*1.83*19.16),2)))</f>
        <v>1357,28</v>
      </c>
      <c r="M93" s="49" t="s">
        <v>299</v>
      </c>
      <c r="N93" s="49" t="s">
        <v>300</v>
      </c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 t="s">
        <v>301</v>
      </c>
      <c r="AB93" s="53" t="s">
        <v>34</v>
      </c>
      <c r="AC93" s="53">
        <v>48955</v>
      </c>
      <c r="AD93" s="53">
        <v>30517</v>
      </c>
      <c r="AE93" s="63" t="s">
        <v>145</v>
      </c>
      <c r="AF93" s="53" t="s">
        <v>302</v>
      </c>
      <c r="AG93" s="53" t="s">
        <v>303</v>
      </c>
      <c r="AH93" s="53"/>
      <c r="AI93" s="53">
        <f>62733+845</f>
        <v>63578</v>
      </c>
    </row>
    <row r="94" spans="1:35" ht="66" x14ac:dyDescent="0.25">
      <c r="A94" s="46">
        <v>59</v>
      </c>
      <c r="B94" s="47" t="s">
        <v>304</v>
      </c>
      <c r="C94" s="48" t="str">
        <f t="shared" ca="1" si="2"/>
        <v xml:space="preserve">Антисептик-антипирен «ПИРИЛАКС-ТЕРМА» для древесины
кг
</v>
      </c>
      <c r="D94" s="46">
        <v>801.3</v>
      </c>
      <c r="E94" s="49">
        <v>15.16</v>
      </c>
      <c r="F94" s="49"/>
      <c r="G94" s="49">
        <v>15.16</v>
      </c>
      <c r="H94" s="50" t="s">
        <v>305</v>
      </c>
      <c r="I94" s="51">
        <v>129959</v>
      </c>
      <c r="J94" s="49"/>
      <c r="K94" s="49"/>
      <c r="L94" s="49" t="str">
        <f>IF(801.3*15.16=0," ",TEXT(,ROUND((801.3*15.16*10.698),2)))</f>
        <v>129956,18</v>
      </c>
      <c r="M94" s="49"/>
      <c r="N94" s="49"/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 t="s">
        <v>306</v>
      </c>
      <c r="AG94" s="53" t="s">
        <v>307</v>
      </c>
      <c r="AH94" s="53"/>
      <c r="AI94" s="53">
        <f>0+0</f>
        <v>0</v>
      </c>
    </row>
    <row r="95" spans="1:35" ht="198" x14ac:dyDescent="0.25">
      <c r="A95" s="46">
        <v>60</v>
      </c>
      <c r="B95" s="47" t="s">
        <v>308</v>
      </c>
      <c r="C95" s="48" t="str">
        <f t="shared" ca="1" si="2"/>
        <v xml:space="preserve">Устройство кровли из металлочерепицы по готовым прогонам: средней сложности
100 м2 кровли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69997 руб. НР 92%=120%*(0,85*0,9) от ФОТ (76084 руб.)
33477 руб.СП 44%=65%*(0,8*0,85) от ФОТ (76084 руб.)
</v>
      </c>
      <c r="D95" s="46">
        <v>10.64</v>
      </c>
      <c r="E95" s="49" t="s">
        <v>309</v>
      </c>
      <c r="F95" s="49" t="s">
        <v>310</v>
      </c>
      <c r="G95" s="49">
        <v>9946</v>
      </c>
      <c r="H95" s="50" t="s">
        <v>311</v>
      </c>
      <c r="I95" s="51">
        <v>459276</v>
      </c>
      <c r="J95" s="49">
        <v>73667</v>
      </c>
      <c r="K95" s="49" t="s">
        <v>312</v>
      </c>
      <c r="L95" s="49" t="str">
        <f>IF(10.64*9946=0," ",TEXT(,ROUND((10.64*9946*3.48),2)))</f>
        <v>368272,53</v>
      </c>
      <c r="M95" s="49" t="s">
        <v>313</v>
      </c>
      <c r="N95" s="49" t="s">
        <v>314</v>
      </c>
      <c r="O95" s="52"/>
      <c r="P95" s="52"/>
      <c r="Q95" s="52"/>
      <c r="R95" s="52"/>
      <c r="S95" s="52"/>
      <c r="T95" s="53"/>
      <c r="U95" s="53"/>
      <c r="V95" s="53"/>
      <c r="W95" s="53"/>
      <c r="X95" s="53"/>
      <c r="Y95" s="53"/>
      <c r="Z95" s="53"/>
      <c r="AA95" s="53" t="s">
        <v>79</v>
      </c>
      <c r="AB95" s="53" t="s">
        <v>80</v>
      </c>
      <c r="AC95" s="53">
        <v>69997</v>
      </c>
      <c r="AD95" s="53">
        <v>33477</v>
      </c>
      <c r="AE95" s="63" t="s">
        <v>145</v>
      </c>
      <c r="AF95" s="53" t="s">
        <v>315</v>
      </c>
      <c r="AG95" s="53" t="s">
        <v>57</v>
      </c>
      <c r="AH95" s="53"/>
      <c r="AI95" s="53">
        <f>73667+2417</f>
        <v>76084</v>
      </c>
    </row>
    <row r="96" spans="1:35" ht="52.8" x14ac:dyDescent="0.25">
      <c r="A96" s="46">
        <v>61</v>
      </c>
      <c r="B96" s="47" t="s">
        <v>316</v>
      </c>
      <c r="C96" s="48" t="str">
        <f t="shared" ca="1" si="2"/>
        <v xml:space="preserve">Металлочерепица «Монтеррей»
м2
</v>
      </c>
      <c r="D96" s="46">
        <v>-1362</v>
      </c>
      <c r="E96" s="49">
        <v>70.5</v>
      </c>
      <c r="F96" s="49"/>
      <c r="G96" s="49">
        <v>70.5</v>
      </c>
      <c r="H96" s="50" t="s">
        <v>317</v>
      </c>
      <c r="I96" s="51">
        <v>-352973</v>
      </c>
      <c r="J96" s="49"/>
      <c r="K96" s="49"/>
      <c r="L96" s="49" t="str">
        <f>IF(-1362*70.5=0," ",TEXT(,ROUND((-1362*70.5*3.676),2)))</f>
        <v>-352973,2</v>
      </c>
      <c r="M96" s="49"/>
      <c r="N96" s="49"/>
      <c r="O96" s="52"/>
      <c r="P96" s="52"/>
      <c r="Q96" s="52"/>
      <c r="R96" s="52"/>
      <c r="S96" s="52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 t="s">
        <v>318</v>
      </c>
      <c r="AG96" s="53" t="s">
        <v>134</v>
      </c>
      <c r="AH96" s="53"/>
      <c r="AI96" s="53">
        <f>0+0</f>
        <v>0</v>
      </c>
    </row>
    <row r="97" spans="1:35" ht="66" x14ac:dyDescent="0.25">
      <c r="A97" s="46">
        <v>62</v>
      </c>
      <c r="B97" s="47" t="s">
        <v>319</v>
      </c>
      <c r="C97" s="48" t="str">
        <f t="shared" ca="1" si="2"/>
        <v xml:space="preserve">Профилированный лист оцинкованный: НС44-1000-0,7
т
</v>
      </c>
      <c r="D97" s="46" t="s">
        <v>320</v>
      </c>
      <c r="E97" s="49">
        <v>10090.379999999999</v>
      </c>
      <c r="F97" s="49"/>
      <c r="G97" s="49">
        <v>10090.379999999999</v>
      </c>
      <c r="H97" s="50" t="s">
        <v>321</v>
      </c>
      <c r="I97" s="51">
        <v>444427</v>
      </c>
      <c r="J97" s="49"/>
      <c r="K97" s="49"/>
      <c r="L97" s="49" t="str">
        <f>IF(9.71432*10090.38=0," ",TEXT(,ROUND((9.71432*10090.38*4.534),2)))</f>
        <v>444428,03</v>
      </c>
      <c r="M97" s="49"/>
      <c r="N97" s="49"/>
      <c r="O97" s="52"/>
      <c r="P97" s="52"/>
      <c r="Q97" s="52"/>
      <c r="R97" s="52"/>
      <c r="S97" s="52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 t="s">
        <v>322</v>
      </c>
      <c r="AG97" s="53" t="s">
        <v>157</v>
      </c>
      <c r="AH97" s="53"/>
      <c r="AI97" s="53">
        <f>0+0</f>
        <v>0</v>
      </c>
    </row>
    <row r="98" spans="1:35" ht="66" x14ac:dyDescent="0.25">
      <c r="A98" s="46">
        <v>63</v>
      </c>
      <c r="B98" s="47" t="s">
        <v>323</v>
      </c>
      <c r="C98" s="48" t="str">
        <f t="shared" ca="1" si="2"/>
        <v xml:space="preserve">Сталь листовая оцинкованная толщиной листа: 0,55 мм
т
</v>
      </c>
      <c r="D98" s="46">
        <v>1.135</v>
      </c>
      <c r="E98" s="49">
        <v>10484</v>
      </c>
      <c r="F98" s="49"/>
      <c r="G98" s="49">
        <v>10484</v>
      </c>
      <c r="H98" s="50" t="s">
        <v>324</v>
      </c>
      <c r="I98" s="51">
        <v>47513</v>
      </c>
      <c r="J98" s="49"/>
      <c r="K98" s="49"/>
      <c r="L98" s="49" t="str">
        <f>IF(1.135*10484=0," ",TEXT(,ROUND((1.135*10484*3.993),2)))</f>
        <v>47514,06</v>
      </c>
      <c r="M98" s="49"/>
      <c r="N98" s="49"/>
      <c r="O98" s="52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 t="s">
        <v>325</v>
      </c>
      <c r="AG98" s="53" t="s">
        <v>157</v>
      </c>
      <c r="AH98" s="53"/>
      <c r="AI98" s="53">
        <f>0+0</f>
        <v>0</v>
      </c>
    </row>
    <row r="99" spans="1:35" ht="66" x14ac:dyDescent="0.25">
      <c r="A99" s="46">
        <v>64</v>
      </c>
      <c r="B99" s="47" t="s">
        <v>326</v>
      </c>
      <c r="C99" s="48" t="str">
        <f t="shared" ca="1" si="2"/>
        <v xml:space="preserve">Сталь листовая оцинкованная толщиной листа: 0,55 мм
т
</v>
      </c>
      <c r="D99" s="46">
        <v>0.29110000000000003</v>
      </c>
      <c r="E99" s="49">
        <v>10484</v>
      </c>
      <c r="F99" s="49"/>
      <c r="G99" s="49">
        <v>10484</v>
      </c>
      <c r="H99" s="50" t="s">
        <v>324</v>
      </c>
      <c r="I99" s="51">
        <v>12187</v>
      </c>
      <c r="J99" s="49"/>
      <c r="K99" s="49"/>
      <c r="L99" s="49" t="str">
        <f>IF(0.2911*10484=0," ",TEXT(,ROUND((0.2911*10484*3.993),2)))</f>
        <v>12186,21</v>
      </c>
      <c r="M99" s="49"/>
      <c r="N99" s="49"/>
      <c r="O99" s="52"/>
      <c r="P99" s="52"/>
      <c r="Q99" s="52"/>
      <c r="R99" s="52"/>
      <c r="S99" s="52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 t="s">
        <v>325</v>
      </c>
      <c r="AG99" s="53" t="s">
        <v>157</v>
      </c>
      <c r="AH99" s="53"/>
      <c r="AI99" s="53">
        <f>0+0</f>
        <v>0</v>
      </c>
    </row>
    <row r="100" spans="1:35" ht="184.8" x14ac:dyDescent="0.25">
      <c r="A100" s="46">
        <v>65</v>
      </c>
      <c r="B100" s="47" t="s">
        <v>327</v>
      </c>
      <c r="C100" s="48" t="str">
        <f t="shared" ca="1" si="2"/>
        <v xml:space="preserve">Резка стального профилированного настила
1 м реза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2950 руб. НР 69%=90%*(0,85*0,9) от ФОТ (4276 руб.)
2480 руб.СП 58%=85%*(0,8*0,85) от ФОТ (4276 руб.)
</v>
      </c>
      <c r="D100" s="46">
        <v>72</v>
      </c>
      <c r="E100" s="49" t="s">
        <v>328</v>
      </c>
      <c r="F100" s="49">
        <v>0.55000000000000004</v>
      </c>
      <c r="G100" s="49"/>
      <c r="H100" s="50" t="s">
        <v>329</v>
      </c>
      <c r="I100" s="51">
        <v>4377</v>
      </c>
      <c r="J100" s="49">
        <v>4276</v>
      </c>
      <c r="K100" s="49">
        <v>102</v>
      </c>
      <c r="L100" s="49" t="str">
        <f>IF(72*0=0," ",TEXT(,ROUND((72*0*1),2)))</f>
        <v xml:space="preserve"> </v>
      </c>
      <c r="M100" s="49">
        <v>0.34</v>
      </c>
      <c r="N100" s="49">
        <v>24.48</v>
      </c>
      <c r="O100" s="52"/>
      <c r="P100" s="52"/>
      <c r="Q100" s="52"/>
      <c r="R100" s="52"/>
      <c r="S100" s="52"/>
      <c r="T100" s="53"/>
      <c r="U100" s="53"/>
      <c r="V100" s="53"/>
      <c r="W100" s="53"/>
      <c r="X100" s="53"/>
      <c r="Y100" s="53"/>
      <c r="Z100" s="53"/>
      <c r="AA100" s="53" t="s">
        <v>87</v>
      </c>
      <c r="AB100" s="53" t="s">
        <v>88</v>
      </c>
      <c r="AC100" s="53">
        <v>2950</v>
      </c>
      <c r="AD100" s="53">
        <v>2480</v>
      </c>
      <c r="AE100" s="63" t="s">
        <v>145</v>
      </c>
      <c r="AF100" s="53" t="s">
        <v>330</v>
      </c>
      <c r="AG100" s="53" t="s">
        <v>331</v>
      </c>
      <c r="AH100" s="53"/>
      <c r="AI100" s="53">
        <f>4276+0</f>
        <v>4276</v>
      </c>
    </row>
    <row r="101" spans="1:35" ht="184.8" x14ac:dyDescent="0.25">
      <c r="A101" s="46">
        <v>66</v>
      </c>
      <c r="B101" s="47" t="s">
        <v>332</v>
      </c>
      <c r="C101" s="48" t="str">
        <f t="shared" ca="1" si="2"/>
        <v xml:space="preserve">Устройство желобов: настенных
100 м желобов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22452 руб. НР 92%=120%*(0,85*0,9) от ФОТ (24404 руб.)
10738 руб.СП 44%=65%*(0,8*0,85) от ФОТ (24404 руб.)
</v>
      </c>
      <c r="D101" s="46">
        <v>1.6656</v>
      </c>
      <c r="E101" s="49" t="s">
        <v>333</v>
      </c>
      <c r="F101" s="49" t="s">
        <v>334</v>
      </c>
      <c r="G101" s="49">
        <v>17933.62</v>
      </c>
      <c r="H101" s="50" t="s">
        <v>335</v>
      </c>
      <c r="I101" s="51">
        <v>147985</v>
      </c>
      <c r="J101" s="49">
        <v>23407</v>
      </c>
      <c r="K101" s="49" t="s">
        <v>336</v>
      </c>
      <c r="L101" s="49" t="str">
        <f>IF(1.6656*17933.62=0," ",TEXT(,ROUND((1.6656*17933.62*3.93),2)))</f>
        <v>117390,03</v>
      </c>
      <c r="M101" s="49" t="s">
        <v>337</v>
      </c>
      <c r="N101" s="49" t="s">
        <v>338</v>
      </c>
      <c r="O101" s="52"/>
      <c r="P101" s="52"/>
      <c r="Q101" s="52"/>
      <c r="R101" s="52"/>
      <c r="S101" s="52"/>
      <c r="T101" s="53"/>
      <c r="U101" s="53"/>
      <c r="V101" s="53"/>
      <c r="W101" s="53"/>
      <c r="X101" s="53"/>
      <c r="Y101" s="53"/>
      <c r="Z101" s="53"/>
      <c r="AA101" s="53" t="s">
        <v>79</v>
      </c>
      <c r="AB101" s="53" t="s">
        <v>80</v>
      </c>
      <c r="AC101" s="53">
        <v>22452</v>
      </c>
      <c r="AD101" s="53">
        <v>10738</v>
      </c>
      <c r="AE101" s="63" t="s">
        <v>145</v>
      </c>
      <c r="AF101" s="53" t="s">
        <v>339</v>
      </c>
      <c r="AG101" s="53" t="s">
        <v>340</v>
      </c>
      <c r="AH101" s="53"/>
      <c r="AI101" s="53">
        <f>23407+997</f>
        <v>24404</v>
      </c>
    </row>
    <row r="102" spans="1:35" ht="52.8" x14ac:dyDescent="0.25">
      <c r="A102" s="46">
        <v>67</v>
      </c>
      <c r="B102" s="47" t="s">
        <v>341</v>
      </c>
      <c r="C102" s="48" t="str">
        <f t="shared" ca="1" si="2"/>
        <v xml:space="preserve">Толь с крупнозернистой посыпкой марки ТВК-350
м2
</v>
      </c>
      <c r="D102" s="46">
        <v>-33.479999999999997</v>
      </c>
      <c r="E102" s="49">
        <v>6.22</v>
      </c>
      <c r="F102" s="49"/>
      <c r="G102" s="49">
        <v>6.22</v>
      </c>
      <c r="H102" s="50" t="s">
        <v>342</v>
      </c>
      <c r="I102" s="51">
        <v>-611</v>
      </c>
      <c r="J102" s="49"/>
      <c r="K102" s="49"/>
      <c r="L102" s="49" t="str">
        <f>IF(-33.48*6.22=0," ",TEXT(,ROUND((-33.48*6.22*2.938),2)))</f>
        <v>-611,83</v>
      </c>
      <c r="M102" s="49"/>
      <c r="N102" s="49"/>
      <c r="O102" s="52"/>
      <c r="P102" s="52"/>
      <c r="Q102" s="52"/>
      <c r="R102" s="52"/>
      <c r="S102" s="52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 t="s">
        <v>343</v>
      </c>
      <c r="AG102" s="53" t="s">
        <v>134</v>
      </c>
      <c r="AH102" s="53"/>
      <c r="AI102" s="53">
        <f>0+0</f>
        <v>0</v>
      </c>
    </row>
    <row r="103" spans="1:35" ht="79.2" x14ac:dyDescent="0.25">
      <c r="A103" s="46">
        <v>68</v>
      </c>
      <c r="B103" s="47" t="s">
        <v>344</v>
      </c>
      <c r="C103" s="48" t="str">
        <f t="shared" ca="1" si="2"/>
        <v xml:space="preserve">Доски обрезные хвойных пород длиной: 2-3,75 м, шириной 75-150 мм, толщиной 44 мм и более, III сорта
м3
</v>
      </c>
      <c r="D103" s="46">
        <v>-7.4119999999999999</v>
      </c>
      <c r="E103" s="49">
        <v>968</v>
      </c>
      <c r="F103" s="49"/>
      <c r="G103" s="49">
        <v>968</v>
      </c>
      <c r="H103" s="50" t="s">
        <v>345</v>
      </c>
      <c r="I103" s="51">
        <v>-40044</v>
      </c>
      <c r="J103" s="49"/>
      <c r="K103" s="49"/>
      <c r="L103" s="49" t="str">
        <f>IF(-7.412*968=0," ",TEXT(,ROUND((-7.412*968*5.581),2)))</f>
        <v>-40042,65</v>
      </c>
      <c r="M103" s="49"/>
      <c r="N103" s="49"/>
      <c r="O103" s="52"/>
      <c r="P103" s="52"/>
      <c r="Q103" s="52"/>
      <c r="R103" s="52"/>
      <c r="S103" s="52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 t="s">
        <v>346</v>
      </c>
      <c r="AG103" s="53" t="s">
        <v>167</v>
      </c>
      <c r="AH103" s="53"/>
      <c r="AI103" s="53">
        <f>0+0</f>
        <v>0</v>
      </c>
    </row>
    <row r="104" spans="1:35" ht="79.2" x14ac:dyDescent="0.25">
      <c r="A104" s="46">
        <v>69</v>
      </c>
      <c r="B104" s="47" t="s">
        <v>202</v>
      </c>
      <c r="C104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104" s="46">
        <v>8.423</v>
      </c>
      <c r="E104" s="49">
        <v>1320</v>
      </c>
      <c r="F104" s="49"/>
      <c r="G104" s="49">
        <v>1320</v>
      </c>
      <c r="H104" s="50" t="s">
        <v>203</v>
      </c>
      <c r="I104" s="51">
        <v>46240</v>
      </c>
      <c r="J104" s="49"/>
      <c r="K104" s="49"/>
      <c r="L104" s="49" t="str">
        <f>IF(8.423*1320=0," ",TEXT(,ROUND((8.423*1320*4.159),2)))</f>
        <v>46241,26</v>
      </c>
      <c r="M104" s="49"/>
      <c r="N104" s="49"/>
      <c r="O104" s="52"/>
      <c r="P104" s="52"/>
      <c r="Q104" s="52"/>
      <c r="R104" s="52"/>
      <c r="S104" s="5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 t="s">
        <v>204</v>
      </c>
      <c r="AG104" s="53" t="s">
        <v>167</v>
      </c>
      <c r="AH104" s="53"/>
      <c r="AI104" s="53">
        <f>0+0</f>
        <v>0</v>
      </c>
    </row>
    <row r="105" spans="1:35" ht="66" x14ac:dyDescent="0.25">
      <c r="A105" s="46">
        <v>70</v>
      </c>
      <c r="B105" s="47" t="s">
        <v>347</v>
      </c>
      <c r="C105" s="48" t="str">
        <f t="shared" ca="1" si="2"/>
        <v xml:space="preserve">Сталь листовая оцинкованная толщиной листа: 0,7 мм
т
</v>
      </c>
      <c r="D105" s="46">
        <v>-1.849</v>
      </c>
      <c r="E105" s="49">
        <v>11200</v>
      </c>
      <c r="F105" s="49"/>
      <c r="G105" s="49">
        <v>11200</v>
      </c>
      <c r="H105" s="50" t="s">
        <v>348</v>
      </c>
      <c r="I105" s="51">
        <v>-71943</v>
      </c>
      <c r="J105" s="49"/>
      <c r="K105" s="49"/>
      <c r="L105" s="49" t="str">
        <f>IF(-1.849*11200=0," ",TEXT(,ROUND((-1.849*11200*3.474),2)))</f>
        <v>-71942,37</v>
      </c>
      <c r="M105" s="49"/>
      <c r="N105" s="49"/>
      <c r="O105" s="52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 t="s">
        <v>349</v>
      </c>
      <c r="AG105" s="53" t="s">
        <v>157</v>
      </c>
      <c r="AH105" s="53"/>
      <c r="AI105" s="53">
        <f>0+0</f>
        <v>0</v>
      </c>
    </row>
    <row r="106" spans="1:35" ht="66" x14ac:dyDescent="0.25">
      <c r="A106" s="46">
        <v>71</v>
      </c>
      <c r="B106" s="47" t="s">
        <v>323</v>
      </c>
      <c r="C106" s="48" t="str">
        <f t="shared" ca="1" si="2"/>
        <v xml:space="preserve">Сталь листовая оцинкованная толщиной листа: 0,55 мм
т
</v>
      </c>
      <c r="D106" s="46">
        <v>1.452</v>
      </c>
      <c r="E106" s="49">
        <v>10484</v>
      </c>
      <c r="F106" s="49"/>
      <c r="G106" s="49">
        <v>10484</v>
      </c>
      <c r="H106" s="50" t="s">
        <v>324</v>
      </c>
      <c r="I106" s="51">
        <v>60785</v>
      </c>
      <c r="J106" s="49"/>
      <c r="K106" s="49"/>
      <c r="L106" s="49" t="str">
        <f>IF(1.452*10484=0," ",TEXT(,ROUND((1.452*10484*3.993),2)))</f>
        <v>60784,51</v>
      </c>
      <c r="M106" s="49"/>
      <c r="N106" s="49"/>
      <c r="O106" s="52"/>
      <c r="P106" s="52"/>
      <c r="Q106" s="52"/>
      <c r="R106" s="52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 t="s">
        <v>325</v>
      </c>
      <c r="AG106" s="53" t="s">
        <v>157</v>
      </c>
      <c r="AH106" s="53"/>
      <c r="AI106" s="53">
        <f>0+0</f>
        <v>0</v>
      </c>
    </row>
    <row r="107" spans="1:35" ht="184.8" x14ac:dyDescent="0.25">
      <c r="A107" s="46">
        <v>72</v>
      </c>
      <c r="B107" s="47" t="s">
        <v>350</v>
      </c>
      <c r="C107" s="48" t="str">
        <f t="shared" ref="C107:C128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Ограждение кровель перилами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1819 руб. НР 92%=120%*(0,85*0,9) от ФОТ (1977 руб.)
870 руб.СП 44%=65%*(0,8*0,85) от ФОТ (1977 руб.)
</v>
      </c>
      <c r="D107" s="46">
        <v>1.61</v>
      </c>
      <c r="E107" s="49" t="s">
        <v>351</v>
      </c>
      <c r="F107" s="49" t="s">
        <v>352</v>
      </c>
      <c r="G107" s="49">
        <v>3032.91</v>
      </c>
      <c r="H107" s="50" t="s">
        <v>75</v>
      </c>
      <c r="I107" s="51">
        <v>39635</v>
      </c>
      <c r="J107" s="49">
        <v>1842</v>
      </c>
      <c r="K107" s="49" t="s">
        <v>353</v>
      </c>
      <c r="L107" s="49" t="str">
        <f>IF(1.61*3032.91=0," ",TEXT(,ROUND((1.61*3032.91*7.51),2)))</f>
        <v>36671,22</v>
      </c>
      <c r="M107" s="49" t="s">
        <v>354</v>
      </c>
      <c r="N107" s="49" t="s">
        <v>355</v>
      </c>
      <c r="O107" s="52"/>
      <c r="P107" s="52"/>
      <c r="Q107" s="52"/>
      <c r="R107" s="52"/>
      <c r="S107" s="52"/>
      <c r="T107" s="53"/>
      <c r="U107" s="53"/>
      <c r="V107" s="53"/>
      <c r="W107" s="53"/>
      <c r="X107" s="53"/>
      <c r="Y107" s="53"/>
      <c r="Z107" s="53"/>
      <c r="AA107" s="53" t="s">
        <v>79</v>
      </c>
      <c r="AB107" s="53" t="s">
        <v>80</v>
      </c>
      <c r="AC107" s="53">
        <v>1819</v>
      </c>
      <c r="AD107" s="53">
        <v>870</v>
      </c>
      <c r="AE107" s="63" t="s">
        <v>145</v>
      </c>
      <c r="AF107" s="53" t="s">
        <v>356</v>
      </c>
      <c r="AG107" s="53" t="s">
        <v>83</v>
      </c>
      <c r="AH107" s="53"/>
      <c r="AI107" s="53">
        <f>1842+135</f>
        <v>1977</v>
      </c>
    </row>
    <row r="108" spans="1:35" ht="105.6" x14ac:dyDescent="0.25">
      <c r="A108" s="46">
        <v>73</v>
      </c>
      <c r="B108" s="47" t="s">
        <v>357</v>
      </c>
      <c r="C108" s="48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8" s="46">
        <v>0.89959999999999996</v>
      </c>
      <c r="E108" s="49">
        <v>10045</v>
      </c>
      <c r="F108" s="49"/>
      <c r="G108" s="49">
        <v>10045</v>
      </c>
      <c r="H108" s="50" t="s">
        <v>358</v>
      </c>
      <c r="I108" s="51">
        <v>68077</v>
      </c>
      <c r="J108" s="49"/>
      <c r="K108" s="49"/>
      <c r="L108" s="49" t="str">
        <f>IF(0.8996*10045=0," ",TEXT(,ROUND((0.8996*10045*7.534),2)))</f>
        <v>68080,86</v>
      </c>
      <c r="M108" s="49"/>
      <c r="N108" s="49"/>
      <c r="O108" s="52"/>
      <c r="P108" s="52"/>
      <c r="Q108" s="52"/>
      <c r="R108" s="52"/>
      <c r="S108" s="52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 t="s">
        <v>359</v>
      </c>
      <c r="AG108" s="53" t="s">
        <v>157</v>
      </c>
      <c r="AH108" s="53"/>
      <c r="AI108" s="53">
        <f>0+0</f>
        <v>0</v>
      </c>
    </row>
    <row r="109" spans="1:35" ht="184.8" x14ac:dyDescent="0.25">
      <c r="A109" s="46">
        <v>74</v>
      </c>
      <c r="B109" s="47" t="s">
        <v>350</v>
      </c>
      <c r="C109" s="48" t="str">
        <f t="shared" ca="1" si="3"/>
        <v xml:space="preserve">Снегозадержатели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1772 руб. НР 92%=120%*(0,85*0,9) от ФОТ (1926 руб.)
847 руб.СП 44%=65%*(0,8*0,85) от ФОТ (1926 руб.)
</v>
      </c>
      <c r="D109" s="46">
        <v>1.56</v>
      </c>
      <c r="E109" s="49" t="s">
        <v>351</v>
      </c>
      <c r="F109" s="49" t="s">
        <v>352</v>
      </c>
      <c r="G109" s="49">
        <v>3032.91</v>
      </c>
      <c r="H109" s="50" t="s">
        <v>75</v>
      </c>
      <c r="I109" s="51">
        <v>38413</v>
      </c>
      <c r="J109" s="49">
        <v>1791</v>
      </c>
      <c r="K109" s="49" t="s">
        <v>360</v>
      </c>
      <c r="L109" s="49" t="str">
        <f>IF(1.56*3032.91=0," ",TEXT(,ROUND((1.56*3032.91*7.51),2)))</f>
        <v>35532,36</v>
      </c>
      <c r="M109" s="49" t="s">
        <v>354</v>
      </c>
      <c r="N109" s="49" t="s">
        <v>361</v>
      </c>
      <c r="O109" s="52"/>
      <c r="P109" s="52"/>
      <c r="Q109" s="52"/>
      <c r="R109" s="52"/>
      <c r="S109" s="52"/>
      <c r="T109" s="53"/>
      <c r="U109" s="53"/>
      <c r="V109" s="53"/>
      <c r="W109" s="53"/>
      <c r="X109" s="53"/>
      <c r="Y109" s="53"/>
      <c r="Z109" s="53"/>
      <c r="AA109" s="53" t="s">
        <v>79</v>
      </c>
      <c r="AB109" s="53" t="s">
        <v>80</v>
      </c>
      <c r="AC109" s="53">
        <v>1772</v>
      </c>
      <c r="AD109" s="53">
        <v>847</v>
      </c>
      <c r="AE109" s="63" t="s">
        <v>145</v>
      </c>
      <c r="AF109" s="53" t="s">
        <v>362</v>
      </c>
      <c r="AG109" s="53" t="s">
        <v>83</v>
      </c>
      <c r="AH109" s="53"/>
      <c r="AI109" s="53">
        <f>1791+135</f>
        <v>1926</v>
      </c>
    </row>
    <row r="110" spans="1:35" ht="105.6" x14ac:dyDescent="0.25">
      <c r="A110" s="46">
        <v>75</v>
      </c>
      <c r="B110" s="47" t="s">
        <v>357</v>
      </c>
      <c r="C110" s="48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0" s="46">
        <v>-0.46800000000000003</v>
      </c>
      <c r="E110" s="49">
        <v>10045</v>
      </c>
      <c r="F110" s="49"/>
      <c r="G110" s="49">
        <v>10045</v>
      </c>
      <c r="H110" s="50" t="s">
        <v>358</v>
      </c>
      <c r="I110" s="51">
        <v>-35417</v>
      </c>
      <c r="J110" s="49"/>
      <c r="K110" s="49"/>
      <c r="L110" s="49" t="str">
        <f>IF(-0.468*10045=0," ",TEXT(,ROUND((-0.468*10045*7.534),2)))</f>
        <v>-35417,79</v>
      </c>
      <c r="M110" s="49"/>
      <c r="N110" s="49"/>
      <c r="O110" s="52"/>
      <c r="P110" s="52"/>
      <c r="Q110" s="52"/>
      <c r="R110" s="52"/>
      <c r="S110" s="52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363</v>
      </c>
      <c r="AG110" s="53" t="s">
        <v>157</v>
      </c>
      <c r="AH110" s="53"/>
      <c r="AI110" s="53">
        <f>0+0</f>
        <v>0</v>
      </c>
    </row>
    <row r="111" spans="1:35" ht="66" x14ac:dyDescent="0.25">
      <c r="A111" s="46">
        <v>76</v>
      </c>
      <c r="B111" s="47" t="s">
        <v>364</v>
      </c>
      <c r="C111" s="48" t="str">
        <f t="shared" ca="1" si="3"/>
        <v xml:space="preserve">Снегозадержатель длиной 3000 мм 1800/1,18/3/5,56=91,45
м
</v>
      </c>
      <c r="D111" s="46">
        <v>156</v>
      </c>
      <c r="E111" s="49">
        <v>91.45</v>
      </c>
      <c r="F111" s="49"/>
      <c r="G111" s="49">
        <v>91.45</v>
      </c>
      <c r="H111" s="50" t="s">
        <v>136</v>
      </c>
      <c r="I111" s="51">
        <v>79319</v>
      </c>
      <c r="J111" s="49"/>
      <c r="K111" s="49"/>
      <c r="L111" s="49" t="str">
        <f>IF(156*91.45=0," ",TEXT(,ROUND((156*91.45*5.56),2)))</f>
        <v>79320,07</v>
      </c>
      <c r="M111" s="49"/>
      <c r="N111" s="49"/>
      <c r="O111" s="52"/>
      <c r="P111" s="52"/>
      <c r="Q111" s="52"/>
      <c r="R111" s="52"/>
      <c r="S111" s="52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 t="s">
        <v>365</v>
      </c>
      <c r="AG111" s="53" t="s">
        <v>366</v>
      </c>
      <c r="AH111" s="53"/>
      <c r="AI111" s="53">
        <f>0+0</f>
        <v>0</v>
      </c>
    </row>
    <row r="112" spans="1:35" ht="184.8" x14ac:dyDescent="0.25">
      <c r="A112" s="46">
        <v>77</v>
      </c>
      <c r="B112" s="47" t="s">
        <v>350</v>
      </c>
      <c r="C112" s="48" t="str">
        <f t="shared" ca="1" si="3"/>
        <v xml:space="preserve">Страховочный трос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653 руб. НР 92%=120%*(0,85*0,9) от ФОТ (710 руб.)
312 руб.СП 44%=65%*(0,8*0,85) от ФОТ (710 руб.)
</v>
      </c>
      <c r="D112" s="46">
        <v>0.56999999999999995</v>
      </c>
      <c r="E112" s="49" t="s">
        <v>351</v>
      </c>
      <c r="F112" s="49" t="s">
        <v>352</v>
      </c>
      <c r="G112" s="49">
        <v>3032.91</v>
      </c>
      <c r="H112" s="50" t="s">
        <v>75</v>
      </c>
      <c r="I112" s="51">
        <v>14047</v>
      </c>
      <c r="J112" s="49">
        <v>659</v>
      </c>
      <c r="K112" s="49" t="s">
        <v>367</v>
      </c>
      <c r="L112" s="49" t="str">
        <f>IF(0.57*3032.91=0," ",TEXT(,ROUND((0.57*3032.91*7.51),2)))</f>
        <v>12982,98</v>
      </c>
      <c r="M112" s="49" t="s">
        <v>354</v>
      </c>
      <c r="N112" s="49" t="s">
        <v>368</v>
      </c>
      <c r="O112" s="52"/>
      <c r="P112" s="52"/>
      <c r="Q112" s="52"/>
      <c r="R112" s="52"/>
      <c r="S112" s="52"/>
      <c r="T112" s="53"/>
      <c r="U112" s="53"/>
      <c r="V112" s="53"/>
      <c r="W112" s="53"/>
      <c r="X112" s="53"/>
      <c r="Y112" s="53"/>
      <c r="Z112" s="53"/>
      <c r="AA112" s="53" t="s">
        <v>79</v>
      </c>
      <c r="AB112" s="53" t="s">
        <v>80</v>
      </c>
      <c r="AC112" s="53">
        <v>653</v>
      </c>
      <c r="AD112" s="53">
        <v>312</v>
      </c>
      <c r="AE112" s="63" t="s">
        <v>145</v>
      </c>
      <c r="AF112" s="53" t="s">
        <v>369</v>
      </c>
      <c r="AG112" s="53" t="s">
        <v>83</v>
      </c>
      <c r="AH112" s="53"/>
      <c r="AI112" s="53">
        <f>659+51</f>
        <v>710</v>
      </c>
    </row>
    <row r="113" spans="1:35" ht="105.6" x14ac:dyDescent="0.25">
      <c r="A113" s="46">
        <v>78</v>
      </c>
      <c r="B113" s="47" t="s">
        <v>357</v>
      </c>
      <c r="C113" s="48" t="str">
        <f t="shared" ca="1" si="3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13" s="46">
        <v>-0.17100000000000001</v>
      </c>
      <c r="E113" s="49">
        <v>10045</v>
      </c>
      <c r="F113" s="49"/>
      <c r="G113" s="49">
        <v>10045</v>
      </c>
      <c r="H113" s="50" t="s">
        <v>358</v>
      </c>
      <c r="I113" s="51">
        <v>-12943</v>
      </c>
      <c r="J113" s="49"/>
      <c r="K113" s="49"/>
      <c r="L113" s="49" t="str">
        <f>IF(-0.171*10045=0," ",TEXT(,ROUND((-0.171*10045*7.534),2)))</f>
        <v>-12941,11</v>
      </c>
      <c r="M113" s="49"/>
      <c r="N113" s="49"/>
      <c r="O113" s="52"/>
      <c r="P113" s="52"/>
      <c r="Q113" s="52"/>
      <c r="R113" s="52"/>
      <c r="S113" s="52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 t="s">
        <v>370</v>
      </c>
      <c r="AG113" s="53" t="s">
        <v>157</v>
      </c>
      <c r="AH113" s="53"/>
      <c r="AI113" s="53">
        <f>0+0</f>
        <v>0</v>
      </c>
    </row>
    <row r="114" spans="1:35" ht="52.8" x14ac:dyDescent="0.25">
      <c r="A114" s="46">
        <v>79</v>
      </c>
      <c r="B114" s="47" t="s">
        <v>371</v>
      </c>
      <c r="C114" s="48" t="str">
        <f t="shared" ca="1" si="3"/>
        <v xml:space="preserve">Трос стальной
м
</v>
      </c>
      <c r="D114" s="46">
        <v>57</v>
      </c>
      <c r="E114" s="49">
        <v>12.03</v>
      </c>
      <c r="F114" s="49"/>
      <c r="G114" s="49">
        <v>12.03</v>
      </c>
      <c r="H114" s="50" t="s">
        <v>372</v>
      </c>
      <c r="I114" s="51">
        <v>4746</v>
      </c>
      <c r="J114" s="49"/>
      <c r="K114" s="49"/>
      <c r="L114" s="49" t="str">
        <f>IF(57*12.03=0," ",TEXT(,ROUND((57*12.03*6.919),2)))</f>
        <v>4744,43</v>
      </c>
      <c r="M114" s="49"/>
      <c r="N114" s="49"/>
      <c r="O114" s="52"/>
      <c r="P114" s="52"/>
      <c r="Q114" s="52"/>
      <c r="R114" s="52"/>
      <c r="S114" s="52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 t="s">
        <v>373</v>
      </c>
      <c r="AG114" s="53" t="s">
        <v>366</v>
      </c>
      <c r="AH114" s="53"/>
      <c r="AI114" s="53">
        <f>0+0</f>
        <v>0</v>
      </c>
    </row>
    <row r="115" spans="1:35" ht="79.2" x14ac:dyDescent="0.25">
      <c r="A115" s="46">
        <v>80</v>
      </c>
      <c r="B115" s="47" t="s">
        <v>374</v>
      </c>
      <c r="C115" s="48" t="str">
        <f t="shared" ca="1" si="3"/>
        <v xml:space="preserve">Анкерные детали из прямых или гнутых круглых стержней с резьбой (в комплекте с шайбами и гайками или без них): поставляемые отдельно
т
</v>
      </c>
      <c r="D115" s="46" t="s">
        <v>375</v>
      </c>
      <c r="E115" s="49">
        <v>10100</v>
      </c>
      <c r="F115" s="49"/>
      <c r="G115" s="49">
        <v>10100</v>
      </c>
      <c r="H115" s="50" t="s">
        <v>376</v>
      </c>
      <c r="I115" s="51">
        <v>89</v>
      </c>
      <c r="J115" s="49"/>
      <c r="K115" s="49"/>
      <c r="L115" s="49" t="str">
        <f>IF(0.0018*10100=0," ",TEXT(,ROUND((0.0018*10100*4.94),2)))</f>
        <v>89,81</v>
      </c>
      <c r="M115" s="49"/>
      <c r="N115" s="49"/>
      <c r="O115" s="52"/>
      <c r="P115" s="52"/>
      <c r="Q115" s="52"/>
      <c r="R115" s="52"/>
      <c r="S115" s="52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 t="s">
        <v>377</v>
      </c>
      <c r="AG115" s="53" t="s">
        <v>157</v>
      </c>
      <c r="AH115" s="53"/>
      <c r="AI115" s="53">
        <f>0+0</f>
        <v>0</v>
      </c>
    </row>
    <row r="116" spans="1:35" ht="184.8" x14ac:dyDescent="0.25">
      <c r="A116" s="46">
        <v>81</v>
      </c>
      <c r="B116" s="47" t="s">
        <v>350</v>
      </c>
      <c r="C116" s="48" t="str">
        <f t="shared" ca="1" si="3"/>
        <v xml:space="preserve">Устройство переходных лестниц  на кровле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342 руб. НР 92%=120%*(0,85*0,9) от ФОТ (372 руб.)
164 руб.СП 44%=65%*(0,8*0,85) от ФОТ (372 руб.)
</v>
      </c>
      <c r="D116" s="46">
        <v>0.29759999999999998</v>
      </c>
      <c r="E116" s="49" t="s">
        <v>351</v>
      </c>
      <c r="F116" s="49" t="s">
        <v>352</v>
      </c>
      <c r="G116" s="49">
        <v>3032.91</v>
      </c>
      <c r="H116" s="50" t="s">
        <v>75</v>
      </c>
      <c r="I116" s="51">
        <v>7339</v>
      </c>
      <c r="J116" s="49">
        <v>355</v>
      </c>
      <c r="K116" s="49" t="s">
        <v>378</v>
      </c>
      <c r="L116" s="49" t="str">
        <f>IF(0.2976*3032.91=0," ",TEXT(,ROUND((0.2976*3032.91*7.51),2)))</f>
        <v>6778,48</v>
      </c>
      <c r="M116" s="49" t="s">
        <v>354</v>
      </c>
      <c r="N116" s="49" t="s">
        <v>379</v>
      </c>
      <c r="O116" s="52"/>
      <c r="P116" s="52"/>
      <c r="Q116" s="52"/>
      <c r="R116" s="52"/>
      <c r="S116" s="52"/>
      <c r="T116" s="53"/>
      <c r="U116" s="53"/>
      <c r="V116" s="53"/>
      <c r="W116" s="53"/>
      <c r="X116" s="53"/>
      <c r="Y116" s="53"/>
      <c r="Z116" s="53"/>
      <c r="AA116" s="53" t="s">
        <v>79</v>
      </c>
      <c r="AB116" s="53" t="s">
        <v>80</v>
      </c>
      <c r="AC116" s="53">
        <v>342</v>
      </c>
      <c r="AD116" s="53">
        <v>164</v>
      </c>
      <c r="AE116" s="63" t="s">
        <v>145</v>
      </c>
      <c r="AF116" s="53" t="s">
        <v>380</v>
      </c>
      <c r="AG116" s="53" t="s">
        <v>83</v>
      </c>
      <c r="AH116" s="53"/>
      <c r="AI116" s="53">
        <f>355+17</f>
        <v>372</v>
      </c>
    </row>
    <row r="117" spans="1:35" ht="105.6" x14ac:dyDescent="0.25">
      <c r="A117" s="46">
        <v>82</v>
      </c>
      <c r="B117" s="47" t="s">
        <v>357</v>
      </c>
      <c r="C117" s="48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7" s="46">
        <v>-8.9300000000000004E-2</v>
      </c>
      <c r="E117" s="49">
        <v>10045</v>
      </c>
      <c r="F117" s="49"/>
      <c r="G117" s="49">
        <v>10045</v>
      </c>
      <c r="H117" s="50" t="s">
        <v>358</v>
      </c>
      <c r="I117" s="51">
        <v>-6758</v>
      </c>
      <c r="J117" s="49"/>
      <c r="K117" s="49"/>
      <c r="L117" s="49" t="str">
        <f>IF(-0.0893*10045=0," ",TEXT(,ROUND((-0.0893*10045*7.534),2)))</f>
        <v>-6758,14</v>
      </c>
      <c r="M117" s="49"/>
      <c r="N117" s="49"/>
      <c r="O117" s="52"/>
      <c r="P117" s="52"/>
      <c r="Q117" s="52"/>
      <c r="R117" s="52"/>
      <c r="S117" s="52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 t="s">
        <v>363</v>
      </c>
      <c r="AG117" s="53" t="s">
        <v>157</v>
      </c>
      <c r="AH117" s="53"/>
      <c r="AI117" s="53">
        <f>0+0</f>
        <v>0</v>
      </c>
    </row>
    <row r="118" spans="1:35" ht="66" x14ac:dyDescent="0.25">
      <c r="A118" s="46">
        <v>83</v>
      </c>
      <c r="B118" s="47" t="s">
        <v>364</v>
      </c>
      <c r="C118" s="48" t="str">
        <f t="shared" ca="1" si="3"/>
        <v xml:space="preserve">Лестница кровельная длиной 1860 мм 2200/1,18/5,56=335,32
шт
</v>
      </c>
      <c r="D118" s="46">
        <v>16</v>
      </c>
      <c r="E118" s="49">
        <v>335.32</v>
      </c>
      <c r="F118" s="49"/>
      <c r="G118" s="49">
        <v>335.32</v>
      </c>
      <c r="H118" s="50" t="s">
        <v>136</v>
      </c>
      <c r="I118" s="51">
        <v>29829</v>
      </c>
      <c r="J118" s="49"/>
      <c r="K118" s="49"/>
      <c r="L118" s="49" t="str">
        <f>IF(16*335.32=0," ",TEXT(,ROUND((16*335.32*5.56),2)))</f>
        <v>29830,07</v>
      </c>
      <c r="M118" s="49"/>
      <c r="N118" s="49"/>
      <c r="O118" s="52"/>
      <c r="P118" s="52"/>
      <c r="Q118" s="52"/>
      <c r="R118" s="52"/>
      <c r="S118" s="52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 t="s">
        <v>381</v>
      </c>
      <c r="AG118" s="53" t="s">
        <v>382</v>
      </c>
      <c r="AH118" s="53"/>
      <c r="AI118" s="53">
        <f>0+0</f>
        <v>0</v>
      </c>
    </row>
    <row r="119" spans="1:35" ht="184.8" x14ac:dyDescent="0.25">
      <c r="A119" s="46">
        <v>84</v>
      </c>
      <c r="B119" s="47" t="s">
        <v>350</v>
      </c>
      <c r="C119" s="48" t="str">
        <f t="shared" ca="1" si="3"/>
        <v xml:space="preserve">Устройство переходных мостиков  на кровле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109 руб. НР 92%=120%*(0,85*0,9) от ФОТ (118 руб.)
52 руб.СП 44%=65%*(0,8*0,85) от ФОТ (118 руб.)
</v>
      </c>
      <c r="D119" s="46" t="s">
        <v>383</v>
      </c>
      <c r="E119" s="49" t="s">
        <v>351</v>
      </c>
      <c r="F119" s="49" t="s">
        <v>352</v>
      </c>
      <c r="G119" s="49">
        <v>3032.91</v>
      </c>
      <c r="H119" s="50" t="s">
        <v>75</v>
      </c>
      <c r="I119" s="51">
        <v>2475</v>
      </c>
      <c r="J119" s="49">
        <v>118</v>
      </c>
      <c r="K119" s="49">
        <v>81</v>
      </c>
      <c r="L119" s="49" t="str">
        <f>IF(0.1*3032.91=0," ",TEXT(,ROUND((0.1*3032.91*7.51),2)))</f>
        <v>2277,72</v>
      </c>
      <c r="M119" s="49" t="s">
        <v>354</v>
      </c>
      <c r="N119" s="49" t="s">
        <v>384</v>
      </c>
      <c r="O119" s="52"/>
      <c r="P119" s="52"/>
      <c r="Q119" s="52"/>
      <c r="R119" s="52"/>
      <c r="S119" s="52"/>
      <c r="T119" s="53"/>
      <c r="U119" s="53"/>
      <c r="V119" s="53"/>
      <c r="W119" s="53"/>
      <c r="X119" s="53"/>
      <c r="Y119" s="53"/>
      <c r="Z119" s="53"/>
      <c r="AA119" s="53" t="s">
        <v>79</v>
      </c>
      <c r="AB119" s="53" t="s">
        <v>80</v>
      </c>
      <c r="AC119" s="53">
        <v>109</v>
      </c>
      <c r="AD119" s="53">
        <v>52</v>
      </c>
      <c r="AE119" s="63" t="s">
        <v>145</v>
      </c>
      <c r="AF119" s="53" t="s">
        <v>385</v>
      </c>
      <c r="AG119" s="53" t="s">
        <v>83</v>
      </c>
      <c r="AH119" s="53"/>
      <c r="AI119" s="53">
        <f>118+0</f>
        <v>118</v>
      </c>
    </row>
    <row r="120" spans="1:35" ht="105.6" x14ac:dyDescent="0.25">
      <c r="A120" s="46">
        <v>85</v>
      </c>
      <c r="B120" s="47" t="s">
        <v>357</v>
      </c>
      <c r="C120" s="48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20" s="46">
        <v>-0.03</v>
      </c>
      <c r="E120" s="49">
        <v>10045</v>
      </c>
      <c r="F120" s="49"/>
      <c r="G120" s="49">
        <v>10045</v>
      </c>
      <c r="H120" s="50" t="s">
        <v>358</v>
      </c>
      <c r="I120" s="51">
        <v>-2268</v>
      </c>
      <c r="J120" s="49"/>
      <c r="K120" s="49"/>
      <c r="L120" s="49" t="str">
        <f>IF(-0.03*10045=0," ",TEXT(,ROUND((-0.03*10045*7.534),2)))</f>
        <v>-2270,37</v>
      </c>
      <c r="M120" s="49"/>
      <c r="N120" s="49"/>
      <c r="O120" s="52"/>
      <c r="P120" s="52"/>
      <c r="Q120" s="52"/>
      <c r="R120" s="52"/>
      <c r="S120" s="52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 t="s">
        <v>363</v>
      </c>
      <c r="AG120" s="53" t="s">
        <v>157</v>
      </c>
      <c r="AH120" s="53"/>
      <c r="AI120" s="53">
        <f>0+0</f>
        <v>0</v>
      </c>
    </row>
    <row r="121" spans="1:35" ht="66" x14ac:dyDescent="0.25">
      <c r="A121" s="46">
        <v>86</v>
      </c>
      <c r="B121" s="47" t="s">
        <v>386</v>
      </c>
      <c r="C121" s="48" t="str">
        <f t="shared" ca="1" si="3"/>
        <v xml:space="preserve">Переходный мостик 1250 мм 2250/1,18/5,56=342,95
шт
</v>
      </c>
      <c r="D121" s="46">
        <v>8</v>
      </c>
      <c r="E121" s="49">
        <v>342.95</v>
      </c>
      <c r="F121" s="49"/>
      <c r="G121" s="49">
        <v>342.95</v>
      </c>
      <c r="H121" s="50" t="s">
        <v>136</v>
      </c>
      <c r="I121" s="51">
        <v>15257</v>
      </c>
      <c r="J121" s="49"/>
      <c r="K121" s="49"/>
      <c r="L121" s="49" t="str">
        <f>IF(8*342.95=0," ",TEXT(,ROUND((8*342.95*5.56),2)))</f>
        <v>15254,42</v>
      </c>
      <c r="M121" s="49"/>
      <c r="N121" s="49"/>
      <c r="O121" s="52"/>
      <c r="P121" s="52"/>
      <c r="Q121" s="52"/>
      <c r="R121" s="52"/>
      <c r="S121" s="52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 t="s">
        <v>387</v>
      </c>
      <c r="AG121" s="53" t="s">
        <v>382</v>
      </c>
      <c r="AH121" s="53"/>
      <c r="AI121" s="53">
        <f>0+0</f>
        <v>0</v>
      </c>
    </row>
    <row r="122" spans="1:35" ht="105.6" x14ac:dyDescent="0.25">
      <c r="A122" s="46">
        <v>87</v>
      </c>
      <c r="B122" s="47" t="s">
        <v>388</v>
      </c>
      <c r="C122" s="48" t="str">
        <f t="shared" ca="1" si="3"/>
        <v xml:space="preserve">Перенавеска водосточных труб: с земли, лестниц или подмостей
100 м труб
7331 руб. НР 71%=83%*0,85 от ФОТ (10326 руб.)
5370 руб.СП 52%=65%*0,8 от ФОТ (10326 руб.)
</v>
      </c>
      <c r="D122" s="46">
        <v>1.17</v>
      </c>
      <c r="E122" s="49" t="s">
        <v>389</v>
      </c>
      <c r="F122" s="49"/>
      <c r="G122" s="49">
        <v>8.02</v>
      </c>
      <c r="H122" s="50" t="s">
        <v>390</v>
      </c>
      <c r="I122" s="51">
        <v>10357</v>
      </c>
      <c r="J122" s="49">
        <v>10326</v>
      </c>
      <c r="K122" s="49"/>
      <c r="L122" s="49" t="str">
        <f>IF(1.17*8.02=0," ",TEXT(,ROUND((1.17*8.02*3.39),2)))</f>
        <v>31,81</v>
      </c>
      <c r="M122" s="49">
        <v>60.4</v>
      </c>
      <c r="N122" s="49">
        <v>70.67</v>
      </c>
      <c r="O122" s="52"/>
      <c r="P122" s="52"/>
      <c r="Q122" s="52"/>
      <c r="R122" s="52"/>
      <c r="S122" s="52"/>
      <c r="T122" s="53"/>
      <c r="U122" s="53"/>
      <c r="V122" s="53"/>
      <c r="W122" s="53"/>
      <c r="X122" s="53"/>
      <c r="Y122" s="53"/>
      <c r="Z122" s="53"/>
      <c r="AA122" s="53" t="s">
        <v>40</v>
      </c>
      <c r="AB122" s="53" t="s">
        <v>41</v>
      </c>
      <c r="AC122" s="53">
        <v>7331</v>
      </c>
      <c r="AD122" s="53">
        <v>5370</v>
      </c>
      <c r="AE122" s="53"/>
      <c r="AF122" s="53" t="s">
        <v>391</v>
      </c>
      <c r="AG122" s="53" t="s">
        <v>392</v>
      </c>
      <c r="AH122" s="53"/>
      <c r="AI122" s="53">
        <f>10326+0</f>
        <v>10326</v>
      </c>
    </row>
    <row r="123" spans="1:35" ht="79.2" x14ac:dyDescent="0.25">
      <c r="A123" s="46">
        <v>88</v>
      </c>
      <c r="B123" s="47" t="s">
        <v>393</v>
      </c>
      <c r="C123" s="48" t="str">
        <f t="shared" ca="1" si="3"/>
        <v xml:space="preserve">Звенья водосточных труб из оцинкованной стали толщиной 0,55 мм, диаметром 140 мм, марка ТВ-140
м
</v>
      </c>
      <c r="D123" s="46">
        <v>117</v>
      </c>
      <c r="E123" s="49">
        <v>56.5</v>
      </c>
      <c r="F123" s="49"/>
      <c r="G123" s="49">
        <v>56.5</v>
      </c>
      <c r="H123" s="50" t="s">
        <v>394</v>
      </c>
      <c r="I123" s="51">
        <v>17539</v>
      </c>
      <c r="J123" s="49"/>
      <c r="K123" s="49"/>
      <c r="L123" s="49" t="str">
        <f>IF(117*56.5=0," ",TEXT(,ROUND((117*56.5*2.653),2)))</f>
        <v>17537,66</v>
      </c>
      <c r="M123" s="49"/>
      <c r="N123" s="49"/>
      <c r="O123" s="52"/>
      <c r="P123" s="52"/>
      <c r="Q123" s="52"/>
      <c r="R123" s="52"/>
      <c r="S123" s="52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 t="s">
        <v>395</v>
      </c>
      <c r="AG123" s="53" t="s">
        <v>366</v>
      </c>
      <c r="AH123" s="53"/>
      <c r="AI123" s="53">
        <f>0+0</f>
        <v>0</v>
      </c>
    </row>
    <row r="124" spans="1:35" ht="66" x14ac:dyDescent="0.25">
      <c r="A124" s="46">
        <v>89</v>
      </c>
      <c r="B124" s="47" t="s">
        <v>396</v>
      </c>
      <c r="C124" s="48" t="str">
        <f t="shared" ca="1" si="3"/>
        <v xml:space="preserve">Воронка водосточная из оцинкованной стали толщиной 0,55 диаметром 215 мм
шт.
</v>
      </c>
      <c r="D124" s="46">
        <v>8</v>
      </c>
      <c r="E124" s="49">
        <v>67.8</v>
      </c>
      <c r="F124" s="49"/>
      <c r="G124" s="49">
        <v>67.8</v>
      </c>
      <c r="H124" s="50" t="s">
        <v>397</v>
      </c>
      <c r="I124" s="51">
        <v>1625</v>
      </c>
      <c r="J124" s="49"/>
      <c r="K124" s="49"/>
      <c r="L124" s="49" t="str">
        <f>IF(8*67.8=0," ",TEXT(,ROUND((8*67.8*2.999),2)))</f>
        <v>1626,66</v>
      </c>
      <c r="M124" s="49"/>
      <c r="N124" s="49"/>
      <c r="O124" s="52"/>
      <c r="P124" s="52"/>
      <c r="Q124" s="52"/>
      <c r="R124" s="52"/>
      <c r="S124" s="52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 t="s">
        <v>398</v>
      </c>
      <c r="AG124" s="53" t="s">
        <v>216</v>
      </c>
      <c r="AH124" s="53"/>
      <c r="AI124" s="53">
        <f>0+0</f>
        <v>0</v>
      </c>
    </row>
    <row r="125" spans="1:35" ht="66" x14ac:dyDescent="0.25">
      <c r="A125" s="46">
        <v>90</v>
      </c>
      <c r="B125" s="47" t="s">
        <v>399</v>
      </c>
      <c r="C125" s="48" t="str">
        <f t="shared" ca="1" si="3"/>
        <v xml:space="preserve">Колено из оцинкованной стали толщиной 0,55 мм, диаметром 140 мм, марка ТВ-140
шт.
</v>
      </c>
      <c r="D125" s="46">
        <v>16</v>
      </c>
      <c r="E125" s="49">
        <v>34.799999999999997</v>
      </c>
      <c r="F125" s="49"/>
      <c r="G125" s="49">
        <v>34.799999999999997</v>
      </c>
      <c r="H125" s="50" t="s">
        <v>400</v>
      </c>
      <c r="I125" s="51">
        <v>2236</v>
      </c>
      <c r="J125" s="49"/>
      <c r="K125" s="49"/>
      <c r="L125" s="49" t="str">
        <f>IF(16*34.8=0," ",TEXT(,ROUND((16*34.8*4.014),2)))</f>
        <v>2235</v>
      </c>
      <c r="M125" s="49"/>
      <c r="N125" s="49"/>
      <c r="O125" s="52"/>
      <c r="P125" s="52"/>
      <c r="Q125" s="52"/>
      <c r="R125" s="52"/>
      <c r="S125" s="52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 t="s">
        <v>401</v>
      </c>
      <c r="AG125" s="53" t="s">
        <v>216</v>
      </c>
      <c r="AH125" s="53"/>
      <c r="AI125" s="53">
        <f>0+0</f>
        <v>0</v>
      </c>
    </row>
    <row r="126" spans="1:35" ht="66" x14ac:dyDescent="0.25">
      <c r="A126" s="46">
        <v>91</v>
      </c>
      <c r="B126" s="47" t="s">
        <v>402</v>
      </c>
      <c r="C126" s="48" t="str">
        <f t="shared" ca="1" si="3"/>
        <v xml:space="preserve">Отливы (отметы) из оцинкованной стали толщиной 0,55 мм диаметром 140 мм
шт.
</v>
      </c>
      <c r="D126" s="46">
        <v>8</v>
      </c>
      <c r="E126" s="49">
        <v>35.9</v>
      </c>
      <c r="F126" s="49"/>
      <c r="G126" s="49">
        <v>35.9</v>
      </c>
      <c r="H126" s="50" t="s">
        <v>403</v>
      </c>
      <c r="I126" s="51">
        <v>1120</v>
      </c>
      <c r="J126" s="49"/>
      <c r="K126" s="49"/>
      <c r="L126" s="49" t="str">
        <f>IF(8*35.9=0," ",TEXT(,ROUND((8*35.9*3.901),2)))</f>
        <v>1120,37</v>
      </c>
      <c r="M126" s="49"/>
      <c r="N126" s="49"/>
      <c r="O126" s="52"/>
      <c r="P126" s="52"/>
      <c r="Q126" s="52"/>
      <c r="R126" s="52"/>
      <c r="S126" s="52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 t="s">
        <v>404</v>
      </c>
      <c r="AG126" s="53" t="s">
        <v>216</v>
      </c>
      <c r="AH126" s="53"/>
      <c r="AI126" s="53">
        <f>0+0</f>
        <v>0</v>
      </c>
    </row>
    <row r="127" spans="1:35" ht="66" x14ac:dyDescent="0.25">
      <c r="A127" s="46">
        <v>92</v>
      </c>
      <c r="B127" s="47" t="s">
        <v>405</v>
      </c>
      <c r="C127" s="48" t="str">
        <f t="shared" ca="1" si="3"/>
        <v xml:space="preserve">Поковки из квадратных заготовок, масса 1,8 кг хомуты
т
</v>
      </c>
      <c r="D127" s="46" t="s">
        <v>406</v>
      </c>
      <c r="E127" s="49">
        <v>5989</v>
      </c>
      <c r="F127" s="49"/>
      <c r="G127" s="49">
        <v>5989</v>
      </c>
      <c r="H127" s="50" t="s">
        <v>407</v>
      </c>
      <c r="I127" s="51">
        <v>4922</v>
      </c>
      <c r="J127" s="49"/>
      <c r="K127" s="49"/>
      <c r="L127" s="49" t="str">
        <f>IF(0.1926*5989=0," ",TEXT(,ROUND((0.1926*5989*4.269),2)))</f>
        <v>4924,21</v>
      </c>
      <c r="M127" s="49"/>
      <c r="N127" s="49"/>
      <c r="O127" s="52"/>
      <c r="P127" s="52"/>
      <c r="Q127" s="52"/>
      <c r="R127" s="52"/>
      <c r="S127" s="52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 t="s">
        <v>408</v>
      </c>
      <c r="AG127" s="53" t="s">
        <v>157</v>
      </c>
      <c r="AH127" s="53"/>
      <c r="AI127" s="53">
        <f>0+0</f>
        <v>0</v>
      </c>
    </row>
    <row r="128" spans="1:35" ht="224.4" x14ac:dyDescent="0.25">
      <c r="A128" s="55">
        <v>93</v>
      </c>
      <c r="B128" s="56" t="s">
        <v>409</v>
      </c>
      <c r="C128" s="57" t="str">
        <f t="shared" ca="1" si="3"/>
        <v xml:space="preserve">Окраска металлических огрунтованных поверхностей: эмалью ПФ-115
100 м2 окрашиваемой поверхности
(За 2 раза ПЗ=2 (ОЗП=2; ЭМ=2 к расх.; ЗПМ=2; МАТ=2 к расх.; ТЗ=2; ТЗМ=2)(КОЭФ.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292 руб. НР 69%=90%*(0,85*0,9) от ФОТ (423 руб.)
203 руб.СП 48%=70%*(0,8*0,85) от ФОТ (423 руб.)
</v>
      </c>
      <c r="D128" s="55">
        <v>0.313</v>
      </c>
      <c r="E128" s="58" t="s">
        <v>410</v>
      </c>
      <c r="F128" s="58" t="s">
        <v>411</v>
      </c>
      <c r="G128" s="58">
        <v>562.55999999999995</v>
      </c>
      <c r="H128" s="59" t="s">
        <v>412</v>
      </c>
      <c r="I128" s="60">
        <v>1346</v>
      </c>
      <c r="J128" s="58">
        <v>423</v>
      </c>
      <c r="K128" s="58">
        <v>54</v>
      </c>
      <c r="L128" s="58" t="str">
        <f>IF(0.313*562.56=0," ",TEXT(,ROUND((0.313*562.56*4.94),2)))</f>
        <v>869,84</v>
      </c>
      <c r="M128" s="58" t="s">
        <v>413</v>
      </c>
      <c r="N128" s="58" t="s">
        <v>414</v>
      </c>
      <c r="O128" s="52"/>
      <c r="P128" s="52"/>
      <c r="Q128" s="52"/>
      <c r="R128" s="52"/>
      <c r="S128" s="52"/>
      <c r="T128" s="53"/>
      <c r="U128" s="53"/>
      <c r="V128" s="53"/>
      <c r="W128" s="53"/>
      <c r="X128" s="53"/>
      <c r="Y128" s="53"/>
      <c r="Z128" s="53"/>
      <c r="AA128" s="53" t="s">
        <v>87</v>
      </c>
      <c r="AB128" s="53" t="s">
        <v>34</v>
      </c>
      <c r="AC128" s="53">
        <v>292</v>
      </c>
      <c r="AD128" s="53">
        <v>203</v>
      </c>
      <c r="AE128" s="63" t="s">
        <v>415</v>
      </c>
      <c r="AF128" s="53" t="s">
        <v>416</v>
      </c>
      <c r="AG128" s="53" t="s">
        <v>417</v>
      </c>
      <c r="AH128" s="53"/>
      <c r="AI128" s="53">
        <f>423+0</f>
        <v>423</v>
      </c>
    </row>
    <row r="129" spans="1:35" ht="26.4" x14ac:dyDescent="0.25">
      <c r="A129" s="73" t="s">
        <v>118</v>
      </c>
      <c r="B129" s="68"/>
      <c r="C129" s="68"/>
      <c r="D129" s="68"/>
      <c r="E129" s="68"/>
      <c r="F129" s="68"/>
      <c r="G129" s="68"/>
      <c r="H129" s="68"/>
      <c r="I129" s="51">
        <v>342759</v>
      </c>
      <c r="J129" s="49">
        <v>21720</v>
      </c>
      <c r="K129" s="49" t="s">
        <v>418</v>
      </c>
      <c r="L129" s="49">
        <v>314508</v>
      </c>
      <c r="M129" s="49"/>
      <c r="N129" s="49" t="s">
        <v>419</v>
      </c>
      <c r="O129" s="18"/>
      <c r="P129" s="19"/>
      <c r="Q129" s="18"/>
      <c r="R129" s="18"/>
      <c r="S129" s="18"/>
    </row>
    <row r="130" spans="1:35" ht="26.4" x14ac:dyDescent="0.25">
      <c r="A130" s="73" t="s">
        <v>219</v>
      </c>
      <c r="B130" s="68"/>
      <c r="C130" s="68"/>
      <c r="D130" s="68"/>
      <c r="E130" s="68"/>
      <c r="F130" s="68"/>
      <c r="G130" s="68"/>
      <c r="H130" s="68"/>
      <c r="I130" s="51">
        <v>345992</v>
      </c>
      <c r="J130" s="49">
        <v>23550</v>
      </c>
      <c r="K130" s="49" t="s">
        <v>420</v>
      </c>
      <c r="L130" s="49">
        <v>314508</v>
      </c>
      <c r="M130" s="49"/>
      <c r="N130" s="49" t="s">
        <v>421</v>
      </c>
      <c r="O130" s="18"/>
      <c r="P130" s="19"/>
      <c r="Q130" s="18"/>
      <c r="R130" s="18"/>
      <c r="S130" s="18"/>
    </row>
    <row r="131" spans="1:35" x14ac:dyDescent="0.25">
      <c r="A131" s="73" t="s">
        <v>222</v>
      </c>
      <c r="B131" s="68"/>
      <c r="C131" s="68"/>
      <c r="D131" s="68"/>
      <c r="E131" s="68"/>
      <c r="F131" s="68"/>
      <c r="G131" s="68"/>
      <c r="H131" s="68"/>
      <c r="I131" s="51"/>
      <c r="J131" s="49"/>
      <c r="K131" s="49"/>
      <c r="L131" s="49"/>
      <c r="M131" s="49"/>
      <c r="N131" s="49"/>
      <c r="O131" s="18"/>
      <c r="P131" s="19"/>
      <c r="Q131" s="18"/>
      <c r="R131" s="18"/>
      <c r="S131" s="18"/>
    </row>
    <row r="132" spans="1:35" ht="27.9" customHeight="1" x14ac:dyDescent="0.25">
      <c r="A132" s="73" t="s">
        <v>422</v>
      </c>
      <c r="B132" s="68"/>
      <c r="C132" s="68"/>
      <c r="D132" s="68"/>
      <c r="E132" s="68"/>
      <c r="F132" s="68"/>
      <c r="G132" s="68"/>
      <c r="H132" s="68"/>
      <c r="I132" s="51">
        <v>3233</v>
      </c>
      <c r="J132" s="49">
        <v>1829</v>
      </c>
      <c r="K132" s="49" t="s">
        <v>423</v>
      </c>
      <c r="L132" s="49"/>
      <c r="M132" s="49"/>
      <c r="N132" s="49" t="s">
        <v>424</v>
      </c>
      <c r="O132" s="18"/>
      <c r="P132" s="19"/>
      <c r="Q132" s="18"/>
      <c r="R132" s="18"/>
      <c r="S132" s="18"/>
    </row>
    <row r="133" spans="1:35" ht="26.4" x14ac:dyDescent="0.25">
      <c r="A133" s="73" t="s">
        <v>121</v>
      </c>
      <c r="B133" s="68"/>
      <c r="C133" s="68"/>
      <c r="D133" s="68"/>
      <c r="E133" s="68"/>
      <c r="F133" s="68"/>
      <c r="G133" s="68"/>
      <c r="H133" s="68"/>
      <c r="I133" s="51">
        <v>1939859</v>
      </c>
      <c r="J133" s="49">
        <v>397996</v>
      </c>
      <c r="K133" s="49" t="s">
        <v>425</v>
      </c>
      <c r="L133" s="49">
        <v>1452804</v>
      </c>
      <c r="M133" s="49"/>
      <c r="N133" s="49" t="s">
        <v>421</v>
      </c>
      <c r="O133" s="18"/>
      <c r="P133" s="19"/>
      <c r="Q133" s="18"/>
      <c r="R133" s="18"/>
      <c r="S133" s="18"/>
    </row>
    <row r="134" spans="1:35" x14ac:dyDescent="0.25">
      <c r="A134" s="73" t="s">
        <v>123</v>
      </c>
      <c r="B134" s="68"/>
      <c r="C134" s="68"/>
      <c r="D134" s="68"/>
      <c r="E134" s="68"/>
      <c r="F134" s="68"/>
      <c r="G134" s="68"/>
      <c r="H134" s="68"/>
      <c r="I134" s="51">
        <v>325980</v>
      </c>
      <c r="J134" s="49"/>
      <c r="K134" s="49"/>
      <c r="L134" s="49"/>
      <c r="M134" s="49"/>
      <c r="N134" s="49"/>
      <c r="O134" s="18"/>
      <c r="P134" s="19"/>
      <c r="Q134" s="18"/>
      <c r="R134" s="18"/>
      <c r="S134" s="18"/>
    </row>
    <row r="135" spans="1:35" x14ac:dyDescent="0.25">
      <c r="A135" s="73" t="s">
        <v>124</v>
      </c>
      <c r="B135" s="68"/>
      <c r="C135" s="68"/>
      <c r="D135" s="68"/>
      <c r="E135" s="68"/>
      <c r="F135" s="68"/>
      <c r="G135" s="68"/>
      <c r="H135" s="68"/>
      <c r="I135" s="51">
        <v>193298</v>
      </c>
      <c r="J135" s="49"/>
      <c r="K135" s="49"/>
      <c r="L135" s="49"/>
      <c r="M135" s="49"/>
      <c r="N135" s="49"/>
      <c r="O135" s="18"/>
      <c r="P135" s="19"/>
      <c r="Q135" s="18"/>
      <c r="R135" s="18"/>
      <c r="S135" s="18"/>
    </row>
    <row r="136" spans="1:35" ht="26.4" x14ac:dyDescent="0.25">
      <c r="A136" s="74" t="s">
        <v>426</v>
      </c>
      <c r="B136" s="75"/>
      <c r="C136" s="75"/>
      <c r="D136" s="75"/>
      <c r="E136" s="75"/>
      <c r="F136" s="75"/>
      <c r="G136" s="75"/>
      <c r="H136" s="75"/>
      <c r="I136" s="61">
        <v>2459137</v>
      </c>
      <c r="J136" s="62"/>
      <c r="K136" s="62"/>
      <c r="L136" s="62"/>
      <c r="M136" s="62"/>
      <c r="N136" s="62" t="s">
        <v>421</v>
      </c>
      <c r="O136" s="18"/>
      <c r="P136" s="19"/>
      <c r="Q136" s="18"/>
      <c r="R136" s="18"/>
      <c r="S136" s="18"/>
    </row>
    <row r="137" spans="1:35" ht="21" customHeight="1" x14ac:dyDescent="0.25">
      <c r="A137" s="71" t="s">
        <v>427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</row>
    <row r="138" spans="1:35" ht="184.8" x14ac:dyDescent="0.25">
      <c r="A138" s="46">
        <v>94</v>
      </c>
      <c r="B138" s="47" t="s">
        <v>428</v>
      </c>
      <c r="C138" s="48" t="str">
        <f t="shared" ref="C138:C147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40456 руб. НР 93%=122%*(0,85*0,9) от ФОТ (43501 руб.)
23491 руб.СП 54%=80%*(0,8*0,85) от ФОТ (43501 руб.)
</v>
      </c>
      <c r="D138" s="46">
        <v>34.9</v>
      </c>
      <c r="E138" s="49" t="s">
        <v>429</v>
      </c>
      <c r="F138" s="49" t="s">
        <v>430</v>
      </c>
      <c r="G138" s="49">
        <v>823.32</v>
      </c>
      <c r="H138" s="50" t="s">
        <v>431</v>
      </c>
      <c r="I138" s="51">
        <v>191386</v>
      </c>
      <c r="J138" s="49">
        <v>39901</v>
      </c>
      <c r="K138" s="49" t="s">
        <v>432</v>
      </c>
      <c r="L138" s="49" t="str">
        <f>IF(34.9*823.32=0," ",TEXT(,ROUND((34.9*823.32*4.7),2)))</f>
        <v>135049,18</v>
      </c>
      <c r="M138" s="49" t="s">
        <v>433</v>
      </c>
      <c r="N138" s="49" t="s">
        <v>434</v>
      </c>
      <c r="O138" s="52"/>
      <c r="P138" s="52"/>
      <c r="Q138" s="52"/>
      <c r="R138" s="52"/>
      <c r="S138" s="52"/>
      <c r="T138" s="53"/>
      <c r="U138" s="53"/>
      <c r="V138" s="53"/>
      <c r="W138" s="53"/>
      <c r="X138" s="53"/>
      <c r="Y138" s="53"/>
      <c r="Z138" s="53"/>
      <c r="AA138" s="53" t="s">
        <v>435</v>
      </c>
      <c r="AB138" s="53" t="s">
        <v>436</v>
      </c>
      <c r="AC138" s="53">
        <v>40456</v>
      </c>
      <c r="AD138" s="53">
        <v>23491</v>
      </c>
      <c r="AE138" s="63" t="s">
        <v>145</v>
      </c>
      <c r="AF138" s="53" t="s">
        <v>437</v>
      </c>
      <c r="AG138" s="53" t="s">
        <v>438</v>
      </c>
      <c r="AH138" s="53"/>
      <c r="AI138" s="53">
        <f>39901+3600</f>
        <v>43501</v>
      </c>
    </row>
    <row r="139" spans="1:35" ht="184.8" x14ac:dyDescent="0.25">
      <c r="A139" s="46">
        <v>95</v>
      </c>
      <c r="B139" s="47" t="s">
        <v>439</v>
      </c>
      <c r="C139" s="48" t="str">
        <f t="shared" ca="1" si="4"/>
        <v xml:space="preserve">Установка элементов каркаса: из брусьев
1 м3 древесины в конструкции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2768 руб. НР 90%=118%*(0,85*0,9) от ФОТ (3076 руб.)
1323 руб.СП 43%=63%*(0,8*0,85) от ФОТ (3076 руб.)
</v>
      </c>
      <c r="D139" s="46">
        <v>0.84</v>
      </c>
      <c r="E139" s="49" t="s">
        <v>206</v>
      </c>
      <c r="F139" s="49">
        <v>33.51</v>
      </c>
      <c r="G139" s="49">
        <v>2189</v>
      </c>
      <c r="H139" s="50" t="s">
        <v>207</v>
      </c>
      <c r="I139" s="51">
        <v>9674</v>
      </c>
      <c r="J139" s="49">
        <v>3076</v>
      </c>
      <c r="K139" s="49">
        <v>401</v>
      </c>
      <c r="L139" s="49" t="str">
        <f>IF(0.84*2189=0," ",TEXT(,ROUND((0.84*2189*3.37),2)))</f>
        <v>6196,62</v>
      </c>
      <c r="M139" s="49">
        <v>22.5</v>
      </c>
      <c r="N139" s="49">
        <v>18.899999999999999</v>
      </c>
      <c r="O139" s="52"/>
      <c r="P139" s="52"/>
      <c r="Q139" s="52"/>
      <c r="R139" s="52"/>
      <c r="S139" s="52"/>
      <c r="T139" s="53"/>
      <c r="U139" s="53"/>
      <c r="V139" s="53"/>
      <c r="W139" s="53"/>
      <c r="X139" s="53"/>
      <c r="Y139" s="53"/>
      <c r="Z139" s="53"/>
      <c r="AA139" s="53" t="s">
        <v>195</v>
      </c>
      <c r="AB139" s="53" t="s">
        <v>196</v>
      </c>
      <c r="AC139" s="53">
        <v>2768</v>
      </c>
      <c r="AD139" s="53">
        <v>1323</v>
      </c>
      <c r="AE139" s="63" t="s">
        <v>145</v>
      </c>
      <c r="AF139" s="53" t="s">
        <v>208</v>
      </c>
      <c r="AG139" s="53" t="s">
        <v>209</v>
      </c>
      <c r="AH139" s="53"/>
      <c r="AI139" s="53">
        <f>3076+0</f>
        <v>3076</v>
      </c>
    </row>
    <row r="140" spans="1:35" ht="211.2" x14ac:dyDescent="0.25">
      <c r="A140" s="46">
        <v>96</v>
      </c>
      <c r="B140" s="47" t="s">
        <v>440</v>
      </c>
      <c r="C140" s="48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(материалы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5166 руб. НР 77%=100%*(0,85*0,9) от ФОТ (6709 руб.)
3220 руб.СП 48%=70%*(0,8*0,85) от ФОТ (6709 руб.)
</v>
      </c>
      <c r="D140" s="46">
        <v>1.248</v>
      </c>
      <c r="E140" s="49" t="s">
        <v>441</v>
      </c>
      <c r="F140" s="49">
        <v>50.59</v>
      </c>
      <c r="G140" s="49"/>
      <c r="H140" s="50" t="s">
        <v>442</v>
      </c>
      <c r="I140" s="51">
        <v>7557</v>
      </c>
      <c r="J140" s="49">
        <v>6709</v>
      </c>
      <c r="K140" s="49">
        <v>848</v>
      </c>
      <c r="L140" s="49" t="str">
        <f>IF(1.248*0=0," ",TEXT(,ROUND((1.248*0*9.72),2)))</f>
        <v xml:space="preserve"> </v>
      </c>
      <c r="M140" s="49">
        <v>31.98</v>
      </c>
      <c r="N140" s="49">
        <v>39.909999999999997</v>
      </c>
      <c r="O140" s="52"/>
      <c r="P140" s="52"/>
      <c r="Q140" s="52"/>
      <c r="R140" s="52"/>
      <c r="S140" s="52"/>
      <c r="T140" s="53"/>
      <c r="U140" s="53"/>
      <c r="V140" s="53"/>
      <c r="W140" s="53"/>
      <c r="X140" s="53"/>
      <c r="Y140" s="53"/>
      <c r="Z140" s="53"/>
      <c r="AA140" s="53" t="s">
        <v>301</v>
      </c>
      <c r="AB140" s="53" t="s">
        <v>34</v>
      </c>
      <c r="AC140" s="53">
        <v>5166</v>
      </c>
      <c r="AD140" s="53">
        <v>3220</v>
      </c>
      <c r="AE140" s="63" t="s">
        <v>443</v>
      </c>
      <c r="AF140" s="53" t="s">
        <v>444</v>
      </c>
      <c r="AG140" s="53" t="s">
        <v>445</v>
      </c>
      <c r="AH140" s="53"/>
      <c r="AI140" s="53">
        <f>6709+0</f>
        <v>6709</v>
      </c>
    </row>
    <row r="141" spans="1:35" ht="92.4" x14ac:dyDescent="0.25">
      <c r="A141" s="46">
        <v>97</v>
      </c>
      <c r="B141" s="47" t="s">
        <v>183</v>
      </c>
      <c r="C141" s="48" t="str">
        <f t="shared" ca="1" si="4"/>
        <v xml:space="preserve">Плиты теплоизоляционные энергетические гидрофобизированные базальтовые: ПТЭ-125 , размером 2000х1000х50 мм 4146,89/5,56=745,84
м3
</v>
      </c>
      <c r="D141" s="46" t="s">
        <v>446</v>
      </c>
      <c r="E141" s="49">
        <v>745.84</v>
      </c>
      <c r="F141" s="49"/>
      <c r="G141" s="49">
        <v>745.84</v>
      </c>
      <c r="H141" s="50" t="s">
        <v>136</v>
      </c>
      <c r="I141" s="51">
        <v>26655</v>
      </c>
      <c r="J141" s="49"/>
      <c r="K141" s="49"/>
      <c r="L141" s="49" t="str">
        <f>IF(6.4272*745.84=0," ",TEXT(,ROUND((6.4272*745.84*5.56),2)))</f>
        <v>26652,77</v>
      </c>
      <c r="M141" s="49"/>
      <c r="N141" s="49"/>
      <c r="O141" s="52"/>
      <c r="P141" s="52"/>
      <c r="Q141" s="52"/>
      <c r="R141" s="52"/>
      <c r="S141" s="52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 t="s">
        <v>185</v>
      </c>
      <c r="AG141" s="53" t="s">
        <v>167</v>
      </c>
      <c r="AH141" s="53"/>
      <c r="AI141" s="53">
        <f>0+0</f>
        <v>0</v>
      </c>
    </row>
    <row r="142" spans="1:35" ht="211.2" x14ac:dyDescent="0.25">
      <c r="A142" s="46">
        <v>98</v>
      </c>
      <c r="B142" s="47" t="s">
        <v>447</v>
      </c>
      <c r="C142" s="48" t="str">
        <f t="shared" ca="1" si="4"/>
        <v xml:space="preserve">Покрытие изоляции плоских (криволинейных) поверхностей листовым металлом с заготовкой покрытия
100 м2 поверхности покрытия изоляции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50464 руб. НР 77%=100%*(0,85*0,9) от ФОТ (65538 руб.)
31458 руб.СП 48%=70%*(0,8*0,85) от ФОТ (65538 руб.)
</v>
      </c>
      <c r="D142" s="46">
        <v>2.6642000000000001</v>
      </c>
      <c r="E142" s="49" t="s">
        <v>448</v>
      </c>
      <c r="F142" s="49">
        <v>578.44000000000005</v>
      </c>
      <c r="G142" s="49">
        <v>8515.41</v>
      </c>
      <c r="H142" s="50" t="s">
        <v>449</v>
      </c>
      <c r="I142" s="51">
        <v>166765</v>
      </c>
      <c r="J142" s="49">
        <v>65538</v>
      </c>
      <c r="K142" s="49">
        <v>15697</v>
      </c>
      <c r="L142" s="49" t="str">
        <f>IF(2.6642*8515.41=0," ",TEXT(,ROUND((2.6642*8515.41*3.77),2)))</f>
        <v>85529,07</v>
      </c>
      <c r="M142" s="49">
        <v>139.55000000000001</v>
      </c>
      <c r="N142" s="49">
        <v>371.79</v>
      </c>
      <c r="O142" s="52"/>
      <c r="P142" s="52"/>
      <c r="Q142" s="52"/>
      <c r="R142" s="52"/>
      <c r="S142" s="52"/>
      <c r="T142" s="53"/>
      <c r="U142" s="53"/>
      <c r="V142" s="53"/>
      <c r="W142" s="53"/>
      <c r="X142" s="53"/>
      <c r="Y142" s="53"/>
      <c r="Z142" s="53"/>
      <c r="AA142" s="53" t="s">
        <v>301</v>
      </c>
      <c r="AB142" s="53" t="s">
        <v>34</v>
      </c>
      <c r="AC142" s="53">
        <v>50464</v>
      </c>
      <c r="AD142" s="53">
        <v>31458</v>
      </c>
      <c r="AE142" s="63" t="s">
        <v>145</v>
      </c>
      <c r="AF142" s="53" t="s">
        <v>450</v>
      </c>
      <c r="AG142" s="53" t="s">
        <v>445</v>
      </c>
      <c r="AH142" s="53"/>
      <c r="AI142" s="53">
        <f>65538+0</f>
        <v>65538</v>
      </c>
    </row>
    <row r="143" spans="1:35" ht="145.19999999999999" x14ac:dyDescent="0.25">
      <c r="A143" s="46">
        <v>99</v>
      </c>
      <c r="B143" s="47" t="s">
        <v>451</v>
      </c>
      <c r="C143" s="48" t="str">
        <f t="shared" ca="1" si="4"/>
        <v xml:space="preserve">Сталь листовая оцинкованная толщиной листа: 0,8 мм
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143" s="46">
        <v>-2.0489999999999999</v>
      </c>
      <c r="E143" s="49">
        <v>11000</v>
      </c>
      <c r="F143" s="49"/>
      <c r="G143" s="49">
        <v>11000</v>
      </c>
      <c r="H143" s="50" t="s">
        <v>452</v>
      </c>
      <c r="I143" s="51">
        <v>-85107</v>
      </c>
      <c r="J143" s="49"/>
      <c r="K143" s="49"/>
      <c r="L143" s="49" t="str">
        <f>IF(-2.049*11000=0," ",TEXT(,ROUND((-2.049*11000*3.776),2)))</f>
        <v>-85107,26</v>
      </c>
      <c r="M143" s="49"/>
      <c r="N143" s="49"/>
      <c r="O143" s="52"/>
      <c r="P143" s="52"/>
      <c r="Q143" s="52"/>
      <c r="R143" s="52"/>
      <c r="S143" s="52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63" t="s">
        <v>145</v>
      </c>
      <c r="AF143" s="53" t="s">
        <v>453</v>
      </c>
      <c r="AG143" s="53" t="s">
        <v>157</v>
      </c>
      <c r="AH143" s="53"/>
      <c r="AI143" s="53">
        <f>0+0</f>
        <v>0</v>
      </c>
    </row>
    <row r="144" spans="1:35" ht="66" x14ac:dyDescent="0.25">
      <c r="A144" s="46">
        <v>100</v>
      </c>
      <c r="B144" s="47" t="s">
        <v>323</v>
      </c>
      <c r="C144" s="48" t="str">
        <f t="shared" ca="1" si="4"/>
        <v xml:space="preserve">Сталь листовая оцинкованная толщиной листа: 0,55 мм
т
</v>
      </c>
      <c r="D144" s="46">
        <v>1.409</v>
      </c>
      <c r="E144" s="49">
        <v>10484</v>
      </c>
      <c r="F144" s="49"/>
      <c r="G144" s="49">
        <v>10484</v>
      </c>
      <c r="H144" s="50" t="s">
        <v>324</v>
      </c>
      <c r="I144" s="51">
        <v>58985</v>
      </c>
      <c r="J144" s="49"/>
      <c r="K144" s="49"/>
      <c r="L144" s="49" t="str">
        <f>IF(1.409*10484=0," ",TEXT(,ROUND((1.409*10484*3.993),2)))</f>
        <v>58984,42</v>
      </c>
      <c r="M144" s="49"/>
      <c r="N144" s="49"/>
      <c r="O144" s="52"/>
      <c r="P144" s="52"/>
      <c r="Q144" s="52"/>
      <c r="R144" s="52"/>
      <c r="S144" s="52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 t="s">
        <v>325</v>
      </c>
      <c r="AG144" s="53" t="s">
        <v>157</v>
      </c>
      <c r="AH144" s="53"/>
      <c r="AI144" s="53">
        <f>0+0</f>
        <v>0</v>
      </c>
    </row>
    <row r="145" spans="1:35" ht="198" x14ac:dyDescent="0.25">
      <c r="A145" s="46">
        <v>101</v>
      </c>
      <c r="B145" s="47" t="s">
        <v>454</v>
      </c>
      <c r="C145" s="48" t="str">
        <f t="shared" ca="1" si="4"/>
        <v xml:space="preserve">Установка зонтов над шахтами из листовой стали прямоугольного сечения периметром : 4000 мм
1 зонт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7436 руб. НР 98%=128%*(0,85*0,9) от ФОТ (7588 руб.)
4249 руб.СП 56%=83%*(0,8*0,85) от ФОТ (7588 руб.)
</v>
      </c>
      <c r="D145" s="46">
        <v>12</v>
      </c>
      <c r="E145" s="49" t="s">
        <v>455</v>
      </c>
      <c r="F145" s="49" t="s">
        <v>456</v>
      </c>
      <c r="G145" s="49">
        <v>8.49</v>
      </c>
      <c r="H145" s="50" t="s">
        <v>457</v>
      </c>
      <c r="I145" s="51">
        <v>9021</v>
      </c>
      <c r="J145" s="49">
        <v>7537</v>
      </c>
      <c r="K145" s="49" t="s">
        <v>458</v>
      </c>
      <c r="L145" s="49" t="str">
        <f>IF(12*8.49=0," ",TEXT(,ROUND((12*8.49*5.89),2)))</f>
        <v>600,07</v>
      </c>
      <c r="M145" s="49" t="s">
        <v>459</v>
      </c>
      <c r="N145" s="49" t="s">
        <v>460</v>
      </c>
      <c r="O145" s="52"/>
      <c r="P145" s="52"/>
      <c r="Q145" s="52"/>
      <c r="R145" s="52"/>
      <c r="S145" s="52"/>
      <c r="T145" s="53"/>
      <c r="U145" s="53"/>
      <c r="V145" s="53"/>
      <c r="W145" s="53"/>
      <c r="X145" s="53"/>
      <c r="Y145" s="53"/>
      <c r="Z145" s="53"/>
      <c r="AA145" s="53" t="s">
        <v>461</v>
      </c>
      <c r="AB145" s="53" t="s">
        <v>462</v>
      </c>
      <c r="AC145" s="53">
        <v>7436</v>
      </c>
      <c r="AD145" s="53">
        <v>4249</v>
      </c>
      <c r="AE145" s="63" t="s">
        <v>145</v>
      </c>
      <c r="AF145" s="53" t="s">
        <v>463</v>
      </c>
      <c r="AG145" s="53" t="s">
        <v>464</v>
      </c>
      <c r="AH145" s="53"/>
      <c r="AI145" s="53">
        <f>7537+51</f>
        <v>7588</v>
      </c>
    </row>
    <row r="146" spans="1:35" ht="79.2" x14ac:dyDescent="0.25">
      <c r="A146" s="46">
        <v>102</v>
      </c>
      <c r="B146" s="47" t="s">
        <v>465</v>
      </c>
      <c r="C146" s="48" t="str">
        <f t="shared" ca="1" si="4"/>
        <v xml:space="preserve">Зонты вентиляционных систем из листовой оцинкованной стали: прямоугольные, периметром шахты 4000 мм
шт.
</v>
      </c>
      <c r="D146" s="46">
        <v>12</v>
      </c>
      <c r="E146" s="49">
        <v>656.4</v>
      </c>
      <c r="F146" s="49"/>
      <c r="G146" s="49">
        <v>656.4</v>
      </c>
      <c r="H146" s="50" t="s">
        <v>466</v>
      </c>
      <c r="I146" s="51">
        <v>32650</v>
      </c>
      <c r="J146" s="49"/>
      <c r="K146" s="49"/>
      <c r="L146" s="49" t="str">
        <f>IF(12*656.4=0," ",TEXT(,ROUND((12*656.4*4.145),2)))</f>
        <v>32649,34</v>
      </c>
      <c r="M146" s="49"/>
      <c r="N146" s="49"/>
      <c r="O146" s="52"/>
      <c r="P146" s="52"/>
      <c r="Q146" s="52"/>
      <c r="R146" s="52"/>
      <c r="S146" s="52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 t="s">
        <v>467</v>
      </c>
      <c r="AG146" s="53" t="s">
        <v>216</v>
      </c>
      <c r="AH146" s="53"/>
      <c r="AI146" s="53">
        <f>0+0</f>
        <v>0</v>
      </c>
    </row>
    <row r="147" spans="1:35" ht="52.8" x14ac:dyDescent="0.25">
      <c r="A147" s="55">
        <v>103</v>
      </c>
      <c r="B147" s="56" t="s">
        <v>468</v>
      </c>
      <c r="C147" s="57" t="str">
        <f t="shared" ca="1" si="4"/>
        <v xml:space="preserve">Дюбель-гвоздь 8х100 мм
100 шт.
</v>
      </c>
      <c r="D147" s="55">
        <v>3.36</v>
      </c>
      <c r="E147" s="58">
        <v>118</v>
      </c>
      <c r="F147" s="58"/>
      <c r="G147" s="58">
        <v>118</v>
      </c>
      <c r="H147" s="59" t="s">
        <v>469</v>
      </c>
      <c r="I147" s="60">
        <v>545</v>
      </c>
      <c r="J147" s="58"/>
      <c r="K147" s="58"/>
      <c r="L147" s="58" t="str">
        <f>IF(3.36*118=0," ",TEXT(,ROUND((3.36*118*1.377),2)))</f>
        <v>545,95</v>
      </c>
      <c r="M147" s="58"/>
      <c r="N147" s="58"/>
      <c r="O147" s="52"/>
      <c r="P147" s="52"/>
      <c r="Q147" s="52"/>
      <c r="R147" s="52"/>
      <c r="S147" s="52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 t="s">
        <v>470</v>
      </c>
      <c r="AG147" s="53" t="s">
        <v>471</v>
      </c>
      <c r="AH147" s="53"/>
      <c r="AI147" s="53">
        <f>0+0</f>
        <v>0</v>
      </c>
    </row>
    <row r="148" spans="1:35" ht="26.4" x14ac:dyDescent="0.25">
      <c r="A148" s="73" t="s">
        <v>118</v>
      </c>
      <c r="B148" s="68"/>
      <c r="C148" s="68"/>
      <c r="D148" s="68"/>
      <c r="E148" s="68"/>
      <c r="F148" s="68"/>
      <c r="G148" s="68"/>
      <c r="H148" s="68"/>
      <c r="I148" s="51">
        <v>67788</v>
      </c>
      <c r="J148" s="49">
        <v>6316</v>
      </c>
      <c r="K148" s="49" t="s">
        <v>472</v>
      </c>
      <c r="L148" s="49">
        <v>58662</v>
      </c>
      <c r="M148" s="49"/>
      <c r="N148" s="49" t="s">
        <v>473</v>
      </c>
      <c r="O148" s="18"/>
      <c r="P148" s="19"/>
      <c r="Q148" s="18"/>
      <c r="R148" s="18"/>
      <c r="S148" s="18"/>
    </row>
    <row r="149" spans="1:35" ht="26.4" x14ac:dyDescent="0.25">
      <c r="A149" s="73" t="s">
        <v>219</v>
      </c>
      <c r="B149" s="68"/>
      <c r="C149" s="68"/>
      <c r="D149" s="68"/>
      <c r="E149" s="68"/>
      <c r="F149" s="68"/>
      <c r="G149" s="68"/>
      <c r="H149" s="68"/>
      <c r="I149" s="51">
        <v>69438</v>
      </c>
      <c r="J149" s="49">
        <v>7264</v>
      </c>
      <c r="K149" s="49" t="s">
        <v>474</v>
      </c>
      <c r="L149" s="49">
        <v>58662</v>
      </c>
      <c r="M149" s="49"/>
      <c r="N149" s="49" t="s">
        <v>475</v>
      </c>
      <c r="O149" s="18"/>
      <c r="P149" s="19"/>
      <c r="Q149" s="18"/>
      <c r="R149" s="18"/>
      <c r="S149" s="18"/>
    </row>
    <row r="150" spans="1:35" x14ac:dyDescent="0.25">
      <c r="A150" s="73" t="s">
        <v>222</v>
      </c>
      <c r="B150" s="68"/>
      <c r="C150" s="68"/>
      <c r="D150" s="68"/>
      <c r="E150" s="68"/>
      <c r="F150" s="68"/>
      <c r="G150" s="68"/>
      <c r="H150" s="68"/>
      <c r="I150" s="51"/>
      <c r="J150" s="49"/>
      <c r="K150" s="49"/>
      <c r="L150" s="49"/>
      <c r="M150" s="49"/>
      <c r="N150" s="49"/>
      <c r="O150" s="18"/>
      <c r="P150" s="19"/>
      <c r="Q150" s="18"/>
      <c r="R150" s="18"/>
      <c r="S150" s="18"/>
    </row>
    <row r="151" spans="1:35" ht="27.9" customHeight="1" x14ac:dyDescent="0.25">
      <c r="A151" s="73" t="s">
        <v>476</v>
      </c>
      <c r="B151" s="68"/>
      <c r="C151" s="68"/>
      <c r="D151" s="68"/>
      <c r="E151" s="68"/>
      <c r="F151" s="68"/>
      <c r="G151" s="68"/>
      <c r="H151" s="68"/>
      <c r="I151" s="51">
        <v>1650</v>
      </c>
      <c r="J151" s="49">
        <v>947</v>
      </c>
      <c r="K151" s="49" t="s">
        <v>477</v>
      </c>
      <c r="L151" s="49"/>
      <c r="M151" s="49"/>
      <c r="N151" s="49" t="s">
        <v>478</v>
      </c>
      <c r="O151" s="18"/>
      <c r="P151" s="19"/>
      <c r="Q151" s="18"/>
      <c r="R151" s="18"/>
      <c r="S151" s="18"/>
    </row>
    <row r="152" spans="1:35" ht="26.4" x14ac:dyDescent="0.25">
      <c r="A152" s="73" t="s">
        <v>121</v>
      </c>
      <c r="B152" s="68"/>
      <c r="C152" s="68"/>
      <c r="D152" s="68"/>
      <c r="E152" s="68"/>
      <c r="F152" s="68"/>
      <c r="G152" s="68"/>
      <c r="H152" s="68"/>
      <c r="I152" s="51">
        <v>418131</v>
      </c>
      <c r="J152" s="49">
        <v>122761</v>
      </c>
      <c r="K152" s="49" t="s">
        <v>479</v>
      </c>
      <c r="L152" s="49">
        <v>261106</v>
      </c>
      <c r="M152" s="49"/>
      <c r="N152" s="49" t="s">
        <v>475</v>
      </c>
      <c r="O152" s="18"/>
      <c r="P152" s="19"/>
      <c r="Q152" s="18"/>
      <c r="R152" s="18"/>
      <c r="S152" s="18"/>
    </row>
    <row r="153" spans="1:35" x14ac:dyDescent="0.25">
      <c r="A153" s="73" t="s">
        <v>123</v>
      </c>
      <c r="B153" s="68"/>
      <c r="C153" s="68"/>
      <c r="D153" s="68"/>
      <c r="E153" s="68"/>
      <c r="F153" s="68"/>
      <c r="G153" s="68"/>
      <c r="H153" s="68"/>
      <c r="I153" s="51">
        <v>106290</v>
      </c>
      <c r="J153" s="49"/>
      <c r="K153" s="49"/>
      <c r="L153" s="49"/>
      <c r="M153" s="49"/>
      <c r="N153" s="49"/>
      <c r="O153" s="18"/>
      <c r="P153" s="19"/>
      <c r="Q153" s="18"/>
      <c r="R153" s="18"/>
      <c r="S153" s="18"/>
    </row>
    <row r="154" spans="1:35" x14ac:dyDescent="0.25">
      <c r="A154" s="73" t="s">
        <v>124</v>
      </c>
      <c r="B154" s="68"/>
      <c r="C154" s="68"/>
      <c r="D154" s="68"/>
      <c r="E154" s="68"/>
      <c r="F154" s="68"/>
      <c r="G154" s="68"/>
      <c r="H154" s="68"/>
      <c r="I154" s="51">
        <v>63742</v>
      </c>
      <c r="J154" s="49"/>
      <c r="K154" s="49"/>
      <c r="L154" s="49"/>
      <c r="M154" s="49"/>
      <c r="N154" s="49"/>
      <c r="O154" s="18"/>
      <c r="P154" s="19"/>
      <c r="Q154" s="18"/>
      <c r="R154" s="18"/>
      <c r="S154" s="18"/>
    </row>
    <row r="155" spans="1:35" ht="26.4" x14ac:dyDescent="0.25">
      <c r="A155" s="74" t="s">
        <v>480</v>
      </c>
      <c r="B155" s="75"/>
      <c r="C155" s="75"/>
      <c r="D155" s="75"/>
      <c r="E155" s="75"/>
      <c r="F155" s="75"/>
      <c r="G155" s="75"/>
      <c r="H155" s="75"/>
      <c r="I155" s="61">
        <v>588163</v>
      </c>
      <c r="J155" s="62"/>
      <c r="K155" s="62"/>
      <c r="L155" s="62"/>
      <c r="M155" s="62"/>
      <c r="N155" s="62" t="s">
        <v>475</v>
      </c>
      <c r="O155" s="18"/>
      <c r="P155" s="19"/>
      <c r="Q155" s="18"/>
      <c r="R155" s="18"/>
      <c r="S155" s="18"/>
    </row>
    <row r="156" spans="1:35" ht="21" customHeight="1" x14ac:dyDescent="0.25">
      <c r="A156" s="71" t="s">
        <v>481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</row>
    <row r="157" spans="1:35" ht="211.2" x14ac:dyDescent="0.25">
      <c r="A157" s="46">
        <v>104</v>
      </c>
      <c r="B157" s="47" t="s">
        <v>482</v>
      </c>
      <c r="C157" s="48" t="str">
        <f t="shared" ref="C157:C168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530 руб. НР 98%=128%*(0,85*0,9) от ФОТ (541 руб.)
303 руб.СП 56%=83%*(0,8*0,85) от ФОТ (541 руб.)
</v>
      </c>
      <c r="D157" s="46">
        <v>4.5999999999999999E-2</v>
      </c>
      <c r="E157" s="49" t="s">
        <v>483</v>
      </c>
      <c r="F157" s="49" t="s">
        <v>484</v>
      </c>
      <c r="G157" s="49">
        <v>7166.84</v>
      </c>
      <c r="H157" s="50" t="s">
        <v>485</v>
      </c>
      <c r="I157" s="51">
        <v>1577</v>
      </c>
      <c r="J157" s="49">
        <v>541</v>
      </c>
      <c r="K157" s="49"/>
      <c r="L157" s="49" t="str">
        <f>IF(0.046*7166.84=0," ",TEXT(,ROUND((0.046*7166.84*3.14),2)))</f>
        <v>1035,18</v>
      </c>
      <c r="M157" s="49" t="s">
        <v>486</v>
      </c>
      <c r="N157" s="49">
        <v>2.83</v>
      </c>
      <c r="O157" s="52"/>
      <c r="P157" s="52"/>
      <c r="Q157" s="52"/>
      <c r="R157" s="52"/>
      <c r="S157" s="52"/>
      <c r="T157" s="53"/>
      <c r="U157" s="53"/>
      <c r="V157" s="53"/>
      <c r="W157" s="53"/>
      <c r="X157" s="53"/>
      <c r="Y157" s="53"/>
      <c r="Z157" s="53"/>
      <c r="AA157" s="53" t="s">
        <v>461</v>
      </c>
      <c r="AB157" s="53" t="s">
        <v>462</v>
      </c>
      <c r="AC157" s="53">
        <v>530</v>
      </c>
      <c r="AD157" s="53">
        <v>303</v>
      </c>
      <c r="AE157" s="63" t="s">
        <v>145</v>
      </c>
      <c r="AF157" s="53" t="s">
        <v>487</v>
      </c>
      <c r="AG157" s="53" t="s">
        <v>488</v>
      </c>
      <c r="AH157" s="53"/>
      <c r="AI157" s="53">
        <f>541+0</f>
        <v>541</v>
      </c>
    </row>
    <row r="158" spans="1:35" ht="211.2" x14ac:dyDescent="0.25">
      <c r="A158" s="46">
        <v>105</v>
      </c>
      <c r="B158" s="47" t="s">
        <v>489</v>
      </c>
      <c r="C158" s="48" t="str">
        <f t="shared" ca="1" si="5"/>
        <v xml:space="preserve">Прокладка трубопроводов канализации из полиэтиленовых труб высокой плотности диаметром: 160 мм
100 м трубопровода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5333 руб. НР 98%=128%*(0,85*0,9) от ФОТ (5442 руб.)
3048 руб.СП 56%=83%*(0,8*0,85) от ФОТ (5442 руб.)
</v>
      </c>
      <c r="D158" s="46" t="s">
        <v>490</v>
      </c>
      <c r="E158" s="49" t="s">
        <v>491</v>
      </c>
      <c r="F158" s="49" t="s">
        <v>492</v>
      </c>
      <c r="G158" s="49">
        <v>28760.61</v>
      </c>
      <c r="H158" s="50" t="s">
        <v>493</v>
      </c>
      <c r="I158" s="51">
        <v>25448</v>
      </c>
      <c r="J158" s="49">
        <v>5442</v>
      </c>
      <c r="K158" s="49">
        <v>69</v>
      </c>
      <c r="L158" s="49" t="str">
        <f>IF(0.506*28760.61=0," ",TEXT(,ROUND((0.506*28760.61*1.37),2)))</f>
        <v>19937,43</v>
      </c>
      <c r="M158" s="49" t="s">
        <v>494</v>
      </c>
      <c r="N158" s="49" t="s">
        <v>495</v>
      </c>
      <c r="O158" s="52"/>
      <c r="P158" s="52"/>
      <c r="Q158" s="52"/>
      <c r="R158" s="52"/>
      <c r="S158" s="52"/>
      <c r="T158" s="53"/>
      <c r="U158" s="53"/>
      <c r="V158" s="53"/>
      <c r="W158" s="53"/>
      <c r="X158" s="53"/>
      <c r="Y158" s="53"/>
      <c r="Z158" s="53"/>
      <c r="AA158" s="53" t="s">
        <v>461</v>
      </c>
      <c r="AB158" s="53" t="s">
        <v>462</v>
      </c>
      <c r="AC158" s="53">
        <v>5333</v>
      </c>
      <c r="AD158" s="53">
        <v>3048</v>
      </c>
      <c r="AE158" s="63" t="s">
        <v>145</v>
      </c>
      <c r="AF158" s="53" t="s">
        <v>496</v>
      </c>
      <c r="AG158" s="53" t="s">
        <v>488</v>
      </c>
      <c r="AH158" s="53"/>
      <c r="AI158" s="53">
        <f>5442+0</f>
        <v>5442</v>
      </c>
    </row>
    <row r="159" spans="1:35" ht="211.2" x14ac:dyDescent="0.25">
      <c r="A159" s="46">
        <v>106</v>
      </c>
      <c r="B159" s="47" t="s">
        <v>497</v>
      </c>
      <c r="C159" s="48" t="str">
        <f t="shared" ca="1" si="5"/>
        <v xml:space="preserve">Установка пароизоляционного слоя из: пленки полиэтиленовой (без стекловолокнистых материалов)
100 м2 поверхности покрытия изоляции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403 руб. НР 77%=100%*(0,85*0,9) от ФОТ (524 руб.)
252 руб.СП 48%=70%*(0,8*0,85) от ФОТ (524 руб.)
</v>
      </c>
      <c r="D159" s="46">
        <v>0.218</v>
      </c>
      <c r="E159" s="49" t="s">
        <v>498</v>
      </c>
      <c r="F159" s="49">
        <v>21.79</v>
      </c>
      <c r="G159" s="49">
        <v>1385.68</v>
      </c>
      <c r="H159" s="50" t="s">
        <v>499</v>
      </c>
      <c r="I159" s="51">
        <v>1347</v>
      </c>
      <c r="J159" s="49">
        <v>524</v>
      </c>
      <c r="K159" s="49">
        <v>71</v>
      </c>
      <c r="L159" s="49" t="str">
        <f>IF(0.218*1385.68=0," ",TEXT(,ROUND((0.218*1385.68*2.49),2)))</f>
        <v>752,17</v>
      </c>
      <c r="M159" s="49">
        <v>14.36</v>
      </c>
      <c r="N159" s="49">
        <v>3.13</v>
      </c>
      <c r="O159" s="52"/>
      <c r="P159" s="52"/>
      <c r="Q159" s="52"/>
      <c r="R159" s="52"/>
      <c r="S159" s="52"/>
      <c r="T159" s="53"/>
      <c r="U159" s="53"/>
      <c r="V159" s="53"/>
      <c r="W159" s="53"/>
      <c r="X159" s="53"/>
      <c r="Y159" s="53"/>
      <c r="Z159" s="53"/>
      <c r="AA159" s="53" t="s">
        <v>301</v>
      </c>
      <c r="AB159" s="53" t="s">
        <v>34</v>
      </c>
      <c r="AC159" s="53">
        <v>403</v>
      </c>
      <c r="AD159" s="53">
        <v>252</v>
      </c>
      <c r="AE159" s="63" t="s">
        <v>145</v>
      </c>
      <c r="AF159" s="53" t="s">
        <v>500</v>
      </c>
      <c r="AG159" s="53" t="s">
        <v>445</v>
      </c>
      <c r="AH159" s="53"/>
      <c r="AI159" s="53">
        <f>524+0</f>
        <v>524</v>
      </c>
    </row>
    <row r="160" spans="1:35" ht="66" x14ac:dyDescent="0.25">
      <c r="A160" s="46">
        <v>107</v>
      </c>
      <c r="B160" s="47" t="s">
        <v>501</v>
      </c>
      <c r="C160" s="48" t="str">
        <f t="shared" ca="1" si="5"/>
        <v xml:space="preserve">Пленка полиэтиленовая толщиной: 0,2-0,5 мм, изоловая
м2
</v>
      </c>
      <c r="D160" s="46">
        <v>-25.07</v>
      </c>
      <c r="E160" s="49">
        <v>4.82</v>
      </c>
      <c r="F160" s="49"/>
      <c r="G160" s="49">
        <v>4.82</v>
      </c>
      <c r="H160" s="50" t="s">
        <v>502</v>
      </c>
      <c r="I160" s="51">
        <v>-148</v>
      </c>
      <c r="J160" s="49"/>
      <c r="K160" s="49"/>
      <c r="L160" s="49" t="str">
        <f>IF(-25.07*4.82=0," ",TEXT(,ROUND((-25.07*4.82*1.222),2)))</f>
        <v>-147,66</v>
      </c>
      <c r="M160" s="49"/>
      <c r="N160" s="49"/>
      <c r="O160" s="52"/>
      <c r="P160" s="52"/>
      <c r="Q160" s="52"/>
      <c r="R160" s="52"/>
      <c r="S160" s="52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 t="s">
        <v>503</v>
      </c>
      <c r="AG160" s="53" t="s">
        <v>134</v>
      </c>
      <c r="AH160" s="53"/>
      <c r="AI160" s="53">
        <f>0+0</f>
        <v>0</v>
      </c>
    </row>
    <row r="161" spans="1:35" ht="66" x14ac:dyDescent="0.25">
      <c r="A161" s="46">
        <v>108</v>
      </c>
      <c r="B161" s="47" t="s">
        <v>135</v>
      </c>
      <c r="C161" s="48" t="str">
        <f t="shared" ca="1" si="5"/>
        <v xml:space="preserve">Изоспан: Двухслойная паропроницаемая мембрана марки В 14,62/5,56=2,63
м2
</v>
      </c>
      <c r="D161" s="46">
        <v>25.07</v>
      </c>
      <c r="E161" s="49">
        <v>2.63</v>
      </c>
      <c r="F161" s="49"/>
      <c r="G161" s="49">
        <v>2.63</v>
      </c>
      <c r="H161" s="50" t="s">
        <v>136</v>
      </c>
      <c r="I161" s="51">
        <v>367</v>
      </c>
      <c r="J161" s="49"/>
      <c r="K161" s="49"/>
      <c r="L161" s="49" t="str">
        <f>IF(25.07*2.63=0," ",TEXT(,ROUND((25.07*2.63*5.56),2)))</f>
        <v>366,59</v>
      </c>
      <c r="M161" s="49"/>
      <c r="N161" s="49"/>
      <c r="O161" s="52"/>
      <c r="P161" s="52"/>
      <c r="Q161" s="52"/>
      <c r="R161" s="52"/>
      <c r="S161" s="52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 t="s">
        <v>137</v>
      </c>
      <c r="AG161" s="53" t="s">
        <v>134</v>
      </c>
      <c r="AH161" s="53"/>
      <c r="AI161" s="53">
        <f>0+0</f>
        <v>0</v>
      </c>
    </row>
    <row r="162" spans="1:35" ht="211.2" x14ac:dyDescent="0.25">
      <c r="A162" s="46">
        <v>109</v>
      </c>
      <c r="B162" s="47" t="s">
        <v>440</v>
      </c>
      <c r="C162" s="48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(материалы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1991 руб. НР 77%=100%*(0,85*0,9) от ФОТ (2586 руб.)
1241 руб.СП 48%=70%*(0,8*0,85) от ФОТ (2586 руб.)
</v>
      </c>
      <c r="D162" s="46">
        <v>0.48</v>
      </c>
      <c r="E162" s="49" t="s">
        <v>441</v>
      </c>
      <c r="F162" s="49">
        <v>50.59</v>
      </c>
      <c r="G162" s="49"/>
      <c r="H162" s="50" t="s">
        <v>442</v>
      </c>
      <c r="I162" s="51">
        <v>2908</v>
      </c>
      <c r="J162" s="49">
        <v>2586</v>
      </c>
      <c r="K162" s="49">
        <v>322</v>
      </c>
      <c r="L162" s="49" t="str">
        <f>IF(0.48*0=0," ",TEXT(,ROUND((0.48*0*9.72),2)))</f>
        <v xml:space="preserve"> </v>
      </c>
      <c r="M162" s="49">
        <v>31.98</v>
      </c>
      <c r="N162" s="49">
        <v>15.35</v>
      </c>
      <c r="O162" s="52"/>
      <c r="P162" s="52"/>
      <c r="Q162" s="52"/>
      <c r="R162" s="52"/>
      <c r="S162" s="52"/>
      <c r="T162" s="53"/>
      <c r="U162" s="53"/>
      <c r="V162" s="53"/>
      <c r="W162" s="53"/>
      <c r="X162" s="53"/>
      <c r="Y162" s="53"/>
      <c r="Z162" s="53"/>
      <c r="AA162" s="53" t="s">
        <v>301</v>
      </c>
      <c r="AB162" s="53" t="s">
        <v>34</v>
      </c>
      <c r="AC162" s="53">
        <v>1991</v>
      </c>
      <c r="AD162" s="53">
        <v>1241</v>
      </c>
      <c r="AE162" s="63" t="s">
        <v>443</v>
      </c>
      <c r="AF162" s="53" t="s">
        <v>444</v>
      </c>
      <c r="AG162" s="53" t="s">
        <v>445</v>
      </c>
      <c r="AH162" s="53"/>
      <c r="AI162" s="53">
        <f>2586+0</f>
        <v>2586</v>
      </c>
    </row>
    <row r="163" spans="1:35" ht="66" x14ac:dyDescent="0.25">
      <c r="A163" s="46">
        <v>110</v>
      </c>
      <c r="B163" s="47" t="s">
        <v>504</v>
      </c>
      <c r="C163" s="48" t="str">
        <f t="shared" ca="1" si="5"/>
        <v xml:space="preserve">Утеплитель URSA: М 15, толщиной 50 мм 94,37/5,56=16,97
м2
</v>
      </c>
      <c r="D163" s="46" t="s">
        <v>505</v>
      </c>
      <c r="E163" s="49">
        <v>16.97</v>
      </c>
      <c r="F163" s="49"/>
      <c r="G163" s="49">
        <v>16.97</v>
      </c>
      <c r="H163" s="50" t="s">
        <v>136</v>
      </c>
      <c r="I163" s="51">
        <v>9330</v>
      </c>
      <c r="J163" s="49"/>
      <c r="K163" s="49"/>
      <c r="L163" s="49" t="str">
        <f>IF(98.88*16.97=0," ",TEXT(,ROUND((98.88*16.97*5.56),2)))</f>
        <v>9329,64</v>
      </c>
      <c r="M163" s="49"/>
      <c r="N163" s="49"/>
      <c r="O163" s="52"/>
      <c r="P163" s="52"/>
      <c r="Q163" s="52"/>
      <c r="R163" s="52"/>
      <c r="S163" s="52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 t="s">
        <v>506</v>
      </c>
      <c r="AG163" s="53" t="s">
        <v>134</v>
      </c>
      <c r="AH163" s="53"/>
      <c r="AI163" s="53">
        <f>0+0</f>
        <v>0</v>
      </c>
    </row>
    <row r="164" spans="1:35" ht="237.6" x14ac:dyDescent="0.25">
      <c r="A164" s="46">
        <v>111</v>
      </c>
      <c r="B164" s="47" t="s">
        <v>507</v>
      </c>
      <c r="C164" s="48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(В 2 слоя ПЗ=2 (ОЗП=2; ЭМ=2 к расх.; ЗПМ=2; МАТ=2 к расх.; ТЗ=2; ТЗМ=2);
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3787 руб. НР 77%=100%*(0,85*0,9) от ФОТ (4918 руб.)
2361 руб.СП 48%=70%*(0,8*0,85) от ФОТ (4918 руб.)
</v>
      </c>
      <c r="D164" s="46">
        <v>0.45800000000000002</v>
      </c>
      <c r="E164" s="49" t="s">
        <v>508</v>
      </c>
      <c r="F164" s="49">
        <v>101.18</v>
      </c>
      <c r="G164" s="49"/>
      <c r="H164" s="50" t="s">
        <v>442</v>
      </c>
      <c r="I164" s="51">
        <v>5540</v>
      </c>
      <c r="J164" s="49">
        <v>4918</v>
      </c>
      <c r="K164" s="49">
        <v>622</v>
      </c>
      <c r="L164" s="49" t="str">
        <f>IF(0.458*0=0," ",TEXT(,ROUND((0.458*0*9.72),2)))</f>
        <v xml:space="preserve"> </v>
      </c>
      <c r="M164" s="49">
        <v>63.96</v>
      </c>
      <c r="N164" s="49">
        <v>29.29</v>
      </c>
      <c r="O164" s="52"/>
      <c r="P164" s="52"/>
      <c r="Q164" s="52"/>
      <c r="R164" s="52"/>
      <c r="S164" s="52"/>
      <c r="T164" s="53"/>
      <c r="U164" s="53"/>
      <c r="V164" s="53"/>
      <c r="W164" s="53"/>
      <c r="X164" s="53"/>
      <c r="Y164" s="53"/>
      <c r="Z164" s="53"/>
      <c r="AA164" s="53" t="s">
        <v>301</v>
      </c>
      <c r="AB164" s="53" t="s">
        <v>34</v>
      </c>
      <c r="AC164" s="53">
        <v>3787</v>
      </c>
      <c r="AD164" s="53">
        <v>2361</v>
      </c>
      <c r="AE164" s="63" t="s">
        <v>509</v>
      </c>
      <c r="AF164" s="53" t="s">
        <v>444</v>
      </c>
      <c r="AG164" s="53" t="s">
        <v>445</v>
      </c>
      <c r="AH164" s="53"/>
      <c r="AI164" s="53">
        <f>4918+0</f>
        <v>4918</v>
      </c>
    </row>
    <row r="165" spans="1:35" ht="52.8" x14ac:dyDescent="0.25">
      <c r="A165" s="46">
        <v>112</v>
      </c>
      <c r="B165" s="47" t="s">
        <v>510</v>
      </c>
      <c r="C165" s="48" t="str">
        <f t="shared" ca="1" si="5"/>
        <v xml:space="preserve">Ткань стеклянная конструкционная марки: Т-13
1000 м2
</v>
      </c>
      <c r="D165" s="46" t="s">
        <v>511</v>
      </c>
      <c r="E165" s="49">
        <v>15914</v>
      </c>
      <c r="F165" s="49"/>
      <c r="G165" s="49">
        <v>15914</v>
      </c>
      <c r="H165" s="50" t="s">
        <v>512</v>
      </c>
      <c r="I165" s="51">
        <v>3551</v>
      </c>
      <c r="J165" s="49"/>
      <c r="K165" s="49"/>
      <c r="L165" s="49" t="str">
        <f>IF(0.10076*15914=0," ",TEXT(,ROUND((0.10076*15914*2.215),2)))</f>
        <v>3551,74</v>
      </c>
      <c r="M165" s="49"/>
      <c r="N165" s="49"/>
      <c r="O165" s="52"/>
      <c r="P165" s="52"/>
      <c r="Q165" s="52"/>
      <c r="R165" s="52"/>
      <c r="S165" s="52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 t="s">
        <v>513</v>
      </c>
      <c r="AG165" s="53" t="s">
        <v>514</v>
      </c>
      <c r="AH165" s="53"/>
      <c r="AI165" s="53">
        <f>0+0</f>
        <v>0</v>
      </c>
    </row>
    <row r="166" spans="1:35" ht="211.2" x14ac:dyDescent="0.25">
      <c r="A166" s="46">
        <v>113</v>
      </c>
      <c r="B166" s="47" t="s">
        <v>447</v>
      </c>
      <c r="C166" s="48" t="str">
        <f t="shared" ca="1" si="5"/>
        <v xml:space="preserve">Покрытие изоляции плоских (криволинейных) поверхностей листовым металлом с заготовкой покрытия
100 м2 поверхности покрытия изоляции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14744 руб. НР 77%=100%*(0,85*0,9) от ФОТ (19148 руб.)
9191 руб.СП 48%=70%*(0,8*0,85) от ФОТ (19148 руб.)
</v>
      </c>
      <c r="D166" s="46">
        <v>0.77800000000000002</v>
      </c>
      <c r="E166" s="49" t="s">
        <v>448</v>
      </c>
      <c r="F166" s="49">
        <v>578.44000000000005</v>
      </c>
      <c r="G166" s="49">
        <v>8515.41</v>
      </c>
      <c r="H166" s="50" t="s">
        <v>449</v>
      </c>
      <c r="I166" s="51">
        <v>48712</v>
      </c>
      <c r="J166" s="49">
        <v>19148</v>
      </c>
      <c r="K166" s="49">
        <v>4588</v>
      </c>
      <c r="L166" s="49" t="str">
        <f>IF(0.778*8515.41=0," ",TEXT(,ROUND((0.778*8515.41*3.77),2)))</f>
        <v>24976,21</v>
      </c>
      <c r="M166" s="49">
        <v>139.55000000000001</v>
      </c>
      <c r="N166" s="49">
        <v>108.57</v>
      </c>
      <c r="O166" s="52"/>
      <c r="P166" s="52"/>
      <c r="Q166" s="52"/>
      <c r="R166" s="52"/>
      <c r="S166" s="52"/>
      <c r="T166" s="53"/>
      <c r="U166" s="53"/>
      <c r="V166" s="53"/>
      <c r="W166" s="53"/>
      <c r="X166" s="53"/>
      <c r="Y166" s="53"/>
      <c r="Z166" s="53"/>
      <c r="AA166" s="53" t="s">
        <v>301</v>
      </c>
      <c r="AB166" s="53" t="s">
        <v>34</v>
      </c>
      <c r="AC166" s="53">
        <v>14744</v>
      </c>
      <c r="AD166" s="53">
        <v>9191</v>
      </c>
      <c r="AE166" s="63" t="s">
        <v>145</v>
      </c>
      <c r="AF166" s="53" t="s">
        <v>450</v>
      </c>
      <c r="AG166" s="53" t="s">
        <v>445</v>
      </c>
      <c r="AH166" s="53"/>
      <c r="AI166" s="53">
        <f>19148+0</f>
        <v>19148</v>
      </c>
    </row>
    <row r="167" spans="1:35" ht="66" x14ac:dyDescent="0.25">
      <c r="A167" s="46">
        <v>114</v>
      </c>
      <c r="B167" s="47" t="s">
        <v>515</v>
      </c>
      <c r="C167" s="48" t="str">
        <f t="shared" ca="1" si="5"/>
        <v xml:space="preserve">Сталь листовая оцинкованная толщиной листа: 0,8 мм
т
</v>
      </c>
      <c r="D167" s="46">
        <v>-0.59830000000000005</v>
      </c>
      <c r="E167" s="49">
        <v>11000</v>
      </c>
      <c r="F167" s="49"/>
      <c r="G167" s="49">
        <v>11000</v>
      </c>
      <c r="H167" s="50" t="s">
        <v>452</v>
      </c>
      <c r="I167" s="51">
        <v>-24850</v>
      </c>
      <c r="J167" s="49"/>
      <c r="K167" s="49"/>
      <c r="L167" s="49" t="str">
        <f>IF(-0.5983*11000=0," ",TEXT(,ROUND((-0.5983*11000*3.776),2)))</f>
        <v>-24850,99</v>
      </c>
      <c r="M167" s="49"/>
      <c r="N167" s="49"/>
      <c r="O167" s="52"/>
      <c r="P167" s="52"/>
      <c r="Q167" s="52"/>
      <c r="R167" s="52"/>
      <c r="S167" s="52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 t="s">
        <v>453</v>
      </c>
      <c r="AG167" s="53" t="s">
        <v>157</v>
      </c>
      <c r="AH167" s="53"/>
      <c r="AI167" s="53">
        <f>0+0</f>
        <v>0</v>
      </c>
    </row>
    <row r="168" spans="1:35" ht="66" x14ac:dyDescent="0.25">
      <c r="A168" s="55">
        <v>115</v>
      </c>
      <c r="B168" s="56" t="s">
        <v>323</v>
      </c>
      <c r="C168" s="57" t="str">
        <f t="shared" ca="1" si="5"/>
        <v xml:space="preserve">Сталь листовая оцинкованная толщиной листа: 0,55 мм
т
</v>
      </c>
      <c r="D168" s="55">
        <v>0.41099999999999998</v>
      </c>
      <c r="E168" s="58">
        <v>10484</v>
      </c>
      <c r="F168" s="58"/>
      <c r="G168" s="58">
        <v>10484</v>
      </c>
      <c r="H168" s="59" t="s">
        <v>324</v>
      </c>
      <c r="I168" s="60">
        <v>17206</v>
      </c>
      <c r="J168" s="58"/>
      <c r="K168" s="58"/>
      <c r="L168" s="58" t="str">
        <f>IF(0.411*10484=0," ",TEXT(,ROUND((0.411*10484*3.993),2)))</f>
        <v>17205,53</v>
      </c>
      <c r="M168" s="58"/>
      <c r="N168" s="58"/>
      <c r="O168" s="52"/>
      <c r="P168" s="52"/>
      <c r="Q168" s="52"/>
      <c r="R168" s="52"/>
      <c r="S168" s="52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 t="s">
        <v>325</v>
      </c>
      <c r="AG168" s="53" t="s">
        <v>157</v>
      </c>
      <c r="AH168" s="53"/>
      <c r="AI168" s="53">
        <f>0+0</f>
        <v>0</v>
      </c>
    </row>
    <row r="169" spans="1:35" ht="26.4" x14ac:dyDescent="0.25">
      <c r="A169" s="73" t="s">
        <v>118</v>
      </c>
      <c r="B169" s="68"/>
      <c r="C169" s="68"/>
      <c r="D169" s="68"/>
      <c r="E169" s="68"/>
      <c r="F169" s="68"/>
      <c r="G169" s="68"/>
      <c r="H169" s="68"/>
      <c r="I169" s="51">
        <v>24999</v>
      </c>
      <c r="J169" s="49">
        <v>1706</v>
      </c>
      <c r="K169" s="49">
        <v>530</v>
      </c>
      <c r="L169" s="49">
        <v>22764</v>
      </c>
      <c r="M169" s="49"/>
      <c r="N169" s="49" t="s">
        <v>516</v>
      </c>
      <c r="O169" s="18"/>
      <c r="P169" s="19"/>
      <c r="Q169" s="18"/>
      <c r="R169" s="18"/>
      <c r="S169" s="18"/>
    </row>
    <row r="170" spans="1:35" ht="26.4" x14ac:dyDescent="0.25">
      <c r="A170" s="73" t="s">
        <v>219</v>
      </c>
      <c r="B170" s="68"/>
      <c r="C170" s="68"/>
      <c r="D170" s="68"/>
      <c r="E170" s="68"/>
      <c r="F170" s="68"/>
      <c r="G170" s="68"/>
      <c r="H170" s="68"/>
      <c r="I170" s="51">
        <v>25388</v>
      </c>
      <c r="J170" s="49">
        <v>1962</v>
      </c>
      <c r="K170" s="49">
        <v>663</v>
      </c>
      <c r="L170" s="49">
        <v>22764</v>
      </c>
      <c r="M170" s="49"/>
      <c r="N170" s="49" t="s">
        <v>517</v>
      </c>
      <c r="O170" s="18"/>
      <c r="P170" s="19"/>
      <c r="Q170" s="18"/>
      <c r="R170" s="18"/>
      <c r="S170" s="18"/>
    </row>
    <row r="171" spans="1:35" x14ac:dyDescent="0.25">
      <c r="A171" s="73" t="s">
        <v>222</v>
      </c>
      <c r="B171" s="68"/>
      <c r="C171" s="68"/>
      <c r="D171" s="68"/>
      <c r="E171" s="68"/>
      <c r="F171" s="68"/>
      <c r="G171" s="68"/>
      <c r="H171" s="68"/>
      <c r="I171" s="51"/>
      <c r="J171" s="49"/>
      <c r="K171" s="49"/>
      <c r="L171" s="49"/>
      <c r="M171" s="49"/>
      <c r="N171" s="49"/>
      <c r="O171" s="18"/>
      <c r="P171" s="19"/>
      <c r="Q171" s="18"/>
      <c r="R171" s="18"/>
      <c r="S171" s="18"/>
    </row>
    <row r="172" spans="1:35" ht="27.9" customHeight="1" x14ac:dyDescent="0.25">
      <c r="A172" s="73" t="s">
        <v>518</v>
      </c>
      <c r="B172" s="68"/>
      <c r="C172" s="68"/>
      <c r="D172" s="68"/>
      <c r="E172" s="68"/>
      <c r="F172" s="68"/>
      <c r="G172" s="68"/>
      <c r="H172" s="68"/>
      <c r="I172" s="51">
        <v>389</v>
      </c>
      <c r="J172" s="49">
        <v>256</v>
      </c>
      <c r="K172" s="49">
        <v>133</v>
      </c>
      <c r="L172" s="49"/>
      <c r="M172" s="49"/>
      <c r="N172" s="49" t="s">
        <v>519</v>
      </c>
      <c r="O172" s="18"/>
      <c r="P172" s="19"/>
      <c r="Q172" s="18"/>
      <c r="R172" s="18"/>
      <c r="S172" s="18"/>
    </row>
    <row r="173" spans="1:35" ht="26.4" x14ac:dyDescent="0.25">
      <c r="A173" s="73" t="s">
        <v>121</v>
      </c>
      <c r="B173" s="68"/>
      <c r="C173" s="68"/>
      <c r="D173" s="68"/>
      <c r="E173" s="68"/>
      <c r="F173" s="68"/>
      <c r="G173" s="68"/>
      <c r="H173" s="68"/>
      <c r="I173" s="51">
        <v>90988</v>
      </c>
      <c r="J173" s="49">
        <v>33159</v>
      </c>
      <c r="K173" s="49">
        <v>5672</v>
      </c>
      <c r="L173" s="49">
        <v>52158</v>
      </c>
      <c r="M173" s="49"/>
      <c r="N173" s="49" t="s">
        <v>517</v>
      </c>
      <c r="O173" s="18"/>
      <c r="P173" s="19"/>
      <c r="Q173" s="18"/>
      <c r="R173" s="18"/>
      <c r="S173" s="18"/>
    </row>
    <row r="174" spans="1:35" x14ac:dyDescent="0.25">
      <c r="A174" s="73" t="s">
        <v>123</v>
      </c>
      <c r="B174" s="68"/>
      <c r="C174" s="68"/>
      <c r="D174" s="68"/>
      <c r="E174" s="68"/>
      <c r="F174" s="68"/>
      <c r="G174" s="68"/>
      <c r="H174" s="68"/>
      <c r="I174" s="51">
        <v>26789</v>
      </c>
      <c r="J174" s="49"/>
      <c r="K174" s="49"/>
      <c r="L174" s="49"/>
      <c r="M174" s="49"/>
      <c r="N174" s="49"/>
      <c r="O174" s="18"/>
      <c r="P174" s="19"/>
      <c r="Q174" s="18"/>
      <c r="R174" s="18"/>
      <c r="S174" s="18"/>
    </row>
    <row r="175" spans="1:35" x14ac:dyDescent="0.25">
      <c r="A175" s="73" t="s">
        <v>124</v>
      </c>
      <c r="B175" s="68"/>
      <c r="C175" s="68"/>
      <c r="D175" s="68"/>
      <c r="E175" s="68"/>
      <c r="F175" s="68"/>
      <c r="G175" s="68"/>
      <c r="H175" s="68"/>
      <c r="I175" s="51">
        <v>16394</v>
      </c>
      <c r="J175" s="49"/>
      <c r="K175" s="49"/>
      <c r="L175" s="49"/>
      <c r="M175" s="49"/>
      <c r="N175" s="49"/>
      <c r="O175" s="18"/>
      <c r="P175" s="19"/>
      <c r="Q175" s="18"/>
      <c r="R175" s="18"/>
      <c r="S175" s="18"/>
    </row>
    <row r="176" spans="1:35" ht="26.4" x14ac:dyDescent="0.25">
      <c r="A176" s="74" t="s">
        <v>520</v>
      </c>
      <c r="B176" s="75"/>
      <c r="C176" s="75"/>
      <c r="D176" s="75"/>
      <c r="E176" s="75"/>
      <c r="F176" s="75"/>
      <c r="G176" s="75"/>
      <c r="H176" s="75"/>
      <c r="I176" s="61">
        <v>134171</v>
      </c>
      <c r="J176" s="62"/>
      <c r="K176" s="62"/>
      <c r="L176" s="62"/>
      <c r="M176" s="62"/>
      <c r="N176" s="62" t="s">
        <v>517</v>
      </c>
      <c r="O176" s="18"/>
      <c r="P176" s="19"/>
      <c r="Q176" s="18"/>
      <c r="R176" s="18"/>
      <c r="S176" s="18"/>
    </row>
    <row r="177" spans="1:35" ht="21" customHeight="1" x14ac:dyDescent="0.25">
      <c r="A177" s="71" t="s">
        <v>521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</row>
    <row r="178" spans="1:35" ht="118.8" x14ac:dyDescent="0.25">
      <c r="A178" s="46">
        <v>116</v>
      </c>
      <c r="B178" s="47" t="s">
        <v>522</v>
      </c>
      <c r="C178" s="48" t="str">
        <f t="shared" ref="C178:C188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8789 руб. НР 81%=95%*0,85 от ФОТ (10850 руб.)
5642 руб.СП 52%=65%*0,8 от ФОТ (10850 руб.)
</v>
      </c>
      <c r="D178" s="46">
        <v>3.37</v>
      </c>
      <c r="E178" s="49" t="s">
        <v>523</v>
      </c>
      <c r="F178" s="49" t="s">
        <v>524</v>
      </c>
      <c r="G178" s="49">
        <v>301.01</v>
      </c>
      <c r="H178" s="50" t="s">
        <v>525</v>
      </c>
      <c r="I178" s="51">
        <v>15815</v>
      </c>
      <c r="J178" s="49">
        <v>10765</v>
      </c>
      <c r="K178" s="49" t="s">
        <v>526</v>
      </c>
      <c r="L178" s="49" t="str">
        <f>IF(3.37*301.01=0," ",TEXT(,ROUND((3.37*301.01*3.52),2)))</f>
        <v>3570,7</v>
      </c>
      <c r="M178" s="49" t="s">
        <v>527</v>
      </c>
      <c r="N178" s="49" t="s">
        <v>528</v>
      </c>
      <c r="O178" s="52"/>
      <c r="P178" s="52"/>
      <c r="Q178" s="52"/>
      <c r="R178" s="52"/>
      <c r="S178" s="52"/>
      <c r="T178" s="53"/>
      <c r="U178" s="53"/>
      <c r="V178" s="53"/>
      <c r="W178" s="53"/>
      <c r="X178" s="53"/>
      <c r="Y178" s="53"/>
      <c r="Z178" s="53"/>
      <c r="AA178" s="53" t="s">
        <v>529</v>
      </c>
      <c r="AB178" s="53" t="s">
        <v>41</v>
      </c>
      <c r="AC178" s="53">
        <v>8789</v>
      </c>
      <c r="AD178" s="53">
        <v>5642</v>
      </c>
      <c r="AE178" s="53"/>
      <c r="AF178" s="53" t="s">
        <v>530</v>
      </c>
      <c r="AG178" s="53" t="s">
        <v>233</v>
      </c>
      <c r="AH178" s="53"/>
      <c r="AI178" s="53">
        <f>10765+85</f>
        <v>10850</v>
      </c>
    </row>
    <row r="179" spans="1:35" ht="105.6" x14ac:dyDescent="0.25">
      <c r="A179" s="46">
        <v>117</v>
      </c>
      <c r="B179" s="47" t="s">
        <v>522</v>
      </c>
      <c r="C179" s="48" t="str">
        <f t="shared" ca="1" si="6"/>
        <v xml:space="preserve">Проводник заземляющий открыто по строительным основаниям: из круглой стали диаметром 8 мм
100 м
3805 руб. НР 81%=95%*0,85 от ФОТ (4698 руб.)
2443 руб.СП 52%=65%*0,8 от ФОТ (4698 руб.)
</v>
      </c>
      <c r="D179" s="46">
        <v>1.46</v>
      </c>
      <c r="E179" s="49" t="s">
        <v>523</v>
      </c>
      <c r="F179" s="49" t="s">
        <v>524</v>
      </c>
      <c r="G179" s="49">
        <v>301.01</v>
      </c>
      <c r="H179" s="50" t="s">
        <v>525</v>
      </c>
      <c r="I179" s="51">
        <v>6849</v>
      </c>
      <c r="J179" s="49">
        <v>4664</v>
      </c>
      <c r="K179" s="49" t="s">
        <v>531</v>
      </c>
      <c r="L179" s="49" t="str">
        <f>IF(1.46*301.01=0," ",TEXT(,ROUND((1.46*301.01*3.52),2)))</f>
        <v>1546,95</v>
      </c>
      <c r="M179" s="49" t="s">
        <v>527</v>
      </c>
      <c r="N179" s="49" t="s">
        <v>532</v>
      </c>
      <c r="O179" s="52"/>
      <c r="P179" s="52"/>
      <c r="Q179" s="52"/>
      <c r="R179" s="52"/>
      <c r="S179" s="52"/>
      <c r="T179" s="53"/>
      <c r="U179" s="53"/>
      <c r="V179" s="53"/>
      <c r="W179" s="53"/>
      <c r="X179" s="53"/>
      <c r="Y179" s="53"/>
      <c r="Z179" s="53"/>
      <c r="AA179" s="53" t="s">
        <v>529</v>
      </c>
      <c r="AB179" s="53" t="s">
        <v>41</v>
      </c>
      <c r="AC179" s="53">
        <v>3805</v>
      </c>
      <c r="AD179" s="53">
        <v>2443</v>
      </c>
      <c r="AE179" s="53"/>
      <c r="AF179" s="53" t="s">
        <v>530</v>
      </c>
      <c r="AG179" s="53" t="s">
        <v>233</v>
      </c>
      <c r="AH179" s="53"/>
      <c r="AI179" s="53">
        <f>4664+34</f>
        <v>4698</v>
      </c>
    </row>
    <row r="180" spans="1:35" ht="66" x14ac:dyDescent="0.25">
      <c r="A180" s="46">
        <v>118</v>
      </c>
      <c r="B180" s="47" t="s">
        <v>533</v>
      </c>
      <c r="C180" s="48" t="str">
        <f t="shared" ca="1" si="6"/>
        <v xml:space="preserve">Сталь листовая углеродистая обыкновенного качества марки ВСт3пс5 толщиной: 4-6 мм
т
</v>
      </c>
      <c r="D180" s="46" t="s">
        <v>534</v>
      </c>
      <c r="E180" s="49">
        <v>5763</v>
      </c>
      <c r="F180" s="49"/>
      <c r="G180" s="49">
        <v>5763</v>
      </c>
      <c r="H180" s="50" t="s">
        <v>535</v>
      </c>
      <c r="I180" s="51">
        <v>-5604</v>
      </c>
      <c r="J180" s="49"/>
      <c r="K180" s="49"/>
      <c r="L180" s="49" t="str">
        <f>IF(-0.1932*5763=0," ",TEXT(,ROUND((-0.1932*5763*5.035),2)))</f>
        <v>-5606,03</v>
      </c>
      <c r="M180" s="49"/>
      <c r="N180" s="49"/>
      <c r="O180" s="52"/>
      <c r="P180" s="52"/>
      <c r="Q180" s="52"/>
      <c r="R180" s="52"/>
      <c r="S180" s="52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 t="s">
        <v>536</v>
      </c>
      <c r="AG180" s="53" t="s">
        <v>157</v>
      </c>
      <c r="AH180" s="53"/>
      <c r="AI180" s="53">
        <f>0+0</f>
        <v>0</v>
      </c>
    </row>
    <row r="181" spans="1:35" ht="66" x14ac:dyDescent="0.25">
      <c r="A181" s="46">
        <v>119</v>
      </c>
      <c r="B181" s="47" t="s">
        <v>537</v>
      </c>
      <c r="C181" s="48" t="str">
        <f t="shared" ca="1" si="6"/>
        <v xml:space="preserve">Сталь круглая углеродистая обыкновенного качества марки ВСт3пс5-1 диаметром: 8 мм
т
</v>
      </c>
      <c r="D181" s="46" t="s">
        <v>538</v>
      </c>
      <c r="E181" s="49">
        <v>5230.01</v>
      </c>
      <c r="F181" s="49"/>
      <c r="G181" s="49">
        <v>5230.01</v>
      </c>
      <c r="H181" s="50" t="s">
        <v>539</v>
      </c>
      <c r="I181" s="51">
        <v>4987</v>
      </c>
      <c r="J181" s="49"/>
      <c r="K181" s="49"/>
      <c r="L181" s="49" t="str">
        <f>IF(0.19077*5230.01=0," ",TEXT(,ROUND((0.19077*5230.01*4.997),2)))</f>
        <v>4985,65</v>
      </c>
      <c r="M181" s="49"/>
      <c r="N181" s="49"/>
      <c r="O181" s="52"/>
      <c r="P181" s="52"/>
      <c r="Q181" s="52"/>
      <c r="R181" s="52"/>
      <c r="S181" s="52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 t="s">
        <v>540</v>
      </c>
      <c r="AG181" s="53" t="s">
        <v>157</v>
      </c>
      <c r="AH181" s="53"/>
      <c r="AI181" s="53">
        <f>0+0</f>
        <v>0</v>
      </c>
    </row>
    <row r="182" spans="1:35" ht="105.6" x14ac:dyDescent="0.25">
      <c r="A182" s="46">
        <v>120</v>
      </c>
      <c r="B182" s="47" t="s">
        <v>541</v>
      </c>
      <c r="C182" s="48" t="str">
        <f t="shared" ca="1" si="6"/>
        <v xml:space="preserve">Проводник заземляющий открыто по строительным основаниям: из круглой стали диаметром 12 мм
100 м
5298 руб. НР 81%=95%*0,85 от ФОТ (6541 руб.)
3401 руб.СП 52%=65%*0,8 от ФОТ (6541 руб.)
</v>
      </c>
      <c r="D182" s="46" t="s">
        <v>542</v>
      </c>
      <c r="E182" s="49" t="s">
        <v>543</v>
      </c>
      <c r="F182" s="49" t="s">
        <v>544</v>
      </c>
      <c r="G182" s="49">
        <v>105.21</v>
      </c>
      <c r="H182" s="50" t="s">
        <v>525</v>
      </c>
      <c r="I182" s="51">
        <v>8288</v>
      </c>
      <c r="J182" s="49">
        <v>6456</v>
      </c>
      <c r="K182" s="49" t="s">
        <v>545</v>
      </c>
      <c r="L182" s="49" t="str">
        <f>IF(1.91*105.21=0," ",TEXT(,ROUND((1.91*105.21*3.52),2)))</f>
        <v>707,35</v>
      </c>
      <c r="M182" s="49" t="s">
        <v>546</v>
      </c>
      <c r="N182" s="49" t="s">
        <v>547</v>
      </c>
      <c r="O182" s="52"/>
      <c r="P182" s="52"/>
      <c r="Q182" s="52"/>
      <c r="R182" s="52"/>
      <c r="S182" s="52"/>
      <c r="T182" s="53"/>
      <c r="U182" s="53"/>
      <c r="V182" s="53"/>
      <c r="W182" s="53"/>
      <c r="X182" s="53"/>
      <c r="Y182" s="53"/>
      <c r="Z182" s="53"/>
      <c r="AA182" s="53" t="s">
        <v>529</v>
      </c>
      <c r="AB182" s="53" t="s">
        <v>41</v>
      </c>
      <c r="AC182" s="53">
        <v>5298</v>
      </c>
      <c r="AD182" s="53">
        <v>3401</v>
      </c>
      <c r="AE182" s="53"/>
      <c r="AF182" s="53" t="s">
        <v>548</v>
      </c>
      <c r="AG182" s="53" t="s">
        <v>233</v>
      </c>
      <c r="AH182" s="53"/>
      <c r="AI182" s="53">
        <f>6456+85</f>
        <v>6541</v>
      </c>
    </row>
    <row r="183" spans="1:35" ht="66" x14ac:dyDescent="0.25">
      <c r="A183" s="46">
        <v>121</v>
      </c>
      <c r="B183" s="47" t="s">
        <v>549</v>
      </c>
      <c r="C183" s="48" t="str">
        <f t="shared" ca="1" si="6"/>
        <v xml:space="preserve">Сталь круглая углеродистая обыкновенного качества марки ВСт3пс5-1 диаметром: 16 мм
т
</v>
      </c>
      <c r="D183" s="46">
        <v>0.30180000000000001</v>
      </c>
      <c r="E183" s="49">
        <v>5230.01</v>
      </c>
      <c r="F183" s="49"/>
      <c r="G183" s="49">
        <v>5230.01</v>
      </c>
      <c r="H183" s="50" t="s">
        <v>550</v>
      </c>
      <c r="I183" s="51">
        <v>7677</v>
      </c>
      <c r="J183" s="49"/>
      <c r="K183" s="49"/>
      <c r="L183" s="49" t="str">
        <f>IF(0.3018*5230.01=0," ",TEXT(,ROUND((0.3018*5230.01*4.865),2)))</f>
        <v>7679</v>
      </c>
      <c r="M183" s="49"/>
      <c r="N183" s="49"/>
      <c r="O183" s="52"/>
      <c r="P183" s="52"/>
      <c r="Q183" s="52"/>
      <c r="R183" s="52"/>
      <c r="S183" s="52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 t="s">
        <v>551</v>
      </c>
      <c r="AG183" s="53" t="s">
        <v>157</v>
      </c>
      <c r="AH183" s="53"/>
      <c r="AI183" s="53">
        <f>0+0</f>
        <v>0</v>
      </c>
    </row>
    <row r="184" spans="1:35" ht="92.4" x14ac:dyDescent="0.25">
      <c r="A184" s="46">
        <v>122</v>
      </c>
      <c r="B184" s="47" t="s">
        <v>552</v>
      </c>
      <c r="C184" s="48" t="str">
        <f t="shared" ca="1" si="6"/>
        <v xml:space="preserve">Заземлитель вертикальный из круглой стали диаметром: 16 мм
10 шт.
876 руб. НР 81%=95%*0,85 от ФОТ (1082 руб.)
563 руб.СП 52%=65%*0,8 от ФОТ (1082 руб.)
</v>
      </c>
      <c r="D184" s="46">
        <v>0.8</v>
      </c>
      <c r="E184" s="49" t="s">
        <v>553</v>
      </c>
      <c r="F184" s="49" t="s">
        <v>554</v>
      </c>
      <c r="G184" s="49">
        <v>25.46</v>
      </c>
      <c r="H184" s="50" t="s">
        <v>555</v>
      </c>
      <c r="I184" s="51">
        <v>1485</v>
      </c>
      <c r="J184" s="49">
        <v>1048</v>
      </c>
      <c r="K184" s="49" t="s">
        <v>556</v>
      </c>
      <c r="L184" s="49" t="str">
        <f>IF(0.8*25.46=0," ",TEXT(,ROUND((0.8*25.46*3.6),2)))</f>
        <v>73,32</v>
      </c>
      <c r="M184" s="49" t="s">
        <v>557</v>
      </c>
      <c r="N184" s="49" t="s">
        <v>283</v>
      </c>
      <c r="O184" s="52"/>
      <c r="P184" s="52"/>
      <c r="Q184" s="52"/>
      <c r="R184" s="52"/>
      <c r="S184" s="52"/>
      <c r="T184" s="53"/>
      <c r="U184" s="53"/>
      <c r="V184" s="53"/>
      <c r="W184" s="53"/>
      <c r="X184" s="53"/>
      <c r="Y184" s="53"/>
      <c r="Z184" s="53"/>
      <c r="AA184" s="53" t="s">
        <v>529</v>
      </c>
      <c r="AB184" s="53" t="s">
        <v>41</v>
      </c>
      <c r="AC184" s="53">
        <v>876</v>
      </c>
      <c r="AD184" s="53">
        <v>563</v>
      </c>
      <c r="AE184" s="53"/>
      <c r="AF184" s="53" t="s">
        <v>558</v>
      </c>
      <c r="AG184" s="53" t="s">
        <v>559</v>
      </c>
      <c r="AH184" s="53"/>
      <c r="AI184" s="53">
        <f>1048+34</f>
        <v>1082</v>
      </c>
    </row>
    <row r="185" spans="1:35" ht="66" x14ac:dyDescent="0.25">
      <c r="A185" s="46">
        <v>123</v>
      </c>
      <c r="B185" s="47" t="s">
        <v>549</v>
      </c>
      <c r="C185" s="48" t="str">
        <f t="shared" ca="1" si="6"/>
        <v xml:space="preserve">Сталь круглая углеродистая обыкновенного качества марки ВСт3пс5-1 диаметром: 16 мм
т
</v>
      </c>
      <c r="D185" s="46">
        <v>6.3200000000000006E-2</v>
      </c>
      <c r="E185" s="49">
        <v>5230.01</v>
      </c>
      <c r="F185" s="49"/>
      <c r="G185" s="49">
        <v>5230.01</v>
      </c>
      <c r="H185" s="50" t="s">
        <v>550</v>
      </c>
      <c r="I185" s="51">
        <v>1610</v>
      </c>
      <c r="J185" s="49"/>
      <c r="K185" s="49"/>
      <c r="L185" s="49" t="str">
        <f>IF(0.0632*5230.01=0," ",TEXT(,ROUND((0.0632*5230.01*4.865),2)))</f>
        <v>1608,06</v>
      </c>
      <c r="M185" s="49"/>
      <c r="N185" s="49"/>
      <c r="O185" s="52"/>
      <c r="P185" s="52"/>
      <c r="Q185" s="52"/>
      <c r="R185" s="52"/>
      <c r="S185" s="52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 t="s">
        <v>551</v>
      </c>
      <c r="AG185" s="53" t="s">
        <v>157</v>
      </c>
      <c r="AH185" s="53"/>
      <c r="AI185" s="53">
        <f>0+0</f>
        <v>0</v>
      </c>
    </row>
    <row r="186" spans="1:35" ht="105.6" x14ac:dyDescent="0.25">
      <c r="A186" s="46">
        <v>124</v>
      </c>
      <c r="B186" s="47" t="s">
        <v>560</v>
      </c>
      <c r="C186" s="48" t="str">
        <f t="shared" ca="1" si="6"/>
        <v xml:space="preserve">Проводник заземляющий открыто по строительным основаниям: из полосовой стали сечением 160 мм2
100 м
288 руб. НР 81%=95%*0,85 от ФОТ (355 руб.)
185 руб.СП 52%=65%*0,8 от ФОТ (355 руб.)
</v>
      </c>
      <c r="D186" s="46">
        <v>0.104</v>
      </c>
      <c r="E186" s="49" t="s">
        <v>561</v>
      </c>
      <c r="F186" s="49" t="s">
        <v>562</v>
      </c>
      <c r="G186" s="49">
        <v>106.57</v>
      </c>
      <c r="H186" s="50" t="s">
        <v>525</v>
      </c>
      <c r="I186" s="51">
        <v>471</v>
      </c>
      <c r="J186" s="49">
        <v>355</v>
      </c>
      <c r="K186" s="49">
        <v>77</v>
      </c>
      <c r="L186" s="49" t="str">
        <f>IF(0.104*106.57=0," ",TEXT(,ROUND((0.104*106.57*3.52),2)))</f>
        <v>39,01</v>
      </c>
      <c r="M186" s="49" t="s">
        <v>563</v>
      </c>
      <c r="N186" s="49" t="s">
        <v>564</v>
      </c>
      <c r="O186" s="52"/>
      <c r="P186" s="52"/>
      <c r="Q186" s="52"/>
      <c r="R186" s="52"/>
      <c r="S186" s="52"/>
      <c r="T186" s="53"/>
      <c r="U186" s="53"/>
      <c r="V186" s="53"/>
      <c r="W186" s="53"/>
      <c r="X186" s="53"/>
      <c r="Y186" s="53"/>
      <c r="Z186" s="53"/>
      <c r="AA186" s="53" t="s">
        <v>529</v>
      </c>
      <c r="AB186" s="53" t="s">
        <v>41</v>
      </c>
      <c r="AC186" s="53">
        <v>288</v>
      </c>
      <c r="AD186" s="53">
        <v>185</v>
      </c>
      <c r="AE186" s="53"/>
      <c r="AF186" s="53" t="s">
        <v>565</v>
      </c>
      <c r="AG186" s="53" t="s">
        <v>233</v>
      </c>
      <c r="AH186" s="53"/>
      <c r="AI186" s="53">
        <f>355+0</f>
        <v>355</v>
      </c>
    </row>
    <row r="187" spans="1:35" ht="66" x14ac:dyDescent="0.25">
      <c r="A187" s="46">
        <v>125</v>
      </c>
      <c r="B187" s="47" t="s">
        <v>533</v>
      </c>
      <c r="C187" s="48" t="str">
        <f t="shared" ca="1" si="6"/>
        <v xml:space="preserve">Сталь листовая углеродистая обыкновенного качества марки ВСт3пс5 толщиной: 4-6 мм
т
</v>
      </c>
      <c r="D187" s="46">
        <v>1.324E-2</v>
      </c>
      <c r="E187" s="49">
        <v>5763</v>
      </c>
      <c r="F187" s="49"/>
      <c r="G187" s="49">
        <v>5763</v>
      </c>
      <c r="H187" s="50" t="s">
        <v>535</v>
      </c>
      <c r="I187" s="51">
        <v>383</v>
      </c>
      <c r="J187" s="49"/>
      <c r="K187" s="49"/>
      <c r="L187" s="49" t="str">
        <f>IF(0.01324*5763=0," ",TEXT(,ROUND((0.01324*5763*5.035),2)))</f>
        <v>384,18</v>
      </c>
      <c r="M187" s="49"/>
      <c r="N187" s="49"/>
      <c r="O187" s="52"/>
      <c r="P187" s="52"/>
      <c r="Q187" s="52"/>
      <c r="R187" s="52"/>
      <c r="S187" s="52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 t="s">
        <v>536</v>
      </c>
      <c r="AG187" s="53" t="s">
        <v>157</v>
      </c>
      <c r="AH187" s="53"/>
      <c r="AI187" s="53">
        <f>0+0</f>
        <v>0</v>
      </c>
    </row>
    <row r="188" spans="1:35" ht="92.4" x14ac:dyDescent="0.25">
      <c r="A188" s="55">
        <v>126</v>
      </c>
      <c r="B188" s="56" t="s">
        <v>566</v>
      </c>
      <c r="C188" s="57" t="str">
        <f t="shared" ca="1" si="6"/>
        <v xml:space="preserve">Измерение сопротивления растеканию тока: заземлителя
1 измерение
576 руб. НР 55%=65%*0,85 от ФОТ (1048 руб.)
335 руб.СП 32%=40%*0,8 от ФОТ (1048 руб.)
</v>
      </c>
      <c r="D188" s="55">
        <v>4</v>
      </c>
      <c r="E188" s="58" t="s">
        <v>567</v>
      </c>
      <c r="F188" s="58"/>
      <c r="G188" s="58"/>
      <c r="H188" s="59" t="s">
        <v>568</v>
      </c>
      <c r="I188" s="60">
        <v>1048</v>
      </c>
      <c r="J188" s="58">
        <v>1048</v>
      </c>
      <c r="K188" s="58"/>
      <c r="L188" s="58" t="str">
        <f>IF(4*0=0," ",TEXT(,ROUND((4*0*1),2)))</f>
        <v xml:space="preserve"> </v>
      </c>
      <c r="M188" s="58">
        <v>1.22</v>
      </c>
      <c r="N188" s="58">
        <v>4.88</v>
      </c>
      <c r="O188" s="52"/>
      <c r="P188" s="52"/>
      <c r="Q188" s="52"/>
      <c r="R188" s="52"/>
      <c r="S188" s="52"/>
      <c r="T188" s="53"/>
      <c r="U188" s="53"/>
      <c r="V188" s="53"/>
      <c r="W188" s="53"/>
      <c r="X188" s="53"/>
      <c r="Y188" s="53"/>
      <c r="Z188" s="53"/>
      <c r="AA188" s="53" t="s">
        <v>569</v>
      </c>
      <c r="AB188" s="53" t="s">
        <v>570</v>
      </c>
      <c r="AC188" s="53">
        <v>576</v>
      </c>
      <c r="AD188" s="53">
        <v>335</v>
      </c>
      <c r="AE188" s="53"/>
      <c r="AF188" s="53" t="s">
        <v>571</v>
      </c>
      <c r="AG188" s="53" t="s">
        <v>572</v>
      </c>
      <c r="AH188" s="53"/>
      <c r="AI188" s="53">
        <f>1048+0</f>
        <v>1048</v>
      </c>
    </row>
    <row r="189" spans="1:35" ht="26.4" x14ac:dyDescent="0.25">
      <c r="A189" s="73" t="s">
        <v>118</v>
      </c>
      <c r="B189" s="68"/>
      <c r="C189" s="68"/>
      <c r="D189" s="68"/>
      <c r="E189" s="68"/>
      <c r="F189" s="68"/>
      <c r="G189" s="68"/>
      <c r="H189" s="68"/>
      <c r="I189" s="51">
        <v>5429</v>
      </c>
      <c r="J189" s="49">
        <v>1440</v>
      </c>
      <c r="K189" s="49" t="s">
        <v>573</v>
      </c>
      <c r="L189" s="49">
        <v>3555</v>
      </c>
      <c r="M189" s="49"/>
      <c r="N189" s="49" t="s">
        <v>574</v>
      </c>
      <c r="O189" s="18"/>
      <c r="P189" s="19"/>
      <c r="Q189" s="18"/>
      <c r="R189" s="18"/>
      <c r="S189" s="18"/>
    </row>
    <row r="190" spans="1:35" ht="26.4" x14ac:dyDescent="0.25">
      <c r="A190" s="73" t="s">
        <v>121</v>
      </c>
      <c r="B190" s="68"/>
      <c r="C190" s="68"/>
      <c r="D190" s="68"/>
      <c r="E190" s="68"/>
      <c r="F190" s="68"/>
      <c r="G190" s="68"/>
      <c r="H190" s="68"/>
      <c r="I190" s="51">
        <v>43009</v>
      </c>
      <c r="J190" s="49">
        <v>24337</v>
      </c>
      <c r="K190" s="49" t="s">
        <v>575</v>
      </c>
      <c r="L190" s="49">
        <v>14987</v>
      </c>
      <c r="M190" s="49"/>
      <c r="N190" s="49" t="s">
        <v>574</v>
      </c>
      <c r="O190" s="18"/>
      <c r="P190" s="19"/>
      <c r="Q190" s="18"/>
      <c r="R190" s="18"/>
      <c r="S190" s="18"/>
    </row>
    <row r="191" spans="1:35" x14ac:dyDescent="0.25">
      <c r="A191" s="73" t="s">
        <v>123</v>
      </c>
      <c r="B191" s="68"/>
      <c r="C191" s="68"/>
      <c r="D191" s="68"/>
      <c r="E191" s="68"/>
      <c r="F191" s="68"/>
      <c r="G191" s="68"/>
      <c r="H191" s="68"/>
      <c r="I191" s="51">
        <v>19632</v>
      </c>
      <c r="J191" s="49"/>
      <c r="K191" s="49"/>
      <c r="L191" s="49"/>
      <c r="M191" s="49"/>
      <c r="N191" s="49"/>
      <c r="O191" s="18"/>
      <c r="P191" s="19"/>
      <c r="Q191" s="18"/>
      <c r="R191" s="18"/>
      <c r="S191" s="18"/>
    </row>
    <row r="192" spans="1:35" x14ac:dyDescent="0.25">
      <c r="A192" s="73" t="s">
        <v>124</v>
      </c>
      <c r="B192" s="68"/>
      <c r="C192" s="68"/>
      <c r="D192" s="68"/>
      <c r="E192" s="68"/>
      <c r="F192" s="68"/>
      <c r="G192" s="68"/>
      <c r="H192" s="68"/>
      <c r="I192" s="51">
        <v>12569</v>
      </c>
      <c r="J192" s="49"/>
      <c r="K192" s="49"/>
      <c r="L192" s="49"/>
      <c r="M192" s="49"/>
      <c r="N192" s="49"/>
      <c r="O192" s="18"/>
      <c r="P192" s="19"/>
      <c r="Q192" s="18"/>
      <c r="R192" s="18"/>
      <c r="S192" s="18"/>
    </row>
    <row r="193" spans="1:35" ht="26.4" x14ac:dyDescent="0.25">
      <c r="A193" s="74" t="s">
        <v>576</v>
      </c>
      <c r="B193" s="75"/>
      <c r="C193" s="75"/>
      <c r="D193" s="75"/>
      <c r="E193" s="75"/>
      <c r="F193" s="75"/>
      <c r="G193" s="75"/>
      <c r="H193" s="75"/>
      <c r="I193" s="61">
        <v>75210</v>
      </c>
      <c r="J193" s="62"/>
      <c r="K193" s="62"/>
      <c r="L193" s="62"/>
      <c r="M193" s="62"/>
      <c r="N193" s="62" t="s">
        <v>574</v>
      </c>
      <c r="O193" s="18"/>
      <c r="P193" s="19"/>
      <c r="Q193" s="18"/>
      <c r="R193" s="18"/>
      <c r="S193" s="18"/>
    </row>
    <row r="194" spans="1:35" ht="21" customHeight="1" x14ac:dyDescent="0.25">
      <c r="A194" s="71" t="s">
        <v>577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</row>
    <row r="195" spans="1:35" ht="66" customHeight="1" x14ac:dyDescent="0.25">
      <c r="A195" s="46">
        <v>127</v>
      </c>
      <c r="B195" s="47" t="s">
        <v>578</v>
      </c>
      <c r="C195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195" s="46">
        <v>6.4</v>
      </c>
      <c r="E195" s="49" t="s">
        <v>579</v>
      </c>
      <c r="F195" s="49"/>
      <c r="G195" s="49"/>
      <c r="H195" s="50" t="s">
        <v>580</v>
      </c>
      <c r="I195" s="51">
        <v>3061</v>
      </c>
      <c r="J195" s="49">
        <v>3061</v>
      </c>
      <c r="K195" s="49"/>
      <c r="L195" s="49" t="str">
        <f>IF(6.4*0=0," ",TEXT(,ROUND((6.4*0*1),2)))</f>
        <v xml:space="preserve"> </v>
      </c>
      <c r="M195" s="49"/>
      <c r="N195" s="49"/>
      <c r="O195" s="52"/>
      <c r="P195" s="52"/>
      <c r="Q195" s="52"/>
      <c r="R195" s="52"/>
      <c r="S195" s="52"/>
      <c r="T195" s="53"/>
      <c r="U195" s="53"/>
      <c r="V195" s="53"/>
      <c r="W195" s="53"/>
      <c r="X195" s="53"/>
      <c r="Y195" s="53"/>
      <c r="Z195" s="53"/>
      <c r="AA195" s="53" t="s">
        <v>581</v>
      </c>
      <c r="AB195" s="53" t="s">
        <v>582</v>
      </c>
      <c r="AC195" s="53"/>
      <c r="AD195" s="53"/>
      <c r="AE195" s="53"/>
      <c r="AF195" s="53" t="s">
        <v>583</v>
      </c>
      <c r="AG195" s="53" t="s">
        <v>584</v>
      </c>
      <c r="AH195" s="53"/>
      <c r="AI195" s="53">
        <f>3061+0</f>
        <v>3061</v>
      </c>
    </row>
    <row r="196" spans="1:35" ht="64.2" customHeight="1" x14ac:dyDescent="0.25">
      <c r="A196" s="46">
        <v>128</v>
      </c>
      <c r="B196" s="47" t="s">
        <v>585</v>
      </c>
      <c r="C196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экскаваторами емкостью ковша до 0,5 м3
1 т груза
</v>
      </c>
      <c r="D196" s="46">
        <v>206.6</v>
      </c>
      <c r="E196" s="49">
        <v>3.28</v>
      </c>
      <c r="F196" s="49">
        <v>3.28</v>
      </c>
      <c r="G196" s="49"/>
      <c r="H196" s="50" t="s">
        <v>586</v>
      </c>
      <c r="I196" s="51">
        <v>7865</v>
      </c>
      <c r="J196" s="49"/>
      <c r="K196" s="49">
        <v>7865</v>
      </c>
      <c r="L196" s="49" t="str">
        <f>IF(206.6*0=0," ",TEXT(,ROUND((206.6*0*1),2)))</f>
        <v xml:space="preserve"> </v>
      </c>
      <c r="M196" s="49"/>
      <c r="N196" s="49"/>
      <c r="O196" s="52"/>
      <c r="P196" s="52"/>
      <c r="Q196" s="52"/>
      <c r="R196" s="52"/>
      <c r="S196" s="52"/>
      <c r="T196" s="53"/>
      <c r="U196" s="53"/>
      <c r="V196" s="53"/>
      <c r="W196" s="53"/>
      <c r="X196" s="53"/>
      <c r="Y196" s="53"/>
      <c r="Z196" s="53"/>
      <c r="AA196" s="53" t="s">
        <v>581</v>
      </c>
      <c r="AB196" s="53" t="s">
        <v>582</v>
      </c>
      <c r="AC196" s="53"/>
      <c r="AD196" s="53"/>
      <c r="AE196" s="53"/>
      <c r="AF196" s="53" t="s">
        <v>587</v>
      </c>
      <c r="AG196" s="53" t="s">
        <v>584</v>
      </c>
      <c r="AH196" s="53"/>
      <c r="AI196" s="53">
        <f>0+0</f>
        <v>0</v>
      </c>
    </row>
    <row r="197" spans="1:35" ht="80.400000000000006" customHeight="1" x14ac:dyDescent="0.25">
      <c r="A197" s="55">
        <v>129</v>
      </c>
      <c r="B197" s="56" t="s">
        <v>588</v>
      </c>
      <c r="C197" s="57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197" s="55">
        <v>213</v>
      </c>
      <c r="E197" s="58">
        <v>13.38</v>
      </c>
      <c r="F197" s="58">
        <v>13.38</v>
      </c>
      <c r="G197" s="58"/>
      <c r="H197" s="59" t="s">
        <v>589</v>
      </c>
      <c r="I197" s="60">
        <v>28044</v>
      </c>
      <c r="J197" s="58"/>
      <c r="K197" s="58">
        <v>28044</v>
      </c>
      <c r="L197" s="58" t="str">
        <f>IF(213*0=0," ",TEXT(,ROUND((213*0*1),2)))</f>
        <v xml:space="preserve"> </v>
      </c>
      <c r="M197" s="58"/>
      <c r="N197" s="58"/>
      <c r="O197" s="52"/>
      <c r="P197" s="52"/>
      <c r="Q197" s="52"/>
      <c r="R197" s="52"/>
      <c r="S197" s="52"/>
      <c r="T197" s="53"/>
      <c r="U197" s="53"/>
      <c r="V197" s="53"/>
      <c r="W197" s="53"/>
      <c r="X197" s="53"/>
      <c r="Y197" s="53"/>
      <c r="Z197" s="53"/>
      <c r="AA197" s="53" t="s">
        <v>150</v>
      </c>
      <c r="AB197" s="53" t="s">
        <v>151</v>
      </c>
      <c r="AC197" s="53"/>
      <c r="AD197" s="53"/>
      <c r="AE197" s="53"/>
      <c r="AF197" s="53" t="s">
        <v>590</v>
      </c>
      <c r="AG197" s="53" t="s">
        <v>584</v>
      </c>
      <c r="AH197" s="53"/>
      <c r="AI197" s="53">
        <f>0+0</f>
        <v>0</v>
      </c>
    </row>
    <row r="198" spans="1:35" x14ac:dyDescent="0.25">
      <c r="A198" s="73" t="s">
        <v>118</v>
      </c>
      <c r="B198" s="68"/>
      <c r="C198" s="68"/>
      <c r="D198" s="68"/>
      <c r="E198" s="68"/>
      <c r="F198" s="68"/>
      <c r="G198" s="68"/>
      <c r="H198" s="68"/>
      <c r="I198" s="51">
        <v>3803</v>
      </c>
      <c r="J198" s="49">
        <v>275</v>
      </c>
      <c r="K198" s="49">
        <v>3528</v>
      </c>
      <c r="L198" s="49"/>
      <c r="M198" s="49"/>
      <c r="N198" s="49"/>
      <c r="O198" s="18"/>
      <c r="P198" s="19"/>
      <c r="Q198" s="18"/>
      <c r="R198" s="18"/>
      <c r="S198" s="18"/>
    </row>
    <row r="199" spans="1:35" x14ac:dyDescent="0.25">
      <c r="A199" s="73" t="s">
        <v>121</v>
      </c>
      <c r="B199" s="68"/>
      <c r="C199" s="68"/>
      <c r="D199" s="68"/>
      <c r="E199" s="68"/>
      <c r="F199" s="68"/>
      <c r="G199" s="68"/>
      <c r="H199" s="68"/>
      <c r="I199" s="51">
        <v>38970</v>
      </c>
      <c r="J199" s="49">
        <v>3061</v>
      </c>
      <c r="K199" s="49">
        <v>35909</v>
      </c>
      <c r="L199" s="49"/>
      <c r="M199" s="49"/>
      <c r="N199" s="49"/>
      <c r="O199" s="18"/>
      <c r="P199" s="19"/>
      <c r="Q199" s="18"/>
      <c r="R199" s="18"/>
      <c r="S199" s="18"/>
    </row>
    <row r="200" spans="1:35" x14ac:dyDescent="0.25">
      <c r="A200" s="74" t="s">
        <v>591</v>
      </c>
      <c r="B200" s="75"/>
      <c r="C200" s="75"/>
      <c r="D200" s="75"/>
      <c r="E200" s="75"/>
      <c r="F200" s="75"/>
      <c r="G200" s="75"/>
      <c r="H200" s="75"/>
      <c r="I200" s="61">
        <v>38970</v>
      </c>
      <c r="J200" s="62"/>
      <c r="K200" s="62"/>
      <c r="L200" s="58"/>
      <c r="M200" s="58"/>
      <c r="N200" s="58"/>
      <c r="O200" s="18"/>
      <c r="P200" s="19"/>
      <c r="Q200" s="18"/>
      <c r="R200" s="18"/>
      <c r="S200" s="18"/>
    </row>
    <row r="201" spans="1:35" ht="26.4" x14ac:dyDescent="0.25">
      <c r="A201" s="67" t="s">
        <v>592</v>
      </c>
      <c r="B201" s="68"/>
      <c r="C201" s="68"/>
      <c r="D201" s="68"/>
      <c r="E201" s="68"/>
      <c r="F201" s="68"/>
      <c r="G201" s="68"/>
      <c r="H201" s="68"/>
      <c r="I201" s="64">
        <v>616327</v>
      </c>
      <c r="J201" s="64">
        <v>52010</v>
      </c>
      <c r="K201" s="64" t="s">
        <v>593</v>
      </c>
      <c r="L201" s="64">
        <v>542974</v>
      </c>
      <c r="M201" s="64"/>
      <c r="N201" s="64" t="s">
        <v>594</v>
      </c>
      <c r="O201" s="18"/>
      <c r="P201" s="19"/>
      <c r="Q201" s="18"/>
      <c r="R201" s="18"/>
      <c r="S201" s="18"/>
    </row>
    <row r="202" spans="1:35" ht="26.4" x14ac:dyDescent="0.25">
      <c r="A202" s="67" t="s">
        <v>595</v>
      </c>
      <c r="B202" s="68"/>
      <c r="C202" s="68"/>
      <c r="D202" s="68"/>
      <c r="E202" s="68"/>
      <c r="F202" s="68"/>
      <c r="G202" s="68"/>
      <c r="H202" s="68"/>
      <c r="I202" s="64">
        <v>624570</v>
      </c>
      <c r="J202" s="64">
        <v>56905</v>
      </c>
      <c r="K202" s="64" t="s">
        <v>596</v>
      </c>
      <c r="L202" s="64">
        <v>542974</v>
      </c>
      <c r="M202" s="64"/>
      <c r="N202" s="64" t="s">
        <v>597</v>
      </c>
      <c r="O202" s="18"/>
      <c r="P202" s="19"/>
      <c r="Q202" s="18"/>
      <c r="R202" s="18"/>
      <c r="S202" s="18"/>
    </row>
    <row r="203" spans="1:35" ht="26.4" x14ac:dyDescent="0.25">
      <c r="A203" s="67" t="s">
        <v>598</v>
      </c>
      <c r="B203" s="68"/>
      <c r="C203" s="68"/>
      <c r="D203" s="68"/>
      <c r="E203" s="68"/>
      <c r="F203" s="68"/>
      <c r="G203" s="68"/>
      <c r="H203" s="68"/>
      <c r="I203" s="64">
        <v>3772231</v>
      </c>
      <c r="J203" s="64">
        <v>960110</v>
      </c>
      <c r="K203" s="64" t="s">
        <v>599</v>
      </c>
      <c r="L203" s="64">
        <v>2563968</v>
      </c>
      <c r="M203" s="64"/>
      <c r="N203" s="64" t="s">
        <v>597</v>
      </c>
      <c r="O203" s="18"/>
      <c r="P203" s="19"/>
      <c r="Q203" s="18"/>
      <c r="R203" s="18"/>
      <c r="S203" s="18"/>
    </row>
    <row r="204" spans="1:35" x14ac:dyDescent="0.25">
      <c r="A204" s="67" t="s">
        <v>123</v>
      </c>
      <c r="B204" s="68"/>
      <c r="C204" s="68"/>
      <c r="D204" s="68"/>
      <c r="E204" s="68"/>
      <c r="F204" s="68"/>
      <c r="G204" s="68"/>
      <c r="H204" s="68"/>
      <c r="I204" s="64">
        <v>818908</v>
      </c>
      <c r="J204" s="64"/>
      <c r="K204" s="64"/>
      <c r="L204" s="64"/>
      <c r="M204" s="64"/>
      <c r="N204" s="64"/>
      <c r="O204" s="18"/>
      <c r="P204" s="19"/>
      <c r="Q204" s="18"/>
      <c r="R204" s="18"/>
      <c r="S204" s="18"/>
    </row>
    <row r="205" spans="1:35" x14ac:dyDescent="0.25">
      <c r="A205" s="67" t="s">
        <v>124</v>
      </c>
      <c r="B205" s="68"/>
      <c r="C205" s="68"/>
      <c r="D205" s="68"/>
      <c r="E205" s="68"/>
      <c r="F205" s="68"/>
      <c r="G205" s="68"/>
      <c r="H205" s="68"/>
      <c r="I205" s="64">
        <v>465671</v>
      </c>
      <c r="J205" s="64"/>
      <c r="K205" s="64"/>
      <c r="L205" s="64"/>
      <c r="M205" s="64"/>
      <c r="N205" s="64"/>
      <c r="O205" s="18"/>
      <c r="P205" s="19"/>
      <c r="Q205" s="18"/>
      <c r="R205" s="18"/>
      <c r="S205" s="18"/>
    </row>
    <row r="206" spans="1:35" x14ac:dyDescent="0.25">
      <c r="A206" s="69" t="s">
        <v>600</v>
      </c>
      <c r="B206" s="70"/>
      <c r="C206" s="70"/>
      <c r="D206" s="70"/>
      <c r="E206" s="70"/>
      <c r="F206" s="70"/>
      <c r="G206" s="70"/>
      <c r="H206" s="70"/>
      <c r="I206" s="65"/>
      <c r="J206" s="65"/>
      <c r="K206" s="65"/>
      <c r="L206" s="65"/>
      <c r="M206" s="65"/>
      <c r="N206" s="65"/>
      <c r="O206" s="18"/>
      <c r="P206" s="19"/>
      <c r="Q206" s="18"/>
      <c r="R206" s="18"/>
      <c r="S206" s="18"/>
    </row>
    <row r="207" spans="1:35" ht="26.4" x14ac:dyDescent="0.25">
      <c r="A207" s="67" t="s">
        <v>601</v>
      </c>
      <c r="B207" s="68"/>
      <c r="C207" s="68"/>
      <c r="D207" s="68"/>
      <c r="E207" s="68"/>
      <c r="F207" s="68"/>
      <c r="G207" s="68"/>
      <c r="H207" s="68"/>
      <c r="I207" s="64">
        <v>4983559</v>
      </c>
      <c r="J207" s="64"/>
      <c r="K207" s="64"/>
      <c r="L207" s="64"/>
      <c r="M207" s="64"/>
      <c r="N207" s="64" t="s">
        <v>615</v>
      </c>
      <c r="O207" s="18"/>
      <c r="P207" s="19"/>
      <c r="Q207" s="18"/>
      <c r="R207" s="18"/>
      <c r="S207" s="18"/>
    </row>
    <row r="208" spans="1:35" ht="26.4" x14ac:dyDescent="0.25">
      <c r="A208" s="67" t="s">
        <v>602</v>
      </c>
      <c r="B208" s="68"/>
      <c r="C208" s="68"/>
      <c r="D208" s="68"/>
      <c r="E208" s="68"/>
      <c r="F208" s="68"/>
      <c r="G208" s="68"/>
      <c r="H208" s="68"/>
      <c r="I208" s="64">
        <v>73251</v>
      </c>
      <c r="J208" s="64"/>
      <c r="K208" s="64"/>
      <c r="L208" s="64"/>
      <c r="M208" s="64"/>
      <c r="N208" s="64" t="s">
        <v>603</v>
      </c>
      <c r="O208" s="18"/>
      <c r="P208" s="19"/>
      <c r="Q208" s="18"/>
      <c r="R208" s="18"/>
      <c r="S208" s="18"/>
    </row>
    <row r="209" spans="1:19" ht="26.4" x14ac:dyDescent="0.25">
      <c r="A209" s="67" t="s">
        <v>604</v>
      </c>
      <c r="B209" s="68"/>
      <c r="C209" s="68"/>
      <c r="D209" s="68"/>
      <c r="E209" s="68"/>
      <c r="F209" s="68"/>
      <c r="G209" s="68"/>
      <c r="H209" s="68"/>
      <c r="I209" s="64">
        <v>5056810</v>
      </c>
      <c r="J209" s="64"/>
      <c r="K209" s="64"/>
      <c r="L209" s="64"/>
      <c r="M209" s="64"/>
      <c r="N209" s="64" t="s">
        <v>597</v>
      </c>
      <c r="O209" s="18"/>
      <c r="P209" s="19"/>
      <c r="Q209" s="18"/>
      <c r="R209" s="18"/>
      <c r="S209" s="18"/>
    </row>
    <row r="210" spans="1:19" x14ac:dyDescent="0.25">
      <c r="A210" s="67" t="s">
        <v>605</v>
      </c>
      <c r="B210" s="68"/>
      <c r="C210" s="68"/>
      <c r="D210" s="68"/>
      <c r="E210" s="68"/>
      <c r="F210" s="68"/>
      <c r="G210" s="68"/>
      <c r="H210" s="68"/>
      <c r="I210" s="64"/>
      <c r="J210" s="64"/>
      <c r="K210" s="64"/>
      <c r="L210" s="64"/>
      <c r="M210" s="64"/>
      <c r="N210" s="64"/>
      <c r="O210" s="18"/>
      <c r="P210" s="19"/>
      <c r="Q210" s="18"/>
      <c r="R210" s="18"/>
      <c r="S210" s="18"/>
    </row>
    <row r="211" spans="1:19" x14ac:dyDescent="0.25">
      <c r="A211" s="67" t="s">
        <v>606</v>
      </c>
      <c r="B211" s="68"/>
      <c r="C211" s="68"/>
      <c r="D211" s="68"/>
      <c r="E211" s="68"/>
      <c r="F211" s="68"/>
      <c r="G211" s="68"/>
      <c r="H211" s="68"/>
      <c r="I211" s="64">
        <v>2563968</v>
      </c>
      <c r="J211" s="64"/>
      <c r="K211" s="64"/>
      <c r="L211" s="64"/>
      <c r="M211" s="64"/>
      <c r="N211" s="64"/>
      <c r="O211" s="18"/>
      <c r="P211" s="19"/>
      <c r="Q211" s="18"/>
      <c r="R211" s="18"/>
      <c r="S211" s="18"/>
    </row>
    <row r="212" spans="1:19" x14ac:dyDescent="0.25">
      <c r="A212" s="67" t="s">
        <v>607</v>
      </c>
      <c r="B212" s="68"/>
      <c r="C212" s="68"/>
      <c r="D212" s="68"/>
      <c r="E212" s="68"/>
      <c r="F212" s="68"/>
      <c r="G212" s="68"/>
      <c r="H212" s="68"/>
      <c r="I212" s="64">
        <v>248151</v>
      </c>
      <c r="J212" s="64"/>
      <c r="K212" s="64"/>
      <c r="L212" s="64"/>
      <c r="M212" s="64"/>
      <c r="N212" s="64"/>
      <c r="O212" s="18"/>
      <c r="P212" s="19"/>
      <c r="Q212" s="18"/>
      <c r="R212" s="18"/>
      <c r="S212" s="18"/>
    </row>
    <row r="213" spans="1:19" x14ac:dyDescent="0.25">
      <c r="A213" s="67" t="s">
        <v>608</v>
      </c>
      <c r="B213" s="68"/>
      <c r="C213" s="68"/>
      <c r="D213" s="68"/>
      <c r="E213" s="68"/>
      <c r="F213" s="68"/>
      <c r="G213" s="68"/>
      <c r="H213" s="68"/>
      <c r="I213" s="64">
        <v>984870</v>
      </c>
      <c r="J213" s="64"/>
      <c r="K213" s="64"/>
      <c r="L213" s="64"/>
      <c r="M213" s="64"/>
      <c r="N213" s="64"/>
      <c r="O213" s="18"/>
      <c r="P213" s="19"/>
      <c r="Q213" s="18"/>
      <c r="R213" s="18"/>
      <c r="S213" s="18"/>
    </row>
    <row r="214" spans="1:19" x14ac:dyDescent="0.25">
      <c r="A214" s="67" t="s">
        <v>609</v>
      </c>
      <c r="B214" s="68"/>
      <c r="C214" s="68"/>
      <c r="D214" s="68"/>
      <c r="E214" s="68"/>
      <c r="F214" s="68"/>
      <c r="G214" s="68"/>
      <c r="H214" s="68"/>
      <c r="I214" s="64">
        <v>818908</v>
      </c>
      <c r="J214" s="64"/>
      <c r="K214" s="64"/>
      <c r="L214" s="64"/>
      <c r="M214" s="64"/>
      <c r="N214" s="64"/>
      <c r="O214" s="18"/>
      <c r="P214" s="19"/>
      <c r="Q214" s="18"/>
      <c r="R214" s="18"/>
      <c r="S214" s="18"/>
    </row>
    <row r="215" spans="1:19" x14ac:dyDescent="0.25">
      <c r="A215" s="67" t="s">
        <v>610</v>
      </c>
      <c r="B215" s="68"/>
      <c r="C215" s="68"/>
      <c r="D215" s="68"/>
      <c r="E215" s="68"/>
      <c r="F215" s="68"/>
      <c r="G215" s="68"/>
      <c r="H215" s="68"/>
      <c r="I215" s="64">
        <v>465671</v>
      </c>
      <c r="J215" s="64"/>
      <c r="K215" s="64"/>
      <c r="L215" s="64"/>
      <c r="M215" s="64"/>
      <c r="N215" s="64"/>
      <c r="O215" s="18"/>
      <c r="P215" s="19"/>
      <c r="Q215" s="18"/>
      <c r="R215" s="18"/>
      <c r="S215" s="18"/>
    </row>
    <row r="216" spans="1:19" ht="26.4" x14ac:dyDescent="0.25">
      <c r="A216" s="69" t="s">
        <v>611</v>
      </c>
      <c r="B216" s="70"/>
      <c r="C216" s="70"/>
      <c r="D216" s="70"/>
      <c r="E216" s="70"/>
      <c r="F216" s="70"/>
      <c r="G216" s="70"/>
      <c r="H216" s="70"/>
      <c r="I216" s="65">
        <v>5056810</v>
      </c>
      <c r="J216" s="65"/>
      <c r="K216" s="65"/>
      <c r="L216" s="65"/>
      <c r="M216" s="65"/>
      <c r="N216" s="65" t="s">
        <v>597</v>
      </c>
      <c r="O216" s="18"/>
      <c r="P216" s="19"/>
      <c r="Q216" s="18"/>
      <c r="R216" s="18"/>
      <c r="S216" s="18"/>
    </row>
    <row r="217" spans="1:19" x14ac:dyDescent="0.25">
      <c r="A217" s="17"/>
      <c r="B217" s="39"/>
      <c r="C217" s="39"/>
      <c r="D217" s="17"/>
      <c r="E217" s="36"/>
      <c r="F217" s="36"/>
      <c r="G217" s="36"/>
      <c r="H217" s="36"/>
      <c r="I217" s="40"/>
      <c r="J217" s="36"/>
      <c r="K217" s="36"/>
      <c r="L217" s="36"/>
      <c r="M217" s="36"/>
      <c r="O217" s="5"/>
      <c r="P217" s="5"/>
      <c r="Q217" s="5"/>
      <c r="R217" s="5"/>
      <c r="S217" s="5"/>
    </row>
    <row r="218" spans="1:19" x14ac:dyDescent="0.25">
      <c r="A218" s="17"/>
      <c r="B218" s="39"/>
      <c r="C218" s="39"/>
      <c r="D218" s="17"/>
      <c r="E218" s="36"/>
      <c r="F218" s="36"/>
      <c r="G218" s="36"/>
      <c r="H218" s="36"/>
      <c r="I218" s="40"/>
      <c r="J218" s="36"/>
      <c r="K218" s="36"/>
      <c r="L218" s="36"/>
      <c r="M218" s="36"/>
    </row>
    <row r="219" spans="1:19" x14ac:dyDescent="0.25">
      <c r="A219" s="17"/>
      <c r="B219" s="39"/>
      <c r="C219" s="41" t="s">
        <v>614</v>
      </c>
      <c r="D219" s="17"/>
      <c r="E219" s="36"/>
      <c r="F219" s="41" t="s">
        <v>28</v>
      </c>
      <c r="G219" s="41"/>
      <c r="H219" s="41"/>
      <c r="I219" s="36"/>
      <c r="J219" s="36"/>
      <c r="K219" s="36"/>
      <c r="L219" s="36"/>
      <c r="M219" s="36"/>
    </row>
  </sheetData>
  <sheetProtection algorithmName="SHA-512" hashValue="zTM2AlUdL1jxE2pPBQs32srPm9xv+PbM3lBPJdDlpjjdY8bugoKq1zluAmBPr+c9VXlVaJKaoK5y9lcT0XfAog==" saltValue="mJ9e3cZ+ncvNlQRJcdsysA==" spinCount="100000" sheet="1" objects="1" scenarios="1" selectLockedCells="1" selectUnlockedCells="1"/>
  <mergeCells count="88"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70:H70"/>
    <mergeCell ref="A20:AI20"/>
    <mergeCell ref="A33:H33"/>
    <mergeCell ref="A34:H34"/>
    <mergeCell ref="A35:H35"/>
    <mergeCell ref="A36:H36"/>
    <mergeCell ref="A37:H37"/>
    <mergeCell ref="A38:AI38"/>
    <mergeCell ref="A66:H66"/>
    <mergeCell ref="A67:H67"/>
    <mergeCell ref="A68:H68"/>
    <mergeCell ref="A69:H69"/>
    <mergeCell ref="A136:H136"/>
    <mergeCell ref="A71:H71"/>
    <mergeCell ref="A72:H72"/>
    <mergeCell ref="A73:H73"/>
    <mergeCell ref="A74:AI74"/>
    <mergeCell ref="A129:H129"/>
    <mergeCell ref="A130:H130"/>
    <mergeCell ref="A131:H131"/>
    <mergeCell ref="A132:H132"/>
    <mergeCell ref="A133:H133"/>
    <mergeCell ref="A134:H134"/>
    <mergeCell ref="A135:H135"/>
    <mergeCell ref="A170:H170"/>
    <mergeCell ref="A137:AI13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AI156"/>
    <mergeCell ref="A169:H169"/>
    <mergeCell ref="A193:H193"/>
    <mergeCell ref="A171:H171"/>
    <mergeCell ref="A172:H172"/>
    <mergeCell ref="A173:H173"/>
    <mergeCell ref="A174:H174"/>
    <mergeCell ref="A175:H175"/>
    <mergeCell ref="A176:H176"/>
    <mergeCell ref="A177:AI177"/>
    <mergeCell ref="A189:H189"/>
    <mergeCell ref="A190:H190"/>
    <mergeCell ref="A191:H191"/>
    <mergeCell ref="A192:H192"/>
    <mergeCell ref="A203:H203"/>
    <mergeCell ref="A204:H204"/>
    <mergeCell ref="A205:H205"/>
    <mergeCell ref="A206:H206"/>
    <mergeCell ref="A207:H207"/>
    <mergeCell ref="H11:N12"/>
    <mergeCell ref="A214:H214"/>
    <mergeCell ref="A215:H215"/>
    <mergeCell ref="A216:H216"/>
    <mergeCell ref="A209:H209"/>
    <mergeCell ref="A210:H210"/>
    <mergeCell ref="A211:H211"/>
    <mergeCell ref="A212:H212"/>
    <mergeCell ref="A213:H213"/>
    <mergeCell ref="A208:H208"/>
    <mergeCell ref="A194:AI194"/>
    <mergeCell ref="A198:H198"/>
    <mergeCell ref="A199:H199"/>
    <mergeCell ref="A200:H200"/>
    <mergeCell ref="A201:H201"/>
    <mergeCell ref="A202:H202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2016-03-29T10:33:31Z</cp:lastPrinted>
  <dcterms:created xsi:type="dcterms:W3CDTF">2003-01-28T12:33:10Z</dcterms:created>
  <dcterms:modified xsi:type="dcterms:W3CDTF">2016-03-29T10:34:00Z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