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ОТДЕЛ ОРГАНИЗАЦИИ КР 2015\КРЫШИ\Конкурс СМР 22.04.16\Фундаменты\Самусь Ленина 20\"/>
    </mc:Choice>
  </mc:AlternateContent>
  <bookViews>
    <workbookView xWindow="0" yWindow="60" windowWidth="7500" windowHeight="4248"/>
  </bookViews>
  <sheets>
    <sheet name="Лок.См.Расч.Баз.-Инд.Методом" sheetId="5" r:id="rId1"/>
  </sheets>
  <definedNames>
    <definedName name="Дата_изменения_группы_строек">#REF!</definedName>
    <definedName name="Дата_изменения_локальной_сметы">#REF!</definedName>
    <definedName name="Дата_изменения_объекта">#REF!</definedName>
    <definedName name="Дата_изменения_объектной_сметы">#REF!</definedName>
    <definedName name="Дата_изменения_очереди">#REF!</definedName>
    <definedName name="Дата_изменения_пускового_комплекса">#REF!</definedName>
    <definedName name="Дата_изменения_сводного_сметного_расчета">#REF!</definedName>
    <definedName name="Дата_изменения_стройки">#REF!</definedName>
    <definedName name="Дата_создания_группы_строек">#REF!</definedName>
    <definedName name="Дата_создания_локальной_сметы">#REF!</definedName>
    <definedName name="Дата_создания_объекта">#REF!</definedName>
    <definedName name="Дата_создания_объектной_сметы">#REF!</definedName>
    <definedName name="Дата_создания_очереди">#REF!</definedName>
    <definedName name="Дата_создания_пускового_комплекса">#REF!</definedName>
    <definedName name="Дата_создания_сводного_сметного_расчета">#REF!</definedName>
    <definedName name="Дата_создания_стройки">#REF!</definedName>
    <definedName name="_xlnm.Print_Titles" localSheetId="0">'Лок.См.Расч.Баз.-Инд.Методом'!$15:$18</definedName>
    <definedName name="Заказчик">#REF!</definedName>
    <definedName name="Инвестор">#REF!</definedName>
    <definedName name="Индекс_ЛН_группы_строек">#REF!</definedName>
    <definedName name="Индекс_ЛН_локальной_сметы">#REF!</definedName>
    <definedName name="Индекс_ЛН_объекта">#REF!</definedName>
    <definedName name="Индекс_ЛН_объектной_сметы">#REF!</definedName>
    <definedName name="Индекс_ЛН_очереди">#REF!</definedName>
    <definedName name="Индекс_ЛН_пускового_комплекса">#REF!</definedName>
    <definedName name="Индекс_ЛН_сводного_сметного_расчета">#REF!</definedName>
    <definedName name="Индекс_ЛН_стройки">#REF!</definedName>
    <definedName name="Итого_ЗПМ__по_рес_расчету_с_учетом_к_тов">#REF!</definedName>
    <definedName name="Итого_ЗПМ_в_базисных_ценах">#REF!</definedName>
    <definedName name="Итого_ЗПМ_в_базисных_ценах_с_учетом_к_тов">#REF!</definedName>
    <definedName name="Итого_ЗПМ_по_акту_вып_работ_в_базисных_ценах_с_учетом_к_тов">#REF!</definedName>
    <definedName name="Итого_ЗПМ_по_акту_вып_работ_при_ресурсном_расчете_с_учетом_к_тов">#REF!</definedName>
    <definedName name="Итого_ЗПМ_по_акту_выполненных_работ_в_базисных_ценах">#REF!</definedName>
    <definedName name="Итого_ЗПМ_по_акту_выполненных_работ_при_ресурсном_расчете">#REF!</definedName>
    <definedName name="Итого_ЗПМ_при_расчете_по_стоимости_ч_часа_работы_механизаторов">#REF!</definedName>
    <definedName name="Итого_МАТ_по_акту_вып_работ_в_базисных_ценах_с_учетом_к_тов">#REF!</definedName>
    <definedName name="Итого_МАТ_по_акту_вып_работ_при_ресурсном_расчете_с_учетом_к_тов">#REF!</definedName>
    <definedName name="Итого_материалы">#REF!</definedName>
    <definedName name="Итого_материалы__по_рес_расчету_с_учетом_к_тов">#REF!</definedName>
    <definedName name="Итого_материалы_в_базисных_ценах">#REF!</definedName>
    <definedName name="Итого_материалы_в_базисных_ценах_с_учетом_к_тов">#REF!</definedName>
    <definedName name="Итого_материалы_по_акту_выполненных_работ_в_базисных_ценах">#REF!</definedName>
    <definedName name="Итого_материалы_по_акту_выполненных_работ_при_ресурсном_расчете">#REF!</definedName>
    <definedName name="Итого_машины_и_механизмы">#REF!</definedName>
    <definedName name="Итого_машины_и_механизмы_в_базисных_ценах">#REF!</definedName>
    <definedName name="Итого_машины_и_механизмы_по_акту_выполненных_работ_в_базисных_ценах">#REF!</definedName>
    <definedName name="Итого_машины_и_механизмы_по_акту_выполненных_работ_при_ресурсном_расчете">#REF!</definedName>
    <definedName name="Итого_НР_в_базисных_ценах">#REF!</definedName>
    <definedName name="Итого_НР_по_акту_в_базисных_ценах">#REF!</definedName>
    <definedName name="Итого_НР_по_акту_по_ресурсному_расчету">#REF!</definedName>
    <definedName name="Итого_НР_по_ресурсному_расчету">#REF!</definedName>
    <definedName name="Итого_ОЗП">#REF!</definedName>
    <definedName name="Итого_ОЗП_в_базисных_ценах">#REF!</definedName>
    <definedName name="Итого_ОЗП_в_базисных_ценах_с_учетом_к_тов">#REF!</definedName>
    <definedName name="Итого_ОЗП_по_акту_вып_работ_в_базисных_ценах_с_учетом_к_тов">#REF!</definedName>
    <definedName name="Итого_ОЗП_по_акту_вып_работ_при_ресурсном_расчете_с_учетом_к_тов">#REF!</definedName>
    <definedName name="Итого_ОЗП_по_акту_выполненных_работ_в_базисных_ценах">#REF!</definedName>
    <definedName name="Итого_ОЗП_по_акту_выполненных_работ_при_ресурсном_расчете">#REF!</definedName>
    <definedName name="Итого_ОЗП_по_рес_расчету_с_учетом_к_тов">#REF!</definedName>
    <definedName name="Итого_ПЗ">#REF!</definedName>
    <definedName name="Итого_ПЗ_в_базисных_ценах">#REF!</definedName>
    <definedName name="Итого_ПЗ_в_базисных_ценах_с_учетом_к_тов">#REF!</definedName>
    <definedName name="Итого_ПЗ_по_акту_вып_работ_в_базисных_ценах_с_учетом_к_тов">#REF!</definedName>
    <definedName name="Итого_ПЗ_по_акту_вып_работ_при_ресурсном_расчете_с_учетом_к_тов">#REF!</definedName>
    <definedName name="Итого_ПЗ_по_акту_выполненных_работ_в_базисных_ценах">#REF!</definedName>
    <definedName name="Итого_ПЗ_по_акту_выполненных_работ_при_ресурсном_расчете">#REF!</definedName>
    <definedName name="Итого_ПЗ_по_рес_расчету_с_учетом_к_тов">#REF!</definedName>
    <definedName name="Итого_СП_в_базисных_ценах">#REF!</definedName>
    <definedName name="Итого_СП_по_акту_в_базисных_ценах">#REF!</definedName>
    <definedName name="Итого_СП_по_акту_по_ресурсному_расчету">#REF!</definedName>
    <definedName name="Итого_СП_по_ресурсному_расчету">#REF!</definedName>
    <definedName name="Итого_ФОТ_в_базисных_ценах">#REF!</definedName>
    <definedName name="Итого_ФОТ_по_акту_выполненных_работ_в_базисных_ценах">#REF!</definedName>
    <definedName name="Итого_ФОТ_по_акту_выполненных_работ_при_ресурсном_расчете">#REF!</definedName>
    <definedName name="Итого_ФОТ_при_расчете_по_доле_з_п_в_стоимости_эксплуатации_машин">#REF!</definedName>
    <definedName name="Итого_ЭММ__по_рес_расчету_с_учетом_к_тов">#REF!</definedName>
    <definedName name="Итого_ЭММ_в_базисных_ценах_с_учетом_к_тов">#REF!</definedName>
    <definedName name="Итого_ЭММ_по_акту_вып_работ_в_базисных_ценах_с_учетом_к_тов">#REF!</definedName>
    <definedName name="Итого_ЭММ_по_акту_вып_работ_при_ресурсном_расчете_с_учетом_к_тов">#REF!</definedName>
    <definedName name="к_ЗПМ">#REF!</definedName>
    <definedName name="к_МАТ">#REF!</definedName>
    <definedName name="к_ОЗП">#REF!</definedName>
    <definedName name="к_ПЗ">#REF!</definedName>
    <definedName name="к_ЭМ">#REF!</definedName>
    <definedName name="Монтажные_работы_в_базисных_ценах">#REF!</definedName>
    <definedName name="Монтажные_работы_в_текущих_ценах">#REF!</definedName>
    <definedName name="Монтажные_работы_в_текущих_ценах_по_ресурсному_расчету">#REF!</definedName>
    <definedName name="Монтажные_работы_в_текущих_ценах_после_применения_индексов">#REF!</definedName>
    <definedName name="Наименование_группы_строек">#REF!</definedName>
    <definedName name="Наименование_локальной_сметы">#REF!</definedName>
    <definedName name="Наименование_объекта">#REF!</definedName>
    <definedName name="Наименование_объектной_сметы">#REF!</definedName>
    <definedName name="Наименование_очереди">#REF!</definedName>
    <definedName name="Наименование_пускового_комплекса">#REF!</definedName>
    <definedName name="Наименование_сводного_сметного_расчета">#REF!</definedName>
    <definedName name="Наименование_стройки">#REF!</definedName>
    <definedName name="Норм_трудоемкость_механизаторов_по_смете_с_учетом_к_тов">#REF!</definedName>
    <definedName name="Норм_трудоемкость_осн_рабочих_по_смете_с_учетом_к_тов">#REF!</definedName>
    <definedName name="Нормативная_трудоемкость_механизаторов_по_смете">#REF!</definedName>
    <definedName name="Нормативная_трудоемкость_основных_рабочих_по_смете">#REF!</definedName>
    <definedName name="_xlnm.Print_Area" localSheetId="0">'Лок.См.Расч.Баз.-Инд.Методом'!$A$1:$N$113</definedName>
    <definedName name="Оборудование_в_базисных_ценах">#REF!</definedName>
    <definedName name="Оборудование_в_текущих_ценах">#REF!</definedName>
    <definedName name="Оборудование_в_текущих_ценах_по_ресурсному_расчету">#REF!</definedName>
    <definedName name="Оборудование_в_текущих_ценах_после_применения_индексов">#REF!</definedName>
    <definedName name="Обоснование_поправки">#REF!</definedName>
    <definedName name="Описание_группы_строек">#REF!</definedName>
    <definedName name="Описание_локальной_сметы">#REF!</definedName>
    <definedName name="Описание_объекта">#REF!</definedName>
    <definedName name="Описание_объектной_сметы">#REF!</definedName>
    <definedName name="Описание_очереди">#REF!</definedName>
    <definedName name="Описание_пускового_комплекса">#REF!</definedName>
    <definedName name="Описание_сводного_сметного_расчета">#REF!</definedName>
    <definedName name="Описание_стройки">#REF!</definedName>
    <definedName name="Основание">#REF!</definedName>
    <definedName name="Отчетный_период__учет_выполненных_работ">#REF!</definedName>
    <definedName name="Проверил">#REF!</definedName>
    <definedName name="Прочие_затраты_в_базисных_ценах">#REF!</definedName>
    <definedName name="Прочие_затраты_в_текущих_ценах">#REF!</definedName>
    <definedName name="Прочие_затраты_в_текущих_ценах_по_ресурсному_расчету">#REF!</definedName>
    <definedName name="Прочие_затраты_в_текущих_ценах_после_применения_индексов">#REF!</definedName>
    <definedName name="Районный_к_т_к_ЗП">#REF!</definedName>
    <definedName name="Районный_к_т_к_ЗП_по_ресурсному_расчету">#REF!</definedName>
    <definedName name="Регистрационный_номер_группы_строек">#REF!</definedName>
    <definedName name="Регистрационный_номер_локальной_сметы">#REF!</definedName>
    <definedName name="Регистрационный_номер_объекта">#REF!</definedName>
    <definedName name="Регистрационный_номер_объектной_сметы">#REF!</definedName>
    <definedName name="Регистрационный_номер_очереди">#REF!</definedName>
    <definedName name="Регистрационный_номер_пускового_комплекса">#REF!</definedName>
    <definedName name="Регистрационный_номер_сводного_сметного_расчета">#REF!</definedName>
    <definedName name="Регистрационный_номер_стройки">#REF!</definedName>
    <definedName name="Сметная_стоимость_в_базисных_ценах">#REF!</definedName>
    <definedName name="Сметная_стоимость_в_текущих_ценах__после_применения_индексов">#REF!</definedName>
    <definedName name="Сметная_стоимость_по_ресурсному_расчету">#REF!</definedName>
    <definedName name="Составил">#REF!</definedName>
    <definedName name="Стоимость_по_акту_выполненных_работ_в_базисных_ценах">#REF!</definedName>
    <definedName name="Стоимость_по_акту_выполненных_работ_при_ресурсном_расчете">#REF!</definedName>
    <definedName name="Строительные_работы_в_базисных_ценах">#REF!</definedName>
    <definedName name="Строительные_работы_в_текущих_ценах">#REF!</definedName>
    <definedName name="Строительные_работы_в_текущих_ценах_по_ресурсному_расчету">#REF!</definedName>
    <definedName name="Строительные_работы_в_текущих_ценах_после_применения_индексов">#REF!</definedName>
    <definedName name="Территориальная_поправка_к_ТЕР">#REF!</definedName>
    <definedName name="Труд_механизаторов_по_акту_вып_работ_с_учетом_к_тов">#REF!</definedName>
    <definedName name="Труд_основн_рабочих_по_акту_вып_работ_с_учетом_к_тов">#REF!</definedName>
    <definedName name="Трудоемкость_механизаторов_по_акту_выполненных_работ">#REF!</definedName>
    <definedName name="Трудоемкость_основных_рабочих_по_акту_выполненных_работ">#REF!</definedName>
    <definedName name="Укрупненный_норматив_НР_для_расчета_в_текущих_ценах_и_ценах_2001г.">#REF!</definedName>
    <definedName name="Укрупненный_норматив_НР_для_расчета_в_ценах_1984г.">#REF!</definedName>
    <definedName name="Укрупненный_норматив_СП_для_расчета_в_текущих_ценах_и_ценах_2001г.">#REF!</definedName>
    <definedName name="Укрупненный_норматив_СП_для_расчета_в_ценах_1984г.">#REF!</definedName>
  </definedNames>
  <calcPr calcId="152511"/>
</workbook>
</file>

<file path=xl/calcChain.xml><?xml version="1.0" encoding="utf-8"?>
<calcChain xmlns="http://schemas.openxmlformats.org/spreadsheetml/2006/main">
  <c r="L69" i="5" l="1"/>
  <c r="AI69" i="5"/>
  <c r="L70" i="5"/>
  <c r="AI70" i="5"/>
  <c r="L71" i="5"/>
  <c r="AI71" i="5"/>
  <c r="L72" i="5"/>
  <c r="AI72" i="5"/>
  <c r="L73" i="5"/>
  <c r="AI73" i="5"/>
  <c r="L74" i="5"/>
  <c r="AI74" i="5"/>
  <c r="L75" i="5"/>
  <c r="AI75" i="5"/>
  <c r="L42" i="5"/>
  <c r="AI42" i="5"/>
  <c r="L43" i="5"/>
  <c r="AI43" i="5"/>
  <c r="L44" i="5"/>
  <c r="AI44" i="5"/>
  <c r="L45" i="5"/>
  <c r="AI45" i="5"/>
  <c r="L46" i="5"/>
  <c r="AI46" i="5"/>
  <c r="L47" i="5"/>
  <c r="AI47" i="5"/>
  <c r="L48" i="5"/>
  <c r="AI48" i="5"/>
  <c r="L49" i="5"/>
  <c r="AI49" i="5"/>
  <c r="L50" i="5"/>
  <c r="AI50" i="5"/>
  <c r="L51" i="5"/>
  <c r="AI51" i="5"/>
  <c r="L52" i="5"/>
  <c r="AI52" i="5"/>
  <c r="L53" i="5"/>
  <c r="AI53" i="5"/>
  <c r="L54" i="5"/>
  <c r="AI54" i="5"/>
  <c r="L55" i="5"/>
  <c r="AI55" i="5"/>
  <c r="L56" i="5"/>
  <c r="AI56" i="5"/>
  <c r="L57" i="5"/>
  <c r="AI57" i="5"/>
  <c r="L58" i="5"/>
  <c r="AI58" i="5"/>
  <c r="L21" i="5"/>
  <c r="AI21" i="5"/>
  <c r="L22" i="5"/>
  <c r="AI22" i="5"/>
  <c r="L23" i="5"/>
  <c r="AI23" i="5"/>
  <c r="L24" i="5"/>
  <c r="AI24" i="5"/>
  <c r="L25" i="5"/>
  <c r="AI25" i="5"/>
  <c r="L26" i="5"/>
  <c r="AI26" i="5"/>
  <c r="L27" i="5"/>
  <c r="AI27" i="5"/>
  <c r="L28" i="5"/>
  <c r="AI28" i="5"/>
  <c r="L29" i="5"/>
  <c r="AI29" i="5"/>
  <c r="L30" i="5"/>
  <c r="AI30" i="5"/>
  <c r="L31" i="5"/>
  <c r="AI31" i="5"/>
  <c r="C72" i="5"/>
  <c r="C21" i="5"/>
  <c r="C27" i="5"/>
  <c r="C58" i="5"/>
  <c r="C30" i="5"/>
  <c r="C53" i="5"/>
  <c r="C48" i="5"/>
  <c r="C49" i="5"/>
  <c r="C51" i="5"/>
  <c r="C44" i="5"/>
  <c r="C29" i="5"/>
  <c r="C74" i="5"/>
  <c r="C25" i="5"/>
  <c r="C69" i="5"/>
  <c r="C23" i="5"/>
  <c r="C31" i="5"/>
  <c r="C55" i="5"/>
  <c r="C24" i="5"/>
  <c r="C45" i="5"/>
  <c r="C46" i="5"/>
  <c r="C42" i="5"/>
  <c r="C75" i="5"/>
  <c r="C26" i="5"/>
  <c r="C71" i="5"/>
  <c r="C22" i="5"/>
  <c r="C70" i="5"/>
  <c r="C56" i="5"/>
  <c r="C54" i="5"/>
  <c r="C52" i="5"/>
  <c r="C57" i="5"/>
  <c r="C47" i="5"/>
  <c r="C73" i="5"/>
  <c r="C43" i="5"/>
  <c r="C28" i="5"/>
  <c r="C50" i="5"/>
</calcChain>
</file>

<file path=xl/comments1.xml><?xml version="1.0" encoding="utf-8"?>
<comments xmlns="http://schemas.openxmlformats.org/spreadsheetml/2006/main">
  <authors>
    <author>&lt;&gt;</author>
    <author>1</author>
    <author>Proba</author>
    <author>wall</author>
    <author>Rus</author>
    <author>Alex</author>
    <author>YuKazaeva</author>
  </authors>
  <commentList>
    <comment ref="F1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&lt;Наименование стройки&gt;</t>
        </r>
      </text>
    </comment>
    <comment ref="A4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&lt;подпись 240 значение&gt;
&lt;подпись 240 атрибут 800 значение&gt;
ИНН/КПП &lt;подпись 240 атрибут 830 значение&gt;/&lt;подпись 240 атрибут 840 значение&gt;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4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&lt;Индекс/ЛН локальной сметы&gt;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I4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&lt;подпись 230 значение&gt;
&lt;подпись 230 атрибут 800 значение&gt;
ИНН/КПП &lt;подпись 230 атрибут 830 значение&gt;/&lt;подпись 230 атрибут 840 значение&gt;</t>
        </r>
      </text>
    </comment>
    <comment ref="D7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&lt;Наименование локальной сметы&gt;, &lt;Наименование объекта&gt;</t>
        </r>
      </text>
    </comment>
    <comment ref="A10" authorId="3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&lt;Основание&gt;
</t>
        </r>
      </text>
    </comment>
    <comment ref="C11" authorId="3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по расчету&gt;</t>
        </r>
      </text>
    </comment>
    <comment ref="D12" authorId="3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ФОТ&gt;</t>
        </r>
      </text>
    </comment>
    <comment ref="A19" authorId="0" shapeId="0">
      <text>
        <r>
          <rPr>
            <sz val="8"/>
            <color indexed="81"/>
            <rFont val="Tahoma"/>
            <family val="2"/>
            <charset val="204"/>
          </rPr>
          <t xml:space="preserve">  &lt;Номер позиции по смете&gt;</t>
        </r>
      </text>
    </comment>
    <comment ref="B19" authorId="0" shapeId="0">
      <text>
        <r>
          <rPr>
            <sz val="8"/>
            <color indexed="81"/>
            <rFont val="Tahoma"/>
            <family val="2"/>
            <charset val="204"/>
          </rPr>
          <t xml:space="preserve"> &lt;Обоснование (код) позиции&gt;
ПЗ=&lt;К-т к позиции на прямые затраты&gt;
ОЗП=&lt;К-т к позиции на основную з/п&gt;
ЭМ=&lt;К-т к позиции на эксплуатацию машин&gt;
ЗПМ=&lt;К-т к позиции на з/п машинистов&gt;
МАТ=&lt;К-т к позиции на материалы&gt;
ТЗ=&lt;К-т к позиции на трудозатраты рабочих&gt;
ТЗМ=&lt;К-т к позиции на трудозатраты механизаторов&gt;
&lt;Примечание&gt;</t>
        </r>
      </text>
    </comment>
    <comment ref="C19" authorId="0" shapeId="0">
      <text>
        <r>
          <rPr>
            <sz val="14"/>
            <color indexed="81"/>
            <rFont val="Tahoma"/>
            <family val="2"/>
            <charset val="204"/>
          </rPr>
          <t xml:space="preserve"> =INDIRECT("</t>
        </r>
        <r>
          <rPr>
            <b/>
            <sz val="14"/>
            <color indexed="81"/>
            <rFont val="Tahoma"/>
            <family val="2"/>
            <charset val="204"/>
          </rPr>
          <t>AF</t>
        </r>
        <r>
          <rPr>
            <sz val="14"/>
            <color indexed="81"/>
            <rFont val="Tahoma"/>
            <family val="2"/>
            <charset val="204"/>
          </rPr>
          <t>"&amp;ROW())&amp;Char(10)&amp;INDIRECT("AG"&amp;ROW())&amp;IF(INDIRECT("AE"&amp;ROW())="", "", Char(10)&amp;INDIRECT("AE"&amp;ROW()))&amp;IF(INDIRECT("AC"&amp;ROW())="", "", Char(10)&amp;INDIRECT("AC"&amp;ROW())&amp;" руб. "&amp;INDIRECT("AA"&amp;ROW())&amp;" ("&amp;INDIRECT("AI"&amp;ROW())&amp;" руб.)")&amp;IF(INDIRECT("AD"&amp;ROW())="", "", Char(10)&amp;INDIRECT("AD"&amp;ROW())&amp;" руб."&amp;INDIRECT("AB"&amp;ROW())&amp;" ("&amp;INDIRECT("AI"&amp;ROW())&amp;" руб.)")&amp;Char(10)&amp;Char(10)&lt;Пустой идентификатор&gt;</t>
        </r>
      </text>
    </comment>
    <comment ref="D1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&lt;Количество всего (физ. объем) по позиции&gt;
&lt;Формула расчета физ. объема&gt;</t>
        </r>
      </text>
    </comment>
    <comment ref="E1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&lt;ПЗ по позиции на единицу в базисных ценах с учетом всех к-тов&gt;</t>
        </r>
        <r>
          <rPr>
            <b/>
            <sz val="8"/>
            <color indexed="81"/>
            <rFont val="Tahoma"/>
            <family val="2"/>
            <charset val="204"/>
          </rPr>
          <t xml:space="preserve">
&lt;ОЗП по позиции на единицу в базисных ценах с учетом всех к-тов&gt;</t>
        </r>
      </text>
    </comment>
    <comment ref="F1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&lt;ЭММ по позиции на единицу в базисных ценах с учетом всех к-тов&gt;
&lt;ЗПМ по позиции на единицу в базисных ценах с учетом всех к-тов&gt;</t>
        </r>
      </text>
    </comment>
    <comment ref="G19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&lt;МАТ по позиции на единицу в базисных ценах с учетом всех к-тов&gt;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H19" authorId="4" shapeId="0">
      <text>
        <r>
          <rPr>
            <sz val="8"/>
            <color indexed="81"/>
            <rFont val="Tahoma"/>
            <family val="2"/>
            <charset val="204"/>
          </rPr>
          <t xml:space="preserve"> &lt;Наименование индекса к позиции&gt;: ОЗП=&lt;Индекс к позиции на ОЗП&gt;; ЭМ=&lt;Индекс к позиции на ЭМ&gt;; ЗПМ=&lt;Индекс к позиции на ЗПМ&gt;; МАТ=&lt;Индекс к позиции на МАТ&gt;
&lt;Дополнительные начисления к индексу&gt;</t>
        </r>
      </text>
    </comment>
    <comment ref="I1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&lt;Общая стоимость ПЗ по позиции для БИМ до начисления НР и СП&gt;
</t>
        </r>
      </text>
    </comment>
    <comment ref="J1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&lt;Общая стоимость ОЗП по позиции для БИМ до начисления НР и СП&gt;
</t>
        </r>
      </text>
    </comment>
    <comment ref="K1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&lt;Общая стоимость ЭММ по позиции для БИМ до начисления НР и СП&gt;
&lt;Общая стоимость ЗПМ по позиции для БИМ до начисления НР и СП&gt;</t>
        </r>
      </text>
    </comment>
    <comment ref="L19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=IF(&lt;Количество всего (физ. объем) по позиции&gt;*&lt;МАТ по позиции на единицу в базисных ценах с учетом всех к-тов&gt;=0," ",TEXT(,ROUND((&lt;Количество всего (физ. объем) по позиции&gt;*&lt;МАТ по позиции на единицу в базисных ценах с учетом всех к-тов&gt;*&lt;Индекс к позиции на МАТ&gt;),2)))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M1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&lt;ТЗ по позиции на единицу&gt;
&lt;ТЗМ по позиции на единицу&gt;</t>
        </r>
      </text>
    </comment>
    <comment ref="N19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&lt;ТЗ по позиции всего&gt;
&lt;ТЗМ по позиции всего&gt;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A19" authorId="5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&lt;Строка задания НР для БИМ&gt;</t>
        </r>
      </text>
    </comment>
    <comment ref="AB19" authorId="5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&lt;Строка задания СП для БИМ&gt;</t>
        </r>
      </text>
    </comment>
    <comment ref="AC19" authorId="5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&lt;Сумма НР по позиции для БИМ&gt;</t>
        </r>
      </text>
    </comment>
    <comment ref="AD19" authorId="5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&lt;Сумма СП по позиции для БИМ&gt;</t>
        </r>
      </text>
    </comment>
    <comment ref="AE19" authorId="6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&lt;Обоснование коэффициентов&gt;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F19" authorId="6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&lt;Наименование (текстовая часть) расценки&gt;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G19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&lt;Ед. измерения по расценке&gt;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H19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&lt;Формула расчета стоимости единицы&gt;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I19" authorId="1" shapeId="0">
      <text>
        <r>
          <rPr>
            <sz val="8"/>
            <color indexed="81"/>
            <rFont val="Tahoma"/>
            <family val="2"/>
            <charset val="204"/>
          </rPr>
          <t xml:space="preserve"> =&lt;Общая стоимость ОЗП по позиции для БИМ до начисления НР и СП&gt;+&lt;Общая стоимость ЗПМ по позиции для БИМ до начисления НР и СП&gt;
</t>
        </r>
      </text>
    </comment>
    <comment ref="A84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&lt;Текстовая часть (итоги)&gt;</t>
        </r>
      </text>
    </comment>
    <comment ref="I84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&lt;Прямые затраты (итоги)&gt;</t>
        </r>
      </text>
    </comment>
    <comment ref="J84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&lt;З/п основных рабочих (итоги)&gt;</t>
        </r>
      </text>
    </comment>
    <comment ref="K84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&lt;Эксплуатация машин (итоги)&gt;
&lt;З/п машинистов (итоги)&gt;</t>
        </r>
      </text>
    </comment>
    <comment ref="L84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&lt;Материалы (итоги)&gt;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N84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&lt;Трудозатраты основных рабочих (итоги)&gt;
&lt;Трудозатраты машинистов (итоги)&gt;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113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______________&lt;Составил&gt;</t>
        </r>
      </text>
    </comment>
    <comment ref="F113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______________&lt;Проверил&gt;</t>
        </r>
      </text>
    </comment>
  </commentList>
</comments>
</file>

<file path=xl/sharedStrings.xml><?xml version="1.0" encoding="utf-8"?>
<sst xmlns="http://schemas.openxmlformats.org/spreadsheetml/2006/main" count="425" uniqueCount="328">
  <si>
    <t>Заказчик</t>
  </si>
  <si>
    <t>(наименование стройки)</t>
  </si>
  <si>
    <t>(локальная смета)</t>
  </si>
  <si>
    <t>№ пп</t>
  </si>
  <si>
    <t>Индекс</t>
  </si>
  <si>
    <t>СОГЛАСОВАНО:</t>
  </si>
  <si>
    <t>УТВЕРЖДАЮ:</t>
  </si>
  <si>
    <t>Подрядчик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</si>
  <si>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</si>
  <si>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</si>
  <si>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</si>
  <si>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</si>
  <si>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</si>
  <si>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</si>
  <si>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</si>
  <si>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</si>
  <si>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</si>
  <si>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</si>
  <si>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</si>
  <si>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</si>
  <si>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</si>
  <si>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       (наименование работ и затрат, наименование объекта)</t>
  </si>
  <si>
    <t>Наименование работ и затрат, единица измерения</t>
  </si>
  <si>
    <r>
      <t xml:space="preserve">Стоимость единицы                                        </t>
    </r>
    <r>
      <rPr>
        <i/>
        <sz val="10"/>
        <rFont val="Times New Roman"/>
        <family val="1"/>
        <charset val="204"/>
      </rPr>
      <t>(в базисном уровне цен с учетом всех коэффициентов к позиции)</t>
    </r>
  </si>
  <si>
    <r>
      <t xml:space="preserve">Общая стоимость                                                                    </t>
    </r>
    <r>
      <rPr>
        <i/>
        <sz val="10"/>
        <rFont val="Times New Roman"/>
        <family val="1"/>
        <charset val="204"/>
      </rPr>
      <t>(в текущем уровне цен)</t>
    </r>
  </si>
  <si>
    <t xml:space="preserve">
ИНН/КПП /</t>
  </si>
  <si>
    <t>ЛОКАЛЬНЫЙ СМЕТНЫЙ РАСЧЕТ №  02-01-01</t>
  </si>
  <si>
    <t>Основание:  проект П-15-146-1-АС</t>
  </si>
  <si>
    <t>Проверил:____________________________</t>
  </si>
  <si>
    <t>Раздел 1. Демонтажные работы</t>
  </si>
  <si>
    <t>ФЕР01-01-009-23
ОЗП=1,15
ЭМ=1,25
ЗПМ=1,25
ТЗ=1,15
ТЗМ=1,25</t>
  </si>
  <si>
    <t>3717,53
615,96</t>
  </si>
  <si>
    <t>1.5. Разработка грунта в траншеях экскаваторами 'обратная лопата' с ковшом вместимостью 1; 0,65; 0,5; 0,4; 0,25 м3 в отвал; ЭМ=11,64; ЗПМ=16,9</t>
  </si>
  <si>
    <t>9603
2298</t>
  </si>
  <si>
    <t xml:space="preserve">
53,1</t>
  </si>
  <si>
    <t xml:space="preserve">
9,43</t>
  </si>
  <si>
    <t>НР 73%=95%*(0,85*0,9) от ФОТ</t>
  </si>
  <si>
    <t>СП 34%=50%*(0,8*0,85) от ФОТ</t>
  </si>
  <si>
    <t>((КОЭФ.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ТЗМ=1,25))</t>
  </si>
  <si>
    <t>Разработка траншей экскаватором «обратная лопата» с ковшом вместимостью 0,25 м3, группа грунтов: 2</t>
  </si>
  <si>
    <t>1000 м3 грунта</t>
  </si>
  <si>
    <t>ФЕР01-02-057-02
ОЗП=1,15
ЭМ=1,25
ЗПМ=1,25
ТЗ=1,15
ТЗМ=1,25</t>
  </si>
  <si>
    <t>1201,2
1201,2</t>
  </si>
  <si>
    <t>1.181 Разработка грунта вручную в траншеях, копание ям вручную без креплений для стоек и столбов: ОЗП=16,9</t>
  </si>
  <si>
    <t>НР 61%=80%*(0,85*0,9) от ФОТ</t>
  </si>
  <si>
    <t>СП 31%=45%*(0,8*0,85) от ФОТ</t>
  </si>
  <si>
    <t>Разработка грунта вручную в траншеях глубиной до 2 м без креплений с откосами, группа грунтов: 2 с вывозом</t>
  </si>
  <si>
    <t>100 м3 грунта</t>
  </si>
  <si>
    <t>ФЕР01-01-033-02
ОЗП=1,15
ЭМ=1,25
ЗПМ=1,25
ТЗ=1,15
ТЗМ=1,25</t>
  </si>
  <si>
    <t>527,5
102,89</t>
  </si>
  <si>
    <t>1.30. Засыпка траншей и котлованов бульдозерами мощностью 59; 79 кВт (80; 108 л.с.); ЭМ=15,38; ЗПМ=16,9</t>
  </si>
  <si>
    <t>1400
304</t>
  </si>
  <si>
    <t xml:space="preserve">
8,87</t>
  </si>
  <si>
    <t xml:space="preserve">
1,22</t>
  </si>
  <si>
    <t>Засыпка траншей и котлованов с перемещением грунта до 5 м бульдозерами мощностью: 59 кВт (80 л.с.), группа грунтов 2</t>
  </si>
  <si>
    <t>ФЕР01-02-061-01
ОЗП=1,15
ЭМ=1,25
ЗПМ=1,25
ТЗ=1,15
ТЗМ=1,25</t>
  </si>
  <si>
    <t>663,75
663,75</t>
  </si>
  <si>
    <t>1.183 Погрузка вручную неуплотненного мерзлого грунта в транспортные средства из штабелей и отвалов, засыпка вручную траншей, пазух котлованов и ям: ОЗП=16,9</t>
  </si>
  <si>
    <t>Засыпка вручную траншей, пазух котлованов и ям, группа грунтов: 1</t>
  </si>
  <si>
    <t>ФЕР46-04-001-01
ОЗП=1,5
ЭМ=1,5
ЗПМ=1,5
ТЗ=1,5
ТЗМ=1,5</t>
  </si>
  <si>
    <t>200,58
71,23</t>
  </si>
  <si>
    <t>129,35
13,98</t>
  </si>
  <si>
    <t>46.57 Разборка: бутовых и бетонных  фундаментов: ОЗП=16,9; ЭМ=7,44; ЗПМ=16,9</t>
  </si>
  <si>
    <t>7366
1808</t>
  </si>
  <si>
    <t>8,35
1,39</t>
  </si>
  <si>
    <t>42,59
7,09</t>
  </si>
  <si>
    <t>НР 84%=110%*(0,85*0,9) от ФОТ</t>
  </si>
  <si>
    <t>СП 48%=70%*(0,8*0,85) от ФОТ</t>
  </si>
  <si>
    <t>((КОЭФ. УЧТЁННЫЕ В ИТОГАХ:
6. Ремонт существующих зданий (включая жилые дома) без расселения ОЗП=1,5; ЭМ=1,5; ЗПМ=1,5; ТЗ=1,5; ТЗМ=1,5))</t>
  </si>
  <si>
    <t>Разборка: бутовых фундаментов 5,1*2,4=12,24</t>
  </si>
  <si>
    <t>1 м3</t>
  </si>
  <si>
    <t>ФЕРр53-10-1
ОЗП=1,5
ЭМ=1,5
ЗПМ=1,5
ТЗ=1,5
ТЗМ=1,5</t>
  </si>
  <si>
    <t>2204,64
2090,88</t>
  </si>
  <si>
    <t>79.16 Подъем рубленных стен домкратом: ОЗП=16,9; ЭМ=7,94; ЗПМ=16,9</t>
  </si>
  <si>
    <t>НР 73%=86%*0,85 от ФОТ</t>
  </si>
  <si>
    <t>СП 56%=70%*0,8 от ФОТ</t>
  </si>
  <si>
    <t>Подъем рубленых стен домкратом</t>
  </si>
  <si>
    <t>100 подъемов</t>
  </si>
  <si>
    <t>ФЕРр53-1-6
ОЗП=1,5
ЭМ=1,5
ЗПМ=1,5
ТЗ=1,5
ТЗМ=1,5</t>
  </si>
  <si>
    <t>1478,51
769,61</t>
  </si>
  <si>
    <t>708,9
85,46</t>
  </si>
  <si>
    <t>79.1 Разборка деревянных стен: ОЗП=16,9; ЭМ=10,88; ЗПМ=16,9</t>
  </si>
  <si>
    <t>3710
693</t>
  </si>
  <si>
    <t>101,8
6,33</t>
  </si>
  <si>
    <t>32,58
2,03</t>
  </si>
  <si>
    <t>Разборка бревенчатых: неоштукатуренных стен</t>
  </si>
  <si>
    <t>100 м2 стен</t>
  </si>
  <si>
    <t>ФЕРр69-3-3
ОЗП=1,5
ЭМ=1,5
ЗПМ=1,5
ТЗ=1,5
ТЗМ=1,5
продухи</t>
  </si>
  <si>
    <t>820,1
612,45</t>
  </si>
  <si>
    <t>94.3 Прорезка отверстий в деревянных конструкциях для водогазопроводных и чугунных трубопроводов: ОЗП=16,9; ЭМ=7,35; ЗПМ=16,9</t>
  </si>
  <si>
    <t>НР 66%=78%*0,85 от ФОТ</t>
  </si>
  <si>
    <t>СП 40%=50%*0,8 от ФОТ</t>
  </si>
  <si>
    <t>Прорезка отверстий для водогазопроводных и чугунных трубопроводов в деревянных: перегородках оштукатуренных</t>
  </si>
  <si>
    <t>100 отверстий</t>
  </si>
  <si>
    <t>ФССЦпг01-01-01-041</t>
  </si>
  <si>
    <t>Мусор строительный, вручную: погрузка; ЭМ=11,13</t>
  </si>
  <si>
    <t xml:space="preserve">НР 0% от </t>
  </si>
  <si>
    <t xml:space="preserve">СП 0% от </t>
  </si>
  <si>
    <t>Погрузочные работы при автомобильных перевозках: мусора строительного с погрузкой вручную</t>
  </si>
  <si>
    <t>1 т груза</t>
  </si>
  <si>
    <t>ФССЦпг01-01-01-043</t>
  </si>
  <si>
    <t>Мусор строительный, экскаваторами емк,ковша 0,5 м3: погрузка; ЭМ=11,6</t>
  </si>
  <si>
    <t>Погрузочные работы при автомобильных перевозках: мусора строительного с погрузкой экскаваторами емкостью ковша до 0,5 м3 лишний грунт 58 м3</t>
  </si>
  <si>
    <t>ФССЦпг03-21-01-005</t>
  </si>
  <si>
    <t>Перевозка грузов автомобилями-самосвалами грузоподъемностью 10 т, работающих вне карьера, на расстояние: до 5 км.: I класс груза; ЭМ=9,84</t>
  </si>
  <si>
    <t>НР 0% от ФОТ</t>
  </si>
  <si>
    <t>СП 0% от ФОТ</t>
  </si>
  <si>
    <t>Перевозка грузов автомобилями-самосвалами грузоподъемностью 10 т, работающих вне карьера, на расстояние: до 5 км I класс груза</t>
  </si>
  <si>
    <t>Итого прямые затраты по разделу в ценах 2001г.</t>
  </si>
  <si>
    <t>3174
221</t>
  </si>
  <si>
    <t>299,93
19,77</t>
  </si>
  <si>
    <t>Итого прямые затраты по разделу с учетом коэффициентов к итогам</t>
  </si>
  <si>
    <t>3841
302</t>
  </si>
  <si>
    <t>406,25
27,01</t>
  </si>
  <si>
    <t xml:space="preserve">  В том числе, справочно:</t>
  </si>
  <si>
    <t xml:space="preserve">   При ремонте и реконструкции зданий и сооружений работы, аналогичные технологическим процессам в новом строительстве ОЗП=1,15; ЭМ=1,25; ЗПМ=1,25; ТЗ=1,15; ТЗМ=1,25  (Поз. 1, 3, 2, 4)</t>
  </si>
  <si>
    <t>183
31</t>
  </si>
  <si>
    <t>18,708
2,6625</t>
  </si>
  <si>
    <t xml:space="preserve">   6. Ремонт существующих зданий (включая жилые дома) без расселения ОЗП=1,5; ЭМ=1,5; ЗПМ=1,5; ТЗ=1,5; ТЗМ=1,5  (Поз. 5-8)</t>
  </si>
  <si>
    <t>483
49</t>
  </si>
  <si>
    <t>87,605
4,56</t>
  </si>
  <si>
    <t>Итого прямые затраты по разделу с учетом индексов, в текущих ценах</t>
  </si>
  <si>
    <t>38591
5103</t>
  </si>
  <si>
    <t>Накладные расходы</t>
  </si>
  <si>
    <t>Сметная прибыль</t>
  </si>
  <si>
    <t>Итого по разделу 1 Демонтажные работы</t>
  </si>
  <si>
    <t>Раздел 2. Устройство фундаментов</t>
  </si>
  <si>
    <t>ФЕР06-01-005-02
ОЗП=1,15
ЭМ=1,25
ЗПМ=1,25
ТЗ=1,15
ТЗМ=1,25</t>
  </si>
  <si>
    <t>64571,9
2728,86</t>
  </si>
  <si>
    <t>2017,76
266,31</t>
  </si>
  <si>
    <t>6.10. Устройство бетонных фундаментов общего назначения: ОЗП=16,9; ЭМ=11,26; ЗПМ=16,9; МАТ=5,07</t>
  </si>
  <si>
    <t>16552
3279</t>
  </si>
  <si>
    <t>322,56
19,8</t>
  </si>
  <si>
    <t>188,05
11,54</t>
  </si>
  <si>
    <t>НР 80%=105%*(0,85*0,9) от ФОТ</t>
  </si>
  <si>
    <t>СП 44%=65%*(0,8*0,85) от ФОТ</t>
  </si>
  <si>
    <t>Устройство бетонных фундаментов общего назначения объемом: до 25 м3</t>
  </si>
  <si>
    <t>100 м3 бетона и железобетона в деле</t>
  </si>
  <si>
    <t>ФССЦ-401-0023</t>
  </si>
  <si>
    <t>Бетон тяжелый, крупность заполнителя  более 40 мм, класс: В 7,5 (М100); МАТ=4,837</t>
  </si>
  <si>
    <t>Бетон тяжелый, крупность заполнителя: более 40 мм, класс В7,5 (М 100)</t>
  </si>
  <si>
    <t>м3</t>
  </si>
  <si>
    <t>ФССЦ-401-0026</t>
  </si>
  <si>
    <t>Бетон тяжелый  крупность заполнителя более 40 мм, класс: В 15 (М200); МАТ=5,031</t>
  </si>
  <si>
    <t>Бетон тяжелый, крупность заполнителя: более 40 мм, класс В15 (М200)</t>
  </si>
  <si>
    <t>ФЕР08-01-003-03
ОЗП=1,15
ЭМ=1,25
ЗПМ=1,25
ТЗ=1,15
ТЗМ=1,25</t>
  </si>
  <si>
    <t>4257,72
171,45</t>
  </si>
  <si>
    <t>8.6. Гидроизоляция стен, фундаментов: горизонтальная оклеечная: ОЗП=16,9; ЭМ=8,07; ЗПМ=16,9; МАТ=6,5</t>
  </si>
  <si>
    <t>НР 93%=122%*(0,85*0,9) от ФОТ</t>
  </si>
  <si>
    <t>СП 54%=80%*(0,8*0,85) от ФОТ</t>
  </si>
  <si>
    <t>Гидроизоляция стен, фундаментов: горизонтальная оклеечная в 2 слоя</t>
  </si>
  <si>
    <t>100 м2 изолируемой поверхности</t>
  </si>
  <si>
    <t>ФЕР08-01-003-01
ОЗП=1,15
ЭМ=1,25
ЗПМ=1,25
ТЗ=1,15
ТЗМ=1,25
по кирпичной кладке</t>
  </si>
  <si>
    <t>1934,23
325,85</t>
  </si>
  <si>
    <t>8.5. Гидроизоляция стен, фундаментов: горизонтальная цементная с жидким стеклом: ОЗП=16,9; ЭМ=11,82; ЗПМ=16,9; МАТ=5,84</t>
  </si>
  <si>
    <t>Гидроизоляция стен, фундаментов: горизонтальная цементная с жидким стеклом</t>
  </si>
  <si>
    <t>ФССЦ-113-0368</t>
  </si>
  <si>
    <t>Стекло жидкое калийное; МАТ=12,223</t>
  </si>
  <si>
    <t>Стекло жидкое калийное</t>
  </si>
  <si>
    <t>т</t>
  </si>
  <si>
    <t>ФЕР08-02-001-01
ОЗП=1,15
ЭМ=1,25
ЗПМ=1,25
ТЗ=1,15
ТЗМ=1,25</t>
  </si>
  <si>
    <t>890,84
44,87</t>
  </si>
  <si>
    <t>34,56
5,4</t>
  </si>
  <si>
    <t>8.14. Кладка стен из кирпича: ОЗП=16,9; ЭМ=12,12; ЗПМ=16,9; МАТ=4,7</t>
  </si>
  <si>
    <t>5284
1166</t>
  </si>
  <si>
    <t>5,4
0,4</t>
  </si>
  <si>
    <t>54,54
4,04</t>
  </si>
  <si>
    <t>Кладка стен кирпичных наружных: простых при высоте этажа до 4 м</t>
  </si>
  <si>
    <t>1 м3 кладки</t>
  </si>
  <si>
    <t>ФЕР26-01-036-01
ОЗП=1,15
ЭМ=1,25
ЗПМ=1,25
ТЗ=1,15
ТЗМ=1,25</t>
  </si>
  <si>
    <t>247,16
132,33</t>
  </si>
  <si>
    <t>9,38
0,41</t>
  </si>
  <si>
    <t>26.40 Изоляция изделиями из волокнистых и зернистых материалов с креплением на клее и дюбелями холодных поверхностей: наружных стен: ОЗП=16,9; ЭМ=9,6; ЗПМ=16,9; МАТ=1,39</t>
  </si>
  <si>
    <t>16,06
0,03</t>
  </si>
  <si>
    <t>4,5
0,01</t>
  </si>
  <si>
    <t>НР 77%=100%*(0,85*0,9) от ФОТ</t>
  </si>
  <si>
    <t>Изоляция изделиями из волокнистых и зернистых материалов с креплением на клее и дюбелями холодных поверхностей: наружных стен</t>
  </si>
  <si>
    <t>100 м2 поверхности</t>
  </si>
  <si>
    <t>ФССЦ-104-0312</t>
  </si>
  <si>
    <t>1,442
1,4*1,03</t>
  </si>
  <si>
    <t>Плиты теплоизоляционные из экструзионного вспененного полистирола ПЕНОПЛЭКС-35; МАТ=3,877</t>
  </si>
  <si>
    <t>Плиты теплоизоляционные: из экструзионного вспененного полистирола ПЕНОПЛЭКС-35</t>
  </si>
  <si>
    <t>ФССЦ-101-2797</t>
  </si>
  <si>
    <t>Дюбель распорный с металлическим стержнем: 10х150 мм; МАТ=10,367</t>
  </si>
  <si>
    <t>Дюбель распорный с металлическим стержнем: 10х150 мм</t>
  </si>
  <si>
    <t>10 шт.</t>
  </si>
  <si>
    <t>ФЕР12-01-010-01
ОЗП=1,15
ЭМ=1,25
ЗПМ=1,25
ТЗ=1,15
ТЗМ=1,25</t>
  </si>
  <si>
    <t>9875,72
961,76</t>
  </si>
  <si>
    <t>23,38
2,7</t>
  </si>
  <si>
    <t>12.27. Устройство мелких покрытий (брандмауэры, парапеты, свесы и т.п.) из листовой оцинкованной стали: ОЗП=16,9; ЭМ=12,04; ЗПМ=16,9; МАТ=3,48</t>
  </si>
  <si>
    <t>157
17</t>
  </si>
  <si>
    <t>112,75
0,2</t>
  </si>
  <si>
    <t>48,48
0,09</t>
  </si>
  <si>
    <t>НР 92%=120%*(0,85*0,9) от ФОТ</t>
  </si>
  <si>
    <t>Устройство мелких покрытий (брандмауэры, парапеты, свесы и т.п.) из листовой оцинкованной стали</t>
  </si>
  <si>
    <t>100 м2 покрытия</t>
  </si>
  <si>
    <t>ФЕР15-02-036-01
ПЗ=1,33
ОЗП=1,33*1,15
ЭМ=1,33*1,25
ЗПМ=1,33*1,25
МАТ=1,33
ТЗ=1,33*1,15
ТЗМ=1,33*1,25</t>
  </si>
  <si>
    <t>7999,25
1586,61</t>
  </si>
  <si>
    <t>70,81
25,22</t>
  </si>
  <si>
    <t>15.104 Штукатурка по сетке без устройства каркаса: стен и потолков: ОЗП=16,9; ЭМ=7,31; ЗПМ=16,9; МАТ=8,42</t>
  </si>
  <si>
    <t>373
321</t>
  </si>
  <si>
    <t>172,8335
1,9152</t>
  </si>
  <si>
    <t>100,24
1,11</t>
  </si>
  <si>
    <t>СП 37%=55%*(0,8*0,85) от ФОТ</t>
  </si>
  <si>
    <t>(Всего толщ. 40 мм ПЗ=1,33 (ОЗП=1,33; ЭМ=1,33 к расх.; ЗПМ=1,33; МАТ=1,33 к расх.; ТЗ=1,33; ТЗМ=1,33)(КОЭФ.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ТЗМ=1,25))</t>
  </si>
  <si>
    <t>Штукатурка по сетке без устройства каркаса: улучшенная стен</t>
  </si>
  <si>
    <t>100 м2 оштукатуриваемой поверхности</t>
  </si>
  <si>
    <t>ФЕР15-02-036-01
ПЗ=3
ОЗП=3*1,15
ЭМ=3*1,25
ЗПМ=3*1,25
МАТ=3
ТЗ=3*1,15
ТЗМ=3*1,25</t>
  </si>
  <si>
    <t>18043,41
3578,82</t>
  </si>
  <si>
    <t>159,72
56,88</t>
  </si>
  <si>
    <t>789
659</t>
  </si>
  <si>
    <t>389,85
4,32</t>
  </si>
  <si>
    <t>210,52
2,33</t>
  </si>
  <si>
    <t>(Всего толщ. 90 мм ПЗ=3 (ОЗП=3; ЭМ=3 к расх.; ЗПМ=3; МАТ=3 к расх.; ТЗ=3; ТЗМ=3)(КОЭФ.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ТЗМ=1,25))</t>
  </si>
  <si>
    <t>ФЕРр69-10-1
ОЗП=1,5
ЭМ=1,5
ЗПМ=1,5
ТЗ=1,5
ТЗМ=1,5
прим. Сенеж</t>
  </si>
  <si>
    <t>90,17
21,41</t>
  </si>
  <si>
    <t>94.17 Антисептирование древесины: водными растворами: ОЗП=16,9; ЭМ=11,84; ЗПМ=16,9; МАТ=1,64</t>
  </si>
  <si>
    <t>Антисептирование древесины: водными растворами</t>
  </si>
  <si>
    <t>100 м2 обработанной поверхности</t>
  </si>
  <si>
    <t>ФЕРр69-10-6
ОЗП=1,5
ЭМ=1,5
ЗПМ=1,5
ТЗ=1,5
ТЗМ=1,5</t>
  </si>
  <si>
    <t>14,84
14,84</t>
  </si>
  <si>
    <t>При обработке отдельных мест и штучных элементов добавлять: к расценке 69-10-1</t>
  </si>
  <si>
    <t>ФЕРр69-10-11
ОЗП=1,5
ЭМ=1,5
ЗПМ=1,5
ТЗ=1,5
ТЗМ=1,5</t>
  </si>
  <si>
    <t>86,42
17,66</t>
  </si>
  <si>
    <t>При двухкратной обработке лесоматериалов с перерывом на просушку после первой обработки добавлять: к расценке 69-10-1</t>
  </si>
  <si>
    <t>ФССЦ-101-1066
продухи</t>
  </si>
  <si>
    <t>Просечно-вытяжной прокат горячекатаный в листах мерных размеров из стали С235 шириной 500 мм, толщиной 4 мм; МАТ=8,178</t>
  </si>
  <si>
    <t>Просечно-вытяжной прокат горячекатаный в листах мерных размеров из стали С235, шириной: 500 мм, толщиной 4 мм</t>
  </si>
  <si>
    <t>1857
257</t>
  </si>
  <si>
    <t>637
19,12</t>
  </si>
  <si>
    <t>2322
322</t>
  </si>
  <si>
    <t>732,65
23,9</t>
  </si>
  <si>
    <t xml:space="preserve">   При ремонте и реконструкции зданий и сооружений работы, аналогичные технологическим процессам в новом строительстве ОЗП=1,15; ЭМ=1,25; ЗПМ=1,25; ТЗ=1,15; ТЗМ=1,25  (Поз. 12, 15-16, 18-19, 22-24)</t>
  </si>
  <si>
    <t>464
64</t>
  </si>
  <si>
    <t>95,5125
4,78</t>
  </si>
  <si>
    <t xml:space="preserve">   6. Ремонт существующих зданий (включая жилые дома) без расселения ОЗП=1,5; ЭМ=1,5; ЗПМ=1,5; ТЗ=1,5; ТЗМ=1,5  (Поз. 25-27)</t>
  </si>
  <si>
    <t>25163
5442</t>
  </si>
  <si>
    <t>Итого по разделу 2 Устройство фундаментов</t>
  </si>
  <si>
    <t>Раздел 3. Отмостка</t>
  </si>
  <si>
    <t>ФЕР01-01-036-01
ОЗП=1,15
ЭМ=1,25
ЗПМ=1,25
ТЗ=1,15
ТЗМ=1,25</t>
  </si>
  <si>
    <t>22,6
4,41</t>
  </si>
  <si>
    <t>1.33. Планировка площадей бульдозерами мощностью 59; 79; 132; 243 кВт (80; 108;180; 330 л.с.); ЭМ=15,16; ЗПМ=16,9</t>
  </si>
  <si>
    <t xml:space="preserve">
0,38</t>
  </si>
  <si>
    <t xml:space="preserve">
0,04</t>
  </si>
  <si>
    <t>Планировка площадей бульдозерами мощностью: 59 кВт (80 л.с.)</t>
  </si>
  <si>
    <t>1000 м2 спланированной поверхности за 1 проход бульдозера</t>
  </si>
  <si>
    <t>ФЕР08-01-002-03
ОЗП=1,15
ЭМ=1,25
ЗПМ=1,25
ТЗ=1,15
ТЗМ=1,25</t>
  </si>
  <si>
    <t>291,38
20,43</t>
  </si>
  <si>
    <t>49,14
5,56</t>
  </si>
  <si>
    <t>8.4. Устройство основания под фундаменты: гравийного: ОЗП=16,9; ЭМ=6,71; ЗПМ=16,9; МАТ=5,21</t>
  </si>
  <si>
    <t>4697
1335</t>
  </si>
  <si>
    <t>2,5
0,54</t>
  </si>
  <si>
    <t>28,5
6,16</t>
  </si>
  <si>
    <t>Устройство основания под фундаменты: гравийного</t>
  </si>
  <si>
    <t>1 м3 основания</t>
  </si>
  <si>
    <t>ФССЦ-408-0111</t>
  </si>
  <si>
    <t>Гравий для строительных работ марка Др.16, фракция 20-40мм; МАТ=5,202</t>
  </si>
  <si>
    <t>Гравий для строительных работ марка: Др.16, фракция 20-40 мм</t>
  </si>
  <si>
    <t>ФССЦ-408-0200</t>
  </si>
  <si>
    <t>Смесь песчано-гравийная природная; МАТ=10,902</t>
  </si>
  <si>
    <t>Смесь песчано-гравийная природная</t>
  </si>
  <si>
    <t>ФЕР06-01-001-01
ОЗП=1,15
ЭМ=1,25
ЗПМ=1,25
ТЗ=1,15
ТЗМ=1,25</t>
  </si>
  <si>
    <t>58585,02
1404</t>
  </si>
  <si>
    <t>1590,53
243</t>
  </si>
  <si>
    <t>6.1. Устройство бетонной подготовки: ОЗП=16,9; ЭМ=12,1; ЗПМ=16,9; МАТ=5,02</t>
  </si>
  <si>
    <t>2735
592</t>
  </si>
  <si>
    <t>180
18</t>
  </si>
  <si>
    <t>20,52
2,05</t>
  </si>
  <si>
    <t>Устройство бетонной подготовки</t>
  </si>
  <si>
    <t>100 м3 бетона, бутобетона и железобетона в деле</t>
  </si>
  <si>
    <t>ФССЦ-401-0061</t>
  </si>
  <si>
    <t>Бетон тяжелый, крупность заполнителя 20 мм, класс:  В 3,5 (М50); МАТ=5,092</t>
  </si>
  <si>
    <t>Бетон тяжелый, крупность заполнителя: 20 мм, класс В3,5 (М50)</t>
  </si>
  <si>
    <t>ФССЦ-401-0063</t>
  </si>
  <si>
    <t>Бетон тяжелый, крупность заполнителя 20 мм, класс:  В 7,5 (М100); МАТ=5,4</t>
  </si>
  <si>
    <t>Бетон тяжелый, крупность заполнителя: 20 мм, класс В7,5 (М100)</t>
  </si>
  <si>
    <t>743
91</t>
  </si>
  <si>
    <t>49,02
8,25</t>
  </si>
  <si>
    <t>929
114</t>
  </si>
  <si>
    <t>56,38
10,31</t>
  </si>
  <si>
    <t xml:space="preserve">   При ремонте и реконструкции зданий и сооружений работы, аналогичные технологическим процессам в новом строительстве ОЗП=1,15; ЭМ=1,25; ЗПМ=1,25; ТЗ=1,15; ТЗМ=1,25  (Поз. 29-30, 33)</t>
  </si>
  <si>
    <t>186
23</t>
  </si>
  <si>
    <t>7,353
2,0625</t>
  </si>
  <si>
    <t>7477
1927</t>
  </si>
  <si>
    <t>Итого по разделу 3 Отмостка</t>
  </si>
  <si>
    <t>Итого прямые затраты по смете в ценах 2001г.</t>
  </si>
  <si>
    <t>5774
569</t>
  </si>
  <si>
    <t>985,95
47,14</t>
  </si>
  <si>
    <t>Итого прямые затраты по смете с учетом коэффициентов к итогам</t>
  </si>
  <si>
    <t>7092
738</t>
  </si>
  <si>
    <t>1195,28
61,22</t>
  </si>
  <si>
    <t>Итого прямые затраты по смете с учетом индексов, в текущих ценах</t>
  </si>
  <si>
    <t>71231
12472</t>
  </si>
  <si>
    <t>Итоги по смете:</t>
  </si>
  <si>
    <t xml:space="preserve">  Земляные работы, выполняемые механизированным способом</t>
  </si>
  <si>
    <t xml:space="preserve">
13,37</t>
  </si>
  <si>
    <t xml:space="preserve">  Земляные работы, выполняемые ручным способом</t>
  </si>
  <si>
    <t xml:space="preserve">  Работы по реконструкции зданий и сооружений (усиление и замена существующих конструкций, разборка и возведение отдельных конструктивных элементов)</t>
  </si>
  <si>
    <t>63,89
10,64</t>
  </si>
  <si>
    <t xml:space="preserve">  Стены (ремонтно-строительные)</t>
  </si>
  <si>
    <t>179,55
3,05</t>
  </si>
  <si>
    <t xml:space="preserve">  Прочие ремонтно-строительные работы</t>
  </si>
  <si>
    <t xml:space="preserve">  Погрузо-разгрузочные работы при автоперевозках</t>
  </si>
  <si>
    <t xml:space="preserve">  Перевозка грузов автотранспортом</t>
  </si>
  <si>
    <t xml:space="preserve">  Бетонные и железобетонные монолитные конструкции в промышленном строительстве</t>
  </si>
  <si>
    <t>239,86
16,99</t>
  </si>
  <si>
    <t xml:space="preserve">  Материалы для строительных работ</t>
  </si>
  <si>
    <t xml:space="preserve">  Конструкции из кирпича и блоков</t>
  </si>
  <si>
    <t>130,49
12,75</t>
  </si>
  <si>
    <t xml:space="preserve">  Теплоизоляционные работы</t>
  </si>
  <si>
    <t>5,18
0,01</t>
  </si>
  <si>
    <t xml:space="preserve">  Кровли</t>
  </si>
  <si>
    <t>55,75
0,11</t>
  </si>
  <si>
    <t xml:space="preserve">  Отделочные работы</t>
  </si>
  <si>
    <t>357,37
4,3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</si>
  <si>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</si>
  <si>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</si>
  <si>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</si>
  <si>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</si>
  <si>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</si>
  <si>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</si>
  <si>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</si>
  <si>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ВСЕГО по смете</t>
  </si>
  <si>
    <t>Составлен(а) в текущих ценах по состоянию на 3 кв. 2015 года</t>
  </si>
  <si>
    <t xml:space="preserve">на   ремонт фундаментов </t>
  </si>
  <si>
    <t>Капитальный ремонт фундамента многоквартирного дома по адресу: Томская область, ЗАТО Северск, п. Самусь, ул. Ленина, 20</t>
  </si>
  <si>
    <t>Составила:____________________________</t>
  </si>
  <si>
    <t>Проведена проверка достоверности определения сметной стоимости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</si>
</sst>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4"/>
      <color indexed="81"/>
      <name val="Tahoma"/>
      <family val="2"/>
      <charset val="204"/>
    </font>
    <font>
      <b/>
      <sz val="14"/>
      <color indexed="81"/>
      <name val="Tahoma"/>
      <family val="2"/>
      <charset val="204"/>
    </font>
    <font>
      <i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9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/>
    <xf numFmtId="0" fontId="1" fillId="0" borderId="0" xfId="0" applyFont="1" applyBorder="1" applyAlignment="1"/>
    <xf numFmtId="0" fontId="1" fillId="0" borderId="0" xfId="9" quotePrefix="1" applyFont="1" applyAlignment="1">
      <alignment horizontal="left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2" xfId="0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0" applyFont="1" applyAlignment="1">
      <alignment horizontal="center" vertical="top"/>
    </xf>
    <xf numFmtId="0" fontId="1" fillId="0" borderId="0" xfId="0" applyFont="1" applyBorder="1"/>
    <xf numFmtId="0" fontId="1" fillId="0" borderId="0" xfId="0" applyFont="1" applyBorder="1" applyAlignment="1">
      <alignment horizontal="center" vertical="top" wrapText="1"/>
    </xf>
    <xf numFmtId="0" fontId="1" fillId="0" borderId="0" xfId="9" applyFont="1">
      <alignment horizontal="right" indent="1"/>
    </xf>
    <xf numFmtId="0" fontId="1" fillId="0" borderId="0" xfId="9" applyFont="1" applyBorder="1">
      <alignment horizontal="right" indent="1"/>
    </xf>
    <xf numFmtId="0" fontId="1" fillId="0" borderId="0" xfId="9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9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1" fillId="0" borderId="0" xfId="0" applyFont="1" applyAlignment="1">
      <alignment horizontal="right" vertical="center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right" vertical="center"/>
    </xf>
    <xf numFmtId="0" fontId="2" fillId="0" borderId="0" xfId="9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2" xfId="9" applyFont="1" applyBorder="1" applyAlignment="1">
      <alignment horizontal="left"/>
    </xf>
    <xf numFmtId="0" fontId="1" fillId="0" borderId="2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right" vertical="top" wrapText="1"/>
    </xf>
    <xf numFmtId="0" fontId="1" fillId="0" borderId="0" xfId="11" applyFont="1" applyAlignment="1">
      <alignment horizontal="left" vertical="top"/>
    </xf>
    <xf numFmtId="0" fontId="1" fillId="0" borderId="3" xfId="4" applyFont="1" applyBorder="1" applyAlignment="1">
      <alignment horizontal="center" wrapText="1"/>
    </xf>
    <xf numFmtId="0" fontId="1" fillId="0" borderId="8" xfId="4" applyFont="1" applyBorder="1">
      <alignment horizontal="center" wrapText="1"/>
    </xf>
    <xf numFmtId="0" fontId="1" fillId="0" borderId="3" xfId="4" applyFont="1" applyBorder="1">
      <alignment horizontal="center" wrapText="1"/>
    </xf>
    <xf numFmtId="0" fontId="2" fillId="0" borderId="3" xfId="4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right" vertical="top" wrapText="1"/>
    </xf>
    <xf numFmtId="0" fontId="1" fillId="0" borderId="1" xfId="9" applyFont="1" applyBorder="1">
      <alignment horizontal="right" indent="1"/>
    </xf>
    <xf numFmtId="0" fontId="1" fillId="0" borderId="1" xfId="0" applyFont="1" applyBorder="1" applyAlignment="1"/>
    <xf numFmtId="0" fontId="1" fillId="0" borderId="1" xfId="0" applyFont="1" applyBorder="1" applyAlignment="1">
      <alignment wrapText="1"/>
    </xf>
    <xf numFmtId="0" fontId="2" fillId="0" borderId="1" xfId="0" applyFont="1" applyBorder="1" applyAlignment="1"/>
    <xf numFmtId="0" fontId="1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righ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right" vertical="top" wrapText="1"/>
    </xf>
    <xf numFmtId="0" fontId="2" fillId="0" borderId="3" xfId="0" applyNumberFormat="1" applyFont="1" applyBorder="1" applyAlignment="1">
      <alignment horizontal="right" vertical="top" wrapText="1"/>
    </xf>
    <xf numFmtId="0" fontId="2" fillId="0" borderId="3" xfId="0" applyFont="1" applyBorder="1" applyAlignment="1">
      <alignment horizontal="right" vertical="top" wrapText="1"/>
    </xf>
    <xf numFmtId="0" fontId="1" fillId="0" borderId="1" xfId="3" applyFont="1" applyBorder="1" applyAlignment="1">
      <alignment horizontal="right" vertical="top" wrapText="1"/>
    </xf>
    <xf numFmtId="0" fontId="2" fillId="0" borderId="1" xfId="3" applyFont="1" applyBorder="1" applyAlignment="1">
      <alignment horizontal="right" vertical="top" wrapText="1"/>
    </xf>
    <xf numFmtId="0" fontId="12" fillId="0" borderId="0" xfId="0" applyFont="1" applyAlignment="1">
      <alignment horizontal="right" vertical="top" wrapText="1"/>
    </xf>
    <xf numFmtId="0" fontId="13" fillId="0" borderId="0" xfId="0" applyFont="1" applyAlignment="1">
      <alignment wrapText="1"/>
    </xf>
    <xf numFmtId="0" fontId="1" fillId="0" borderId="0" xfId="9" applyFont="1" applyAlignment="1">
      <alignment horizontal="left" vertical="top" wrapText="1"/>
    </xf>
    <xf numFmtId="0" fontId="1" fillId="0" borderId="0" xfId="9" applyFont="1" applyAlignment="1">
      <alignment horizontal="right" vertical="top" wrapText="1"/>
    </xf>
    <xf numFmtId="0" fontId="1" fillId="0" borderId="3" xfId="0" quotePrefix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9" applyFont="1" applyAlignment="1">
      <alignment horizontal="left"/>
    </xf>
    <xf numFmtId="0" fontId="1" fillId="0" borderId="2" xfId="9" applyFont="1" applyBorder="1">
      <alignment horizontal="right" indent="1"/>
    </xf>
    <xf numFmtId="0" fontId="1" fillId="0" borderId="6" xfId="9" applyFont="1" applyBorder="1">
      <alignment horizontal="right" indent="1"/>
    </xf>
    <xf numFmtId="0" fontId="1" fillId="0" borderId="7" xfId="0" quotePrefix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/>
    <xf numFmtId="0" fontId="1" fillId="0" borderId="8" xfId="0" applyFont="1" applyBorder="1" applyAlignment="1"/>
    <xf numFmtId="0" fontId="1" fillId="0" borderId="12" xfId="0" applyFont="1" applyBorder="1" applyAlignment="1"/>
    <xf numFmtId="0" fontId="1" fillId="0" borderId="0" xfId="0" applyFont="1" applyBorder="1" applyAlignment="1"/>
    <xf numFmtId="0" fontId="1" fillId="0" borderId="13" xfId="0" applyFont="1" applyBorder="1" applyAlignment="1"/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1" fillId="0" borderId="1" xfId="3" applyFont="1" applyBorder="1" applyAlignment="1">
      <alignment horizontal="left" vertical="top" wrapText="1"/>
    </xf>
    <xf numFmtId="0" fontId="2" fillId="0" borderId="1" xfId="3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AI113"/>
  <sheetViews>
    <sheetView showGridLines="0" tabSelected="1" zoomScale="101" zoomScaleNormal="101" workbookViewId="0">
      <selection activeCell="P14" sqref="P14"/>
    </sheetView>
  </sheetViews>
  <sheetFormatPr defaultColWidth="9.109375" defaultRowHeight="13.2" x14ac:dyDescent="0.25"/>
  <cols>
    <col min="1" max="1" width="3.44140625" style="3" customWidth="1"/>
    <col min="2" max="2" width="14.44140625" style="3" customWidth="1"/>
    <col min="3" max="3" width="41.6640625" style="3" customWidth="1"/>
    <col min="4" max="4" width="6.88671875" style="3" customWidth="1"/>
    <col min="5" max="5" width="9.6640625" style="35" customWidth="1"/>
    <col min="6" max="6" width="8.88671875" style="35" customWidth="1"/>
    <col min="7" max="7" width="0.109375" style="35" hidden="1" customWidth="1"/>
    <col min="8" max="8" width="25.33203125" style="35" customWidth="1"/>
    <col min="9" max="9" width="9.6640625" style="35" customWidth="1"/>
    <col min="10" max="10" width="8.109375" style="35" customWidth="1"/>
    <col min="11" max="11" width="8.6640625" style="35" customWidth="1"/>
    <col min="12" max="12" width="8.88671875" style="35" hidden="1" customWidth="1"/>
    <col min="13" max="13" width="7.6640625" style="35" customWidth="1"/>
    <col min="14" max="14" width="8" style="2" customWidth="1"/>
    <col min="15" max="15" width="9.109375" style="2"/>
    <col min="16" max="16" width="19.6640625" style="2" customWidth="1"/>
    <col min="17" max="26" width="9.109375" style="2"/>
    <col min="27" max="34" width="30.6640625" style="2" customWidth="1"/>
    <col min="35" max="35" width="31.5546875" style="2" customWidth="1"/>
    <col min="36" max="16384" width="9.109375" style="2"/>
  </cols>
  <sheetData>
    <row r="1" spans="1:14" s="1" customFormat="1" x14ac:dyDescent="0.25">
      <c r="A1" s="15"/>
      <c r="B1" s="20"/>
      <c r="C1" s="15"/>
      <c r="E1" s="21"/>
      <c r="F1" s="22" t="s">
        <v>325</v>
      </c>
      <c r="G1" s="21"/>
      <c r="H1" s="23"/>
      <c r="I1" s="15"/>
      <c r="J1" s="15"/>
      <c r="K1" s="15"/>
      <c r="L1" s="15"/>
      <c r="M1" s="15"/>
    </row>
    <row r="2" spans="1:14" s="1" customFormat="1" x14ac:dyDescent="0.25">
      <c r="A2" s="8" t="s">
        <v>5</v>
      </c>
      <c r="B2" s="20"/>
      <c r="D2" s="23"/>
      <c r="F2" s="24" t="s">
        <v>1</v>
      </c>
      <c r="G2" s="24"/>
      <c r="J2" s="8"/>
      <c r="L2" s="8"/>
      <c r="M2" s="15"/>
      <c r="N2" s="25" t="s">
        <v>6</v>
      </c>
    </row>
    <row r="3" spans="1:14" s="1" customFormat="1" x14ac:dyDescent="0.25">
      <c r="A3" s="26" t="s">
        <v>7</v>
      </c>
      <c r="E3" s="15"/>
      <c r="F3" s="15"/>
      <c r="G3" s="15"/>
      <c r="H3" s="15"/>
      <c r="J3" s="8"/>
      <c r="L3" s="8"/>
      <c r="M3" s="15"/>
      <c r="N3" s="27" t="s">
        <v>0</v>
      </c>
    </row>
    <row r="4" spans="1:14" s="1" customFormat="1" ht="51" customHeight="1" x14ac:dyDescent="0.25">
      <c r="A4" s="68" t="s">
        <v>25</v>
      </c>
      <c r="B4" s="68"/>
      <c r="C4" s="68"/>
      <c r="F4" s="28" t="s">
        <v>26</v>
      </c>
      <c r="G4" s="15"/>
      <c r="I4" s="69" t="s">
        <v>25</v>
      </c>
      <c r="J4" s="69"/>
      <c r="K4" s="69"/>
      <c r="L4" s="69"/>
      <c r="M4" s="69"/>
      <c r="N4" s="69"/>
    </row>
    <row r="5" spans="1:14" s="1" customFormat="1" x14ac:dyDescent="0.25">
      <c r="A5" s="15"/>
      <c r="B5" s="15"/>
      <c r="C5" s="15"/>
      <c r="F5" s="15" t="s">
        <v>2</v>
      </c>
      <c r="G5" s="15"/>
      <c r="I5" s="15"/>
      <c r="J5" s="15"/>
      <c r="K5" s="15"/>
      <c r="L5" s="15"/>
      <c r="M5" s="15"/>
    </row>
    <row r="6" spans="1:14" s="1" customFormat="1" x14ac:dyDescent="0.25">
      <c r="A6" s="15"/>
      <c r="B6" s="15"/>
      <c r="C6" s="15"/>
      <c r="E6" s="15"/>
      <c r="F6" s="15"/>
      <c r="G6" s="15"/>
      <c r="H6" s="15"/>
      <c r="I6" s="15"/>
      <c r="J6" s="15"/>
      <c r="K6" s="15"/>
      <c r="L6" s="15"/>
      <c r="M6" s="15"/>
    </row>
    <row r="7" spans="1:14" s="1" customFormat="1" x14ac:dyDescent="0.25">
      <c r="A7" s="15"/>
      <c r="B7" s="15"/>
      <c r="C7" s="29"/>
      <c r="D7" s="30" t="s">
        <v>324</v>
      </c>
      <c r="E7" s="31"/>
      <c r="F7" s="31"/>
      <c r="G7" s="31"/>
      <c r="H7" s="31"/>
      <c r="I7" s="32"/>
      <c r="J7" s="32"/>
      <c r="K7" s="32"/>
      <c r="L7" s="32"/>
      <c r="M7" s="15"/>
    </row>
    <row r="8" spans="1:14" s="1" customFormat="1" x14ac:dyDescent="0.25">
      <c r="A8" s="15"/>
      <c r="B8" s="15"/>
      <c r="C8" s="15"/>
      <c r="D8" s="33" t="s">
        <v>21</v>
      </c>
      <c r="E8" s="24"/>
      <c r="F8" s="24"/>
      <c r="G8" s="24"/>
      <c r="I8" s="32"/>
      <c r="J8" s="32"/>
      <c r="K8" s="32"/>
      <c r="L8" s="32"/>
      <c r="M8" s="15"/>
    </row>
    <row r="9" spans="1:14" s="1" customFormat="1" ht="7.5" customHeight="1" x14ac:dyDescent="0.25">
      <c r="A9" s="34"/>
      <c r="B9" s="34"/>
      <c r="C9" s="15"/>
      <c r="E9" s="15"/>
      <c r="F9" s="15"/>
      <c r="G9" s="15"/>
      <c r="H9" s="15"/>
      <c r="I9" s="15"/>
      <c r="J9" s="15"/>
      <c r="M9" s="15"/>
    </row>
    <row r="10" spans="1:14" x14ac:dyDescent="0.25">
      <c r="A10" s="74" t="s">
        <v>27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</row>
    <row r="11" spans="1:14" x14ac:dyDescent="0.25">
      <c r="A11" s="6" t="s">
        <v>10</v>
      </c>
      <c r="B11" s="7"/>
      <c r="C11" s="75">
        <v>905600</v>
      </c>
      <c r="D11" s="75"/>
      <c r="E11" s="75"/>
      <c r="F11" s="8" t="s">
        <v>9</v>
      </c>
      <c r="G11" s="9"/>
      <c r="H11" s="9"/>
      <c r="I11" s="9"/>
      <c r="J11" s="66" t="s">
        <v>327</v>
      </c>
      <c r="K11" s="67"/>
      <c r="L11" s="67"/>
      <c r="M11" s="67"/>
      <c r="N11" s="67"/>
    </row>
    <row r="12" spans="1:14" x14ac:dyDescent="0.25">
      <c r="A12" s="6" t="s">
        <v>20</v>
      </c>
      <c r="B12" s="7"/>
      <c r="C12" s="10"/>
      <c r="D12" s="76">
        <v>185243</v>
      </c>
      <c r="E12" s="76"/>
      <c r="F12" s="8" t="s">
        <v>9</v>
      </c>
      <c r="G12" s="9"/>
      <c r="H12" s="9"/>
      <c r="I12" s="9"/>
      <c r="J12" s="67"/>
      <c r="K12" s="67"/>
      <c r="L12" s="67"/>
      <c r="M12" s="67"/>
      <c r="N12" s="67"/>
    </row>
    <row r="13" spans="1:14" x14ac:dyDescent="0.25">
      <c r="A13" s="6" t="s">
        <v>323</v>
      </c>
      <c r="B13" s="2"/>
      <c r="C13" s="11"/>
      <c r="D13" s="12"/>
      <c r="E13" s="13"/>
      <c r="F13" s="36"/>
      <c r="G13" s="14"/>
      <c r="H13" s="14"/>
      <c r="I13" s="9"/>
      <c r="J13" s="67"/>
      <c r="K13" s="67"/>
      <c r="L13" s="67"/>
      <c r="M13" s="67"/>
      <c r="N13" s="67"/>
    </row>
    <row r="14" spans="1:14" ht="11.25" customHeight="1" x14ac:dyDescent="0.25">
      <c r="A14" s="15"/>
      <c r="B14" s="8"/>
      <c r="C14" s="8"/>
      <c r="D14" s="15"/>
      <c r="E14" s="9"/>
      <c r="F14" s="9"/>
      <c r="G14" s="9"/>
      <c r="H14" s="10"/>
      <c r="I14" s="9"/>
      <c r="J14" s="9"/>
      <c r="K14" s="9"/>
      <c r="L14" s="9"/>
      <c r="M14" s="9"/>
      <c r="N14" s="2" t="s">
        <v>9</v>
      </c>
    </row>
    <row r="15" spans="1:14" ht="12.75" customHeight="1" x14ac:dyDescent="0.25">
      <c r="A15" s="72" t="s">
        <v>3</v>
      </c>
      <c r="B15" s="72" t="s">
        <v>17</v>
      </c>
      <c r="C15" s="70" t="s">
        <v>22</v>
      </c>
      <c r="D15" s="70" t="s">
        <v>18</v>
      </c>
      <c r="E15" s="81" t="s">
        <v>23</v>
      </c>
      <c r="F15" s="82"/>
      <c r="G15" s="83"/>
      <c r="H15" s="70" t="s">
        <v>4</v>
      </c>
      <c r="I15" s="81" t="s">
        <v>24</v>
      </c>
      <c r="J15" s="87"/>
      <c r="K15" s="87"/>
      <c r="L15" s="78"/>
      <c r="M15" s="77" t="s">
        <v>19</v>
      </c>
      <c r="N15" s="78"/>
    </row>
    <row r="16" spans="1:14" s="4" customFormat="1" ht="38.25" customHeight="1" x14ac:dyDescent="0.25">
      <c r="A16" s="73"/>
      <c r="B16" s="73"/>
      <c r="C16" s="73"/>
      <c r="D16" s="73"/>
      <c r="E16" s="84"/>
      <c r="F16" s="85"/>
      <c r="G16" s="86"/>
      <c r="H16" s="73"/>
      <c r="I16" s="79"/>
      <c r="J16" s="88"/>
      <c r="K16" s="88"/>
      <c r="L16" s="80"/>
      <c r="M16" s="79"/>
      <c r="N16" s="80"/>
    </row>
    <row r="17" spans="1:35" s="4" customFormat="1" ht="12.75" customHeight="1" x14ac:dyDescent="0.25">
      <c r="A17" s="73"/>
      <c r="B17" s="73"/>
      <c r="C17" s="73"/>
      <c r="D17" s="73"/>
      <c r="E17" s="37" t="s">
        <v>12</v>
      </c>
      <c r="F17" s="37" t="s">
        <v>14</v>
      </c>
      <c r="G17" s="70" t="s">
        <v>16</v>
      </c>
      <c r="H17" s="73"/>
      <c r="I17" s="70" t="s">
        <v>12</v>
      </c>
      <c r="J17" s="70" t="s">
        <v>15</v>
      </c>
      <c r="K17" s="37" t="s">
        <v>14</v>
      </c>
      <c r="L17" s="70" t="s">
        <v>16</v>
      </c>
      <c r="M17" s="72" t="s">
        <v>8</v>
      </c>
      <c r="N17" s="70" t="s">
        <v>12</v>
      </c>
    </row>
    <row r="18" spans="1:35" s="4" customFormat="1" ht="11.25" customHeight="1" x14ac:dyDescent="0.25">
      <c r="A18" s="71"/>
      <c r="B18" s="71"/>
      <c r="C18" s="71"/>
      <c r="D18" s="71"/>
      <c r="E18" s="38" t="s">
        <v>11</v>
      </c>
      <c r="F18" s="37" t="s">
        <v>13</v>
      </c>
      <c r="G18" s="71"/>
      <c r="H18" s="71"/>
      <c r="I18" s="71"/>
      <c r="J18" s="71"/>
      <c r="K18" s="37" t="s">
        <v>13</v>
      </c>
      <c r="L18" s="71"/>
      <c r="M18" s="71"/>
      <c r="N18" s="71"/>
    </row>
    <row r="19" spans="1:35" x14ac:dyDescent="0.25">
      <c r="A19" s="42">
        <v>1</v>
      </c>
      <c r="B19" s="42">
        <v>2</v>
      </c>
      <c r="C19" s="42">
        <v>3</v>
      </c>
      <c r="D19" s="42">
        <v>4</v>
      </c>
      <c r="E19" s="42">
        <v>5</v>
      </c>
      <c r="F19" s="42">
        <v>6</v>
      </c>
      <c r="G19" s="42">
        <v>7</v>
      </c>
      <c r="H19" s="42">
        <v>7</v>
      </c>
      <c r="I19" s="42">
        <v>8</v>
      </c>
      <c r="J19" s="42">
        <v>9</v>
      </c>
      <c r="K19" s="42">
        <v>10</v>
      </c>
      <c r="L19" s="42">
        <v>12</v>
      </c>
      <c r="M19" s="42">
        <v>11</v>
      </c>
      <c r="N19" s="42">
        <v>12</v>
      </c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43"/>
      <c r="AB19" s="44"/>
      <c r="AC19" s="44"/>
      <c r="AD19" s="44"/>
      <c r="AE19" s="44"/>
      <c r="AF19" s="45"/>
      <c r="AG19" s="44"/>
      <c r="AH19" s="44"/>
      <c r="AI19" s="44"/>
    </row>
    <row r="20" spans="1:35" ht="21" customHeight="1" x14ac:dyDescent="0.25">
      <c r="A20" s="91" t="s">
        <v>29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</row>
    <row r="21" spans="1:35" ht="211.2" x14ac:dyDescent="0.25">
      <c r="A21" s="46">
        <v>1</v>
      </c>
      <c r="B21" s="47" t="s">
        <v>30</v>
      </c>
      <c r="C21" s="48" t="str">
        <f t="shared" ref="C21:C31" ca="1" si="0">INDIRECT("AF"&amp;ROW())&amp;CHAR(10)&amp;INDIRECT("AG"&amp;ROW())&amp;IF(INDIRECT("AE"&amp;ROW())="", "", CHAR(10)&amp;INDIRECT("AE"&amp;ROW()))&amp;IF(INDIRECT("AC"&amp;ROW())="", "", CHAR(10)&amp;INDIRECT("AC"&amp;ROW())&amp;" руб. "&amp;INDIRECT("AA"&amp;ROW())&amp;" ("&amp;INDIRECT("AI"&amp;ROW())&amp;" руб.)")&amp;IF(INDIRECT("AD"&amp;ROW())="", "", CHAR(10)&amp;INDIRECT("AD"&amp;ROW())&amp;" руб."&amp;INDIRECT("AB"&amp;ROW())&amp;" ("&amp;INDIRECT("AI"&amp;ROW())&amp;" руб.)")&amp;CHAR(10)&amp;CHAR(10)</f>
        <v xml:space="preserve">Разработка траншей экскаватором «обратная лопата» с ковшом вместимостью 0,25 м3, группа грунтов: 2
1000 м3 грунта
((КОЭФ.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ТЗМ=1,25))
1678 руб. НР 73%=95%*(0,85*0,9) от ФОТ (2298 руб.)
781 руб.СП 34%=50%*(0,8*0,85) от ФОТ (2298 руб.)
</v>
      </c>
      <c r="D21" s="46">
        <v>0.17749999999999999</v>
      </c>
      <c r="E21" s="49">
        <v>3717.53</v>
      </c>
      <c r="F21" s="49" t="s">
        <v>31</v>
      </c>
      <c r="G21" s="49"/>
      <c r="H21" s="50" t="s">
        <v>32</v>
      </c>
      <c r="I21" s="51">
        <v>9603</v>
      </c>
      <c r="J21" s="49"/>
      <c r="K21" s="49" t="s">
        <v>33</v>
      </c>
      <c r="L21" s="49" t="str">
        <f>IF(0.1775*0=0," ",TEXT(,ROUND((0.1775*0*1),2)))</f>
        <v xml:space="preserve"> </v>
      </c>
      <c r="M21" s="49" t="s">
        <v>34</v>
      </c>
      <c r="N21" s="49" t="s">
        <v>35</v>
      </c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3" t="s">
        <v>36</v>
      </c>
      <c r="AB21" s="53" t="s">
        <v>37</v>
      </c>
      <c r="AC21" s="53">
        <v>1678</v>
      </c>
      <c r="AD21" s="53">
        <v>781</v>
      </c>
      <c r="AE21" s="54" t="s">
        <v>38</v>
      </c>
      <c r="AF21" s="55" t="s">
        <v>39</v>
      </c>
      <c r="AG21" s="53" t="s">
        <v>40</v>
      </c>
      <c r="AH21" s="53"/>
      <c r="AI21" s="53">
        <f>0+2298</f>
        <v>2298</v>
      </c>
    </row>
    <row r="22" spans="1:35" ht="211.2" x14ac:dyDescent="0.25">
      <c r="A22" s="46">
        <v>2</v>
      </c>
      <c r="B22" s="47" t="s">
        <v>41</v>
      </c>
      <c r="C22" s="48" t="str">
        <f t="shared" ca="1" si="0"/>
        <v xml:space="preserve">Разработка грунта вручную в траншеях глубиной до 2 м без креплений с откосами, группа грунтов: 2 с вывозом
100 м3 грунта
((КОЭФ.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ТЗМ=1,25))
8268 руб. НР 61%=80%*(0,85*0,9) от ФОТ (13554 руб.)
4202 руб.СП 31%=45%*(0,8*0,85) от ФОТ (13554 руб.)
</v>
      </c>
      <c r="D22" s="46">
        <v>0.57999999999999996</v>
      </c>
      <c r="E22" s="49" t="s">
        <v>42</v>
      </c>
      <c r="F22" s="49"/>
      <c r="G22" s="49"/>
      <c r="H22" s="50" t="s">
        <v>43</v>
      </c>
      <c r="I22" s="51">
        <v>13554</v>
      </c>
      <c r="J22" s="49">
        <v>13554</v>
      </c>
      <c r="K22" s="49"/>
      <c r="L22" s="49" t="str">
        <f>IF(0.58*0=0," ",TEXT(,ROUND((0.58*0*1),2)))</f>
        <v xml:space="preserve"> </v>
      </c>
      <c r="M22" s="49">
        <v>154</v>
      </c>
      <c r="N22" s="49">
        <v>89.32</v>
      </c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3" t="s">
        <v>44</v>
      </c>
      <c r="AB22" s="53" t="s">
        <v>45</v>
      </c>
      <c r="AC22" s="53">
        <v>8268</v>
      </c>
      <c r="AD22" s="53">
        <v>4202</v>
      </c>
      <c r="AE22" s="54" t="s">
        <v>38</v>
      </c>
      <c r="AF22" s="55" t="s">
        <v>46</v>
      </c>
      <c r="AG22" s="53" t="s">
        <v>47</v>
      </c>
      <c r="AH22" s="53"/>
      <c r="AI22" s="53">
        <f>13554+0</f>
        <v>13554</v>
      </c>
    </row>
    <row r="23" spans="1:35" ht="211.2" x14ac:dyDescent="0.25">
      <c r="A23" s="46">
        <v>3</v>
      </c>
      <c r="B23" s="47" t="s">
        <v>48</v>
      </c>
      <c r="C23" s="48" t="str">
        <f t="shared" ca="1" si="0"/>
        <v xml:space="preserve">Засыпка траншей и котлованов с перемещением грунта до 5 м бульдозерами мощностью: 59 кВт (80 л.с.), группа грунтов 2
1000 м3 грунта
((КОЭФ.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ТЗМ=1,25))
222 руб. НР 73%=95%*(0,85*0,9) от ФОТ (304 руб.)
103 руб.СП 34%=50%*(0,8*0,85) от ФОТ (304 руб.)
</v>
      </c>
      <c r="D23" s="46">
        <v>0.13750000000000001</v>
      </c>
      <c r="E23" s="49">
        <v>527.5</v>
      </c>
      <c r="F23" s="49" t="s">
        <v>49</v>
      </c>
      <c r="G23" s="49"/>
      <c r="H23" s="50" t="s">
        <v>50</v>
      </c>
      <c r="I23" s="51">
        <v>1400</v>
      </c>
      <c r="J23" s="49"/>
      <c r="K23" s="49" t="s">
        <v>51</v>
      </c>
      <c r="L23" s="49" t="str">
        <f>IF(0.1375*0=0," ",TEXT(,ROUND((0.1375*0*1),2)))</f>
        <v xml:space="preserve"> </v>
      </c>
      <c r="M23" s="49" t="s">
        <v>52</v>
      </c>
      <c r="N23" s="49" t="s">
        <v>53</v>
      </c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3" t="s">
        <v>36</v>
      </c>
      <c r="AB23" s="53" t="s">
        <v>37</v>
      </c>
      <c r="AC23" s="53">
        <v>222</v>
      </c>
      <c r="AD23" s="53">
        <v>103</v>
      </c>
      <c r="AE23" s="54" t="s">
        <v>38</v>
      </c>
      <c r="AF23" s="55" t="s">
        <v>54</v>
      </c>
      <c r="AG23" s="53" t="s">
        <v>40</v>
      </c>
      <c r="AH23" s="53"/>
      <c r="AI23" s="53">
        <f>0+304</f>
        <v>304</v>
      </c>
    </row>
    <row r="24" spans="1:35" ht="198" x14ac:dyDescent="0.25">
      <c r="A24" s="46">
        <v>4</v>
      </c>
      <c r="B24" s="47" t="s">
        <v>55</v>
      </c>
      <c r="C24" s="48" t="str">
        <f t="shared" ca="1" si="0"/>
        <v xml:space="preserve">Засыпка вручную траншей, пазух котлованов и ям, группа грунтов: 1
100 м3 грунта
((КОЭФ.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ТЗМ=1,25))
3154 руб. НР 61%=80%*(0,85*0,9) от ФОТ (5171 руб.)
1603 руб.СП 31%=45%*(0,8*0,85) от ФОТ (5171 руб.)
</v>
      </c>
      <c r="D24" s="46">
        <v>0.4</v>
      </c>
      <c r="E24" s="49" t="s">
        <v>56</v>
      </c>
      <c r="F24" s="49"/>
      <c r="G24" s="49"/>
      <c r="H24" s="50" t="s">
        <v>57</v>
      </c>
      <c r="I24" s="51">
        <v>5171</v>
      </c>
      <c r="J24" s="49">
        <v>5171</v>
      </c>
      <c r="K24" s="49"/>
      <c r="L24" s="49" t="str">
        <f>IF(0.4*0=0," ",TEXT(,ROUND((0.4*0*1),2)))</f>
        <v xml:space="preserve"> </v>
      </c>
      <c r="M24" s="49">
        <v>88.5</v>
      </c>
      <c r="N24" s="49">
        <v>35.4</v>
      </c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3" t="s">
        <v>44</v>
      </c>
      <c r="AB24" s="53" t="s">
        <v>45</v>
      </c>
      <c r="AC24" s="53">
        <v>3154</v>
      </c>
      <c r="AD24" s="53">
        <v>1603</v>
      </c>
      <c r="AE24" s="54" t="s">
        <v>38</v>
      </c>
      <c r="AF24" s="55" t="s">
        <v>58</v>
      </c>
      <c r="AG24" s="53" t="s">
        <v>47</v>
      </c>
      <c r="AH24" s="53"/>
      <c r="AI24" s="53">
        <f>5171+0</f>
        <v>5171</v>
      </c>
    </row>
    <row r="25" spans="1:35" ht="158.4" x14ac:dyDescent="0.25">
      <c r="A25" s="46">
        <v>5</v>
      </c>
      <c r="B25" s="47" t="s">
        <v>59</v>
      </c>
      <c r="C25" s="48" t="str">
        <f t="shared" ca="1" si="0"/>
        <v xml:space="preserve">Разборка: бутовых фундаментов 5,1*2,4=12,24
1 м3
((КОЭФ. УЧТЁННЫЕ В ИТОГАХ:
6. Ремонт существующих зданий (включая жилые дома) без расселения ОЗП=1,5; ЭМ=1,5; ЗПМ=1,5; ТЗ=1,5; ТЗМ=1,5))
9256 руб. НР 84%=110%*(0,85*0,9) от ФОТ (11019 руб.)
5289 руб.СП 48%=70%*(0,8*0,85) от ФОТ (11019 руб.)
</v>
      </c>
      <c r="D25" s="46">
        <v>5.0999999999999996</v>
      </c>
      <c r="E25" s="49" t="s">
        <v>60</v>
      </c>
      <c r="F25" s="49" t="s">
        <v>61</v>
      </c>
      <c r="G25" s="49"/>
      <c r="H25" s="50" t="s">
        <v>62</v>
      </c>
      <c r="I25" s="51">
        <v>16577</v>
      </c>
      <c r="J25" s="49">
        <v>9211</v>
      </c>
      <c r="K25" s="49" t="s">
        <v>63</v>
      </c>
      <c r="L25" s="49" t="str">
        <f>IF(5.1*0=0," ",TEXT(,ROUND((5.1*0*1),2)))</f>
        <v xml:space="preserve"> </v>
      </c>
      <c r="M25" s="49" t="s">
        <v>64</v>
      </c>
      <c r="N25" s="49" t="s">
        <v>65</v>
      </c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3" t="s">
        <v>66</v>
      </c>
      <c r="AB25" s="53" t="s">
        <v>67</v>
      </c>
      <c r="AC25" s="53">
        <v>9256</v>
      </c>
      <c r="AD25" s="53">
        <v>5289</v>
      </c>
      <c r="AE25" s="54" t="s">
        <v>68</v>
      </c>
      <c r="AF25" s="55" t="s">
        <v>69</v>
      </c>
      <c r="AG25" s="53" t="s">
        <v>70</v>
      </c>
      <c r="AH25" s="53"/>
      <c r="AI25" s="53">
        <f>9211+1808</f>
        <v>11019</v>
      </c>
    </row>
    <row r="26" spans="1:35" ht="158.4" x14ac:dyDescent="0.25">
      <c r="A26" s="46">
        <v>6</v>
      </c>
      <c r="B26" s="47" t="s">
        <v>71</v>
      </c>
      <c r="C26" s="48" t="str">
        <f t="shared" ca="1" si="0"/>
        <v xml:space="preserve">Подъем рубленых стен домкратом
100 подъемов
((КОЭФ. УЧТЁННЫЕ В ИТОГАХ:
6. Ремонт существующих зданий (включая жилые дома) без расселения ОЗП=1,5; ЭМ=1,5; ЗПМ=1,5; ТЗ=1,5; ТЗМ=1,5))
13941 руб. НР 73%=86%*0,85 от ФОТ (19097 руб.)
10694 руб.СП 56%=70%*0,8 от ФОТ (19097 руб.)
</v>
      </c>
      <c r="D26" s="46">
        <v>0.36</v>
      </c>
      <c r="E26" s="49" t="s">
        <v>72</v>
      </c>
      <c r="F26" s="49">
        <v>113.76</v>
      </c>
      <c r="G26" s="49"/>
      <c r="H26" s="50" t="s">
        <v>73</v>
      </c>
      <c r="I26" s="51">
        <v>19589</v>
      </c>
      <c r="J26" s="49">
        <v>19097</v>
      </c>
      <c r="K26" s="49">
        <v>492</v>
      </c>
      <c r="L26" s="49" t="str">
        <f>IF(0.36*0=0," ",TEXT(,ROUND((0.36*0*1),2)))</f>
        <v xml:space="preserve"> </v>
      </c>
      <c r="M26" s="49">
        <v>242</v>
      </c>
      <c r="N26" s="49">
        <v>87.12</v>
      </c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3" t="s">
        <v>74</v>
      </c>
      <c r="AB26" s="53" t="s">
        <v>75</v>
      </c>
      <c r="AC26" s="53">
        <v>13941</v>
      </c>
      <c r="AD26" s="53">
        <v>10694</v>
      </c>
      <c r="AE26" s="54" t="s">
        <v>68</v>
      </c>
      <c r="AF26" s="55" t="s">
        <v>76</v>
      </c>
      <c r="AG26" s="53" t="s">
        <v>77</v>
      </c>
      <c r="AH26" s="53"/>
      <c r="AI26" s="53">
        <f>19097+0</f>
        <v>19097</v>
      </c>
    </row>
    <row r="27" spans="1:35" ht="132" x14ac:dyDescent="0.25">
      <c r="A27" s="46">
        <v>7</v>
      </c>
      <c r="B27" s="47" t="s">
        <v>78</v>
      </c>
      <c r="C27" s="48" t="str">
        <f t="shared" ca="1" si="0"/>
        <v xml:space="preserve">Разборка бревенчатых: неоштукатуренных стен
100 м2 стен
((КОЭФ. УЧТЁННЫЕ В ИТОГАХ:
6. Ремонт существующих зданий (включая жилые дома) без расселения ОЗП=1,5; ЭМ=1,5; ЗПМ=1,5; ТЗ=1,5; ТЗМ=1,5))
5058 руб. НР 73%=86%*0,85 от ФОТ (6929 руб.)
3880 руб.СП 56%=70%*0,8 от ФОТ (6929 руб.)
</v>
      </c>
      <c r="D27" s="46">
        <v>0.32</v>
      </c>
      <c r="E27" s="49" t="s">
        <v>79</v>
      </c>
      <c r="F27" s="49" t="s">
        <v>80</v>
      </c>
      <c r="G27" s="49"/>
      <c r="H27" s="50" t="s">
        <v>81</v>
      </c>
      <c r="I27" s="51">
        <v>9946</v>
      </c>
      <c r="J27" s="49">
        <v>6236</v>
      </c>
      <c r="K27" s="49" t="s">
        <v>82</v>
      </c>
      <c r="L27" s="49" t="str">
        <f>IF(0.32*0=0," ",TEXT(,ROUND((0.32*0*1),2)))</f>
        <v xml:space="preserve"> </v>
      </c>
      <c r="M27" s="49" t="s">
        <v>83</v>
      </c>
      <c r="N27" s="49" t="s">
        <v>84</v>
      </c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3" t="s">
        <v>74</v>
      </c>
      <c r="AB27" s="53" t="s">
        <v>75</v>
      </c>
      <c r="AC27" s="53">
        <v>5058</v>
      </c>
      <c r="AD27" s="53">
        <v>3880</v>
      </c>
      <c r="AE27" s="54" t="s">
        <v>68</v>
      </c>
      <c r="AF27" s="55" t="s">
        <v>85</v>
      </c>
      <c r="AG27" s="53" t="s">
        <v>86</v>
      </c>
      <c r="AH27" s="53"/>
      <c r="AI27" s="53">
        <f>6236+693</f>
        <v>6929</v>
      </c>
    </row>
    <row r="28" spans="1:35" ht="158.4" x14ac:dyDescent="0.25">
      <c r="A28" s="46">
        <v>8</v>
      </c>
      <c r="B28" s="47" t="s">
        <v>87</v>
      </c>
      <c r="C28" s="48" t="str">
        <f t="shared" ca="1" si="0"/>
        <v xml:space="preserve">Прорезка отверстий для водогазопроводных и чугунных трубопроводов в деревянных: перегородках оштукатуренных
100 отверстий
((КОЭФ. УЧТЁННЫЕ В ИТОГАХ:
6. Ремонт существующих зданий (включая жилые дома) без расселения ОЗП=1,5; ЭМ=1,5; ЗПМ=1,5; ТЗ=1,5; ТЗМ=1,5))
1841 руб. НР 66%=78%*0,85 от ФОТ (2789 руб.)
1116 руб.СП 40%=50%*0,8 от ФОТ (2789 руб.)
</v>
      </c>
      <c r="D28" s="46">
        <v>0.18</v>
      </c>
      <c r="E28" s="49" t="s">
        <v>88</v>
      </c>
      <c r="F28" s="49">
        <v>207.65</v>
      </c>
      <c r="G28" s="49"/>
      <c r="H28" s="50" t="s">
        <v>89</v>
      </c>
      <c r="I28" s="51">
        <v>3201</v>
      </c>
      <c r="J28" s="49">
        <v>2789</v>
      </c>
      <c r="K28" s="49">
        <v>412</v>
      </c>
      <c r="L28" s="49" t="str">
        <f>IF(0.18*0=0," ",TEXT(,ROUND((0.18*0*1),2)))</f>
        <v xml:space="preserve"> </v>
      </c>
      <c r="M28" s="49">
        <v>71.8</v>
      </c>
      <c r="N28" s="49">
        <v>12.92</v>
      </c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3" t="s">
        <v>90</v>
      </c>
      <c r="AB28" s="53" t="s">
        <v>91</v>
      </c>
      <c r="AC28" s="53">
        <v>1841</v>
      </c>
      <c r="AD28" s="53">
        <v>1116</v>
      </c>
      <c r="AE28" s="54" t="s">
        <v>68</v>
      </c>
      <c r="AF28" s="55" t="s">
        <v>92</v>
      </c>
      <c r="AG28" s="53" t="s">
        <v>93</v>
      </c>
      <c r="AH28" s="53"/>
      <c r="AI28" s="53">
        <f>2789+0</f>
        <v>2789</v>
      </c>
    </row>
    <row r="29" spans="1:35" ht="79.2" x14ac:dyDescent="0.25">
      <c r="A29" s="46">
        <v>9</v>
      </c>
      <c r="B29" s="47" t="s">
        <v>94</v>
      </c>
      <c r="C29" s="48" t="str">
        <f t="shared" ca="1" si="0"/>
        <v xml:space="preserve">Погрузочные работы при автомобильных перевозках: мусора строительного с погрузкой вручную
1 т груза
</v>
      </c>
      <c r="D29" s="46">
        <v>10.1</v>
      </c>
      <c r="E29" s="49">
        <v>42.98</v>
      </c>
      <c r="F29" s="49">
        <v>42.98</v>
      </c>
      <c r="G29" s="49"/>
      <c r="H29" s="50" t="s">
        <v>95</v>
      </c>
      <c r="I29" s="51">
        <v>4830</v>
      </c>
      <c r="J29" s="49"/>
      <c r="K29" s="49">
        <v>4830</v>
      </c>
      <c r="L29" s="49" t="str">
        <f>IF(10.1*0=0," ",TEXT(,ROUND((10.1*0*1),2)))</f>
        <v xml:space="preserve"> </v>
      </c>
      <c r="M29" s="49"/>
      <c r="N29" s="49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3" t="s">
        <v>96</v>
      </c>
      <c r="AB29" s="53" t="s">
        <v>97</v>
      </c>
      <c r="AC29" s="53"/>
      <c r="AD29" s="53"/>
      <c r="AE29" s="53"/>
      <c r="AF29" s="55" t="s">
        <v>98</v>
      </c>
      <c r="AG29" s="53" t="s">
        <v>99</v>
      </c>
      <c r="AH29" s="53"/>
      <c r="AI29" s="53">
        <f>0+0</f>
        <v>0</v>
      </c>
    </row>
    <row r="30" spans="1:35" ht="92.4" x14ac:dyDescent="0.25">
      <c r="A30" s="46">
        <v>10</v>
      </c>
      <c r="B30" s="47" t="s">
        <v>100</v>
      </c>
      <c r="C30" s="48" t="str">
        <f t="shared" ca="1" si="0"/>
        <v xml:space="preserve">Погрузочные работы при автомобильных перевозках: мусора строительного с погрузкой экскаваторами емкостью ковша до 0,5 м3 лишний грунт 58 м3
1 т груза
</v>
      </c>
      <c r="D30" s="46">
        <v>90.84</v>
      </c>
      <c r="E30" s="49">
        <v>3.28</v>
      </c>
      <c r="F30" s="49">
        <v>3.28</v>
      </c>
      <c r="G30" s="49"/>
      <c r="H30" s="50" t="s">
        <v>101</v>
      </c>
      <c r="I30" s="51">
        <v>3457</v>
      </c>
      <c r="J30" s="49"/>
      <c r="K30" s="49">
        <v>3457</v>
      </c>
      <c r="L30" s="49" t="str">
        <f>IF(90.84*0=0," ",TEXT(,ROUND((90.84*0*1),2)))</f>
        <v xml:space="preserve"> </v>
      </c>
      <c r="M30" s="49"/>
      <c r="N30" s="49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3" t="s">
        <v>96</v>
      </c>
      <c r="AB30" s="53" t="s">
        <v>97</v>
      </c>
      <c r="AC30" s="53"/>
      <c r="AD30" s="53"/>
      <c r="AE30" s="53"/>
      <c r="AF30" s="55" t="s">
        <v>102</v>
      </c>
      <c r="AG30" s="53" t="s">
        <v>99</v>
      </c>
      <c r="AH30" s="53"/>
      <c r="AI30" s="53">
        <f>0+0</f>
        <v>0</v>
      </c>
    </row>
    <row r="31" spans="1:35" ht="79.2" x14ac:dyDescent="0.25">
      <c r="A31" s="56">
        <v>11</v>
      </c>
      <c r="B31" s="57" t="s">
        <v>103</v>
      </c>
      <c r="C31" s="58" t="str">
        <f t="shared" ca="1" si="0"/>
        <v xml:space="preserve">Перевозка грузов автомобилями-самосвалами грузоподъемностью 10 т, работающих вне карьера, на расстояние: до 5 км I класс груза
1 т груза
</v>
      </c>
      <c r="D31" s="56">
        <v>111.24</v>
      </c>
      <c r="E31" s="59">
        <v>6.69</v>
      </c>
      <c r="F31" s="59">
        <v>6.69</v>
      </c>
      <c r="G31" s="59"/>
      <c r="H31" s="60" t="s">
        <v>104</v>
      </c>
      <c r="I31" s="61">
        <v>7321</v>
      </c>
      <c r="J31" s="59"/>
      <c r="K31" s="59">
        <v>7321</v>
      </c>
      <c r="L31" s="59" t="str">
        <f>IF(111.24*0=0," ",TEXT(,ROUND((111.24*0*1),2)))</f>
        <v xml:space="preserve"> </v>
      </c>
      <c r="M31" s="59"/>
      <c r="N31" s="59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3" t="s">
        <v>105</v>
      </c>
      <c r="AB31" s="53" t="s">
        <v>106</v>
      </c>
      <c r="AC31" s="53"/>
      <c r="AD31" s="53"/>
      <c r="AE31" s="53"/>
      <c r="AF31" s="55" t="s">
        <v>107</v>
      </c>
      <c r="AG31" s="53" t="s">
        <v>99</v>
      </c>
      <c r="AH31" s="53"/>
      <c r="AI31" s="53">
        <f>0+0</f>
        <v>0</v>
      </c>
    </row>
    <row r="32" spans="1:35" ht="26.4" x14ac:dyDescent="0.25">
      <c r="A32" s="89" t="s">
        <v>108</v>
      </c>
      <c r="B32" s="90"/>
      <c r="C32" s="90"/>
      <c r="D32" s="90"/>
      <c r="E32" s="90"/>
      <c r="F32" s="90"/>
      <c r="G32" s="90"/>
      <c r="H32" s="90"/>
      <c r="I32" s="51">
        <v>5610</v>
      </c>
      <c r="J32" s="49">
        <v>2435</v>
      </c>
      <c r="K32" s="49" t="s">
        <v>109</v>
      </c>
      <c r="L32" s="49"/>
      <c r="M32" s="49"/>
      <c r="N32" s="49" t="s">
        <v>110</v>
      </c>
      <c r="O32" s="18"/>
      <c r="P32" s="19"/>
      <c r="Q32" s="18"/>
      <c r="R32" s="18"/>
      <c r="S32" s="18"/>
      <c r="T32" s="18"/>
      <c r="U32" s="18"/>
      <c r="V32" s="18"/>
      <c r="W32" s="18"/>
      <c r="X32" s="18"/>
      <c r="Y32" s="18"/>
      <c r="Z32" s="18"/>
      <c r="AF32" s="4"/>
    </row>
    <row r="33" spans="1:35" ht="26.4" x14ac:dyDescent="0.25">
      <c r="A33" s="89" t="s">
        <v>111</v>
      </c>
      <c r="B33" s="90"/>
      <c r="C33" s="90"/>
      <c r="D33" s="90"/>
      <c r="E33" s="90"/>
      <c r="F33" s="90"/>
      <c r="G33" s="90"/>
      <c r="H33" s="90"/>
      <c r="I33" s="51">
        <v>7159</v>
      </c>
      <c r="J33" s="49">
        <v>3317</v>
      </c>
      <c r="K33" s="49" t="s">
        <v>112</v>
      </c>
      <c r="L33" s="49"/>
      <c r="M33" s="49"/>
      <c r="N33" s="49" t="s">
        <v>113</v>
      </c>
      <c r="O33" s="18"/>
      <c r="P33" s="19"/>
      <c r="Q33" s="18"/>
      <c r="R33" s="18"/>
      <c r="S33" s="18"/>
      <c r="T33" s="18"/>
      <c r="U33" s="18"/>
      <c r="V33" s="18"/>
      <c r="W33" s="18"/>
      <c r="X33" s="18"/>
      <c r="Y33" s="18"/>
      <c r="Z33" s="18"/>
      <c r="AF33" s="4"/>
    </row>
    <row r="34" spans="1:35" x14ac:dyDescent="0.25">
      <c r="A34" s="89" t="s">
        <v>114</v>
      </c>
      <c r="B34" s="90"/>
      <c r="C34" s="90"/>
      <c r="D34" s="90"/>
      <c r="E34" s="90"/>
      <c r="F34" s="90"/>
      <c r="G34" s="90"/>
      <c r="H34" s="90"/>
      <c r="I34" s="51"/>
      <c r="J34" s="49"/>
      <c r="K34" s="49"/>
      <c r="L34" s="49"/>
      <c r="M34" s="49"/>
      <c r="N34" s="49"/>
      <c r="O34" s="18"/>
      <c r="P34" s="19"/>
      <c r="Q34" s="18"/>
      <c r="R34" s="18"/>
      <c r="S34" s="18"/>
      <c r="T34" s="5"/>
      <c r="U34" s="5"/>
      <c r="V34" s="5"/>
      <c r="W34" s="5"/>
      <c r="X34" s="5"/>
      <c r="Y34" s="5"/>
      <c r="Z34" s="5"/>
    </row>
    <row r="35" spans="1:35" ht="27.9" customHeight="1" x14ac:dyDescent="0.25">
      <c r="A35" s="89" t="s">
        <v>115</v>
      </c>
      <c r="B35" s="90"/>
      <c r="C35" s="90"/>
      <c r="D35" s="90"/>
      <c r="E35" s="90"/>
      <c r="F35" s="90"/>
      <c r="G35" s="90"/>
      <c r="H35" s="90"/>
      <c r="I35" s="51">
        <v>328</v>
      </c>
      <c r="J35" s="49">
        <v>144</v>
      </c>
      <c r="K35" s="49" t="s">
        <v>116</v>
      </c>
      <c r="L35" s="49"/>
      <c r="M35" s="49"/>
      <c r="N35" s="49" t="s">
        <v>117</v>
      </c>
      <c r="O35" s="18"/>
      <c r="P35" s="19"/>
      <c r="Q35" s="18"/>
      <c r="R35" s="18"/>
      <c r="S35" s="18"/>
    </row>
    <row r="36" spans="1:35" ht="27.9" customHeight="1" x14ac:dyDescent="0.25">
      <c r="A36" s="89" t="s">
        <v>118</v>
      </c>
      <c r="B36" s="90"/>
      <c r="C36" s="90"/>
      <c r="D36" s="90"/>
      <c r="E36" s="90"/>
      <c r="F36" s="90"/>
      <c r="G36" s="90"/>
      <c r="H36" s="90"/>
      <c r="I36" s="51">
        <v>1221</v>
      </c>
      <c r="J36" s="49">
        <v>736</v>
      </c>
      <c r="K36" s="49" t="s">
        <v>119</v>
      </c>
      <c r="L36" s="49"/>
      <c r="M36" s="49"/>
      <c r="N36" s="49" t="s">
        <v>120</v>
      </c>
      <c r="O36" s="18"/>
      <c r="P36" s="19"/>
      <c r="Q36" s="18"/>
      <c r="R36" s="18"/>
      <c r="S36" s="18"/>
    </row>
    <row r="37" spans="1:35" ht="26.4" x14ac:dyDescent="0.25">
      <c r="A37" s="89" t="s">
        <v>121</v>
      </c>
      <c r="B37" s="90"/>
      <c r="C37" s="90"/>
      <c r="D37" s="90"/>
      <c r="E37" s="90"/>
      <c r="F37" s="90"/>
      <c r="G37" s="90"/>
      <c r="H37" s="90"/>
      <c r="I37" s="51">
        <v>94649</v>
      </c>
      <c r="J37" s="49">
        <v>56058</v>
      </c>
      <c r="K37" s="49" t="s">
        <v>122</v>
      </c>
      <c r="L37" s="49"/>
      <c r="M37" s="49"/>
      <c r="N37" s="49" t="s">
        <v>113</v>
      </c>
      <c r="O37" s="18"/>
      <c r="P37" s="19"/>
      <c r="Q37" s="18"/>
      <c r="R37" s="18"/>
      <c r="S37" s="18"/>
    </row>
    <row r="38" spans="1:35" x14ac:dyDescent="0.25">
      <c r="A38" s="89" t="s">
        <v>123</v>
      </c>
      <c r="B38" s="90"/>
      <c r="C38" s="90"/>
      <c r="D38" s="90"/>
      <c r="E38" s="90"/>
      <c r="F38" s="90"/>
      <c r="G38" s="90"/>
      <c r="H38" s="90"/>
      <c r="I38" s="51">
        <v>43417</v>
      </c>
      <c r="J38" s="49"/>
      <c r="K38" s="49"/>
      <c r="L38" s="49"/>
      <c r="M38" s="49"/>
      <c r="N38" s="49"/>
      <c r="O38" s="18"/>
      <c r="P38" s="19"/>
      <c r="Q38" s="18"/>
      <c r="R38" s="18"/>
      <c r="S38" s="18"/>
    </row>
    <row r="39" spans="1:35" x14ac:dyDescent="0.25">
      <c r="A39" s="89" t="s">
        <v>124</v>
      </c>
      <c r="B39" s="90"/>
      <c r="C39" s="90"/>
      <c r="D39" s="90"/>
      <c r="E39" s="90"/>
      <c r="F39" s="90"/>
      <c r="G39" s="90"/>
      <c r="H39" s="90"/>
      <c r="I39" s="51">
        <v>27670</v>
      </c>
      <c r="J39" s="49"/>
      <c r="K39" s="49"/>
      <c r="L39" s="49"/>
      <c r="M39" s="49"/>
      <c r="N39" s="49"/>
      <c r="O39" s="18"/>
      <c r="P39" s="19"/>
      <c r="Q39" s="18"/>
      <c r="R39" s="18"/>
      <c r="S39" s="18"/>
    </row>
    <row r="40" spans="1:35" ht="26.4" x14ac:dyDescent="0.25">
      <c r="A40" s="93" t="s">
        <v>125</v>
      </c>
      <c r="B40" s="94"/>
      <c r="C40" s="94"/>
      <c r="D40" s="94"/>
      <c r="E40" s="94"/>
      <c r="F40" s="94"/>
      <c r="G40" s="94"/>
      <c r="H40" s="94"/>
      <c r="I40" s="62">
        <v>165736</v>
      </c>
      <c r="J40" s="63"/>
      <c r="K40" s="63"/>
      <c r="L40" s="63"/>
      <c r="M40" s="63"/>
      <c r="N40" s="63" t="s">
        <v>113</v>
      </c>
      <c r="O40" s="18"/>
      <c r="P40" s="19"/>
      <c r="Q40" s="18"/>
      <c r="R40" s="18"/>
      <c r="S40" s="18"/>
    </row>
    <row r="41" spans="1:35" ht="21" customHeight="1" x14ac:dyDescent="0.25">
      <c r="A41" s="91" t="s">
        <v>126</v>
      </c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</row>
    <row r="42" spans="1:35" ht="198" x14ac:dyDescent="0.25">
      <c r="A42" s="46">
        <v>12</v>
      </c>
      <c r="B42" s="47" t="s">
        <v>127</v>
      </c>
      <c r="C42" s="48" t="str">
        <f t="shared" ref="C42:C58" ca="1" si="1">INDIRECT("AF"&amp;ROW())&amp;CHAR(10)&amp;INDIRECT("AG"&amp;ROW())&amp;IF(INDIRECT("AE"&amp;ROW())="", "", CHAR(10)&amp;INDIRECT("AE"&amp;ROW()))&amp;IF(INDIRECT("AC"&amp;ROW())="", "", CHAR(10)&amp;INDIRECT("AC"&amp;ROW())&amp;" руб. "&amp;INDIRECT("AA"&amp;ROW())&amp;" ("&amp;INDIRECT("AI"&amp;ROW())&amp;" руб.)")&amp;IF(INDIRECT("AD"&amp;ROW())="", "", CHAR(10)&amp;INDIRECT("AD"&amp;ROW())&amp;" руб."&amp;INDIRECT("AB"&amp;ROW())&amp;" ("&amp;INDIRECT("AI"&amp;ROW())&amp;" руб.)")&amp;CHAR(10)&amp;CHAR(10)</f>
        <v xml:space="preserve">Устройство бетонных фундаментов общего назначения объемом: до 25 м3
100 м3 бетона и железобетона в деле
((КОЭФ.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ТЗМ=1,25))
27365 руб. НР 80%=105%*(0,85*0,9) от ФОТ (34206 руб.)
15051 руб.СП 44%=65%*(0,8*0,85) от ФОТ (34206 руб.)
</v>
      </c>
      <c r="D42" s="46">
        <v>0.58299999999999996</v>
      </c>
      <c r="E42" s="49" t="s">
        <v>128</v>
      </c>
      <c r="F42" s="49" t="s">
        <v>129</v>
      </c>
      <c r="G42" s="49">
        <v>59825.279999999999</v>
      </c>
      <c r="H42" s="50" t="s">
        <v>130</v>
      </c>
      <c r="I42" s="51">
        <v>224310</v>
      </c>
      <c r="J42" s="49">
        <v>30927</v>
      </c>
      <c r="K42" s="49" t="s">
        <v>131</v>
      </c>
      <c r="L42" s="49" t="str">
        <f>IF(0.583*59825.28=0," ",TEXT(,ROUND((0.583*59825.28*5.07),2)))</f>
        <v>176832.16</v>
      </c>
      <c r="M42" s="49" t="s">
        <v>132</v>
      </c>
      <c r="N42" s="49" t="s">
        <v>133</v>
      </c>
      <c r="O42" s="52"/>
      <c r="P42" s="52"/>
      <c r="Q42" s="52"/>
      <c r="R42" s="52"/>
      <c r="S42" s="52"/>
      <c r="T42" s="53"/>
      <c r="U42" s="53"/>
      <c r="V42" s="53"/>
      <c r="W42" s="53"/>
      <c r="X42" s="53"/>
      <c r="Y42" s="53"/>
      <c r="Z42" s="53"/>
      <c r="AA42" s="53" t="s">
        <v>134</v>
      </c>
      <c r="AB42" s="53" t="s">
        <v>135</v>
      </c>
      <c r="AC42" s="53">
        <v>27365</v>
      </c>
      <c r="AD42" s="53">
        <v>15051</v>
      </c>
      <c r="AE42" s="54" t="s">
        <v>38</v>
      </c>
      <c r="AF42" s="53" t="s">
        <v>136</v>
      </c>
      <c r="AG42" s="53" t="s">
        <v>137</v>
      </c>
      <c r="AH42" s="53"/>
      <c r="AI42" s="53">
        <f>30927+3279</f>
        <v>34206</v>
      </c>
    </row>
    <row r="43" spans="1:35" ht="66" x14ac:dyDescent="0.25">
      <c r="A43" s="46">
        <v>13</v>
      </c>
      <c r="B43" s="47" t="s">
        <v>138</v>
      </c>
      <c r="C43" s="48" t="str">
        <f t="shared" ca="1" si="1"/>
        <v xml:space="preserve">Бетон тяжелый, крупность заполнителя: более 40 мм, класс В7,5 (М 100)
м3
</v>
      </c>
      <c r="D43" s="46">
        <v>-59.47</v>
      </c>
      <c r="E43" s="49">
        <v>560</v>
      </c>
      <c r="F43" s="49"/>
      <c r="G43" s="49">
        <v>560</v>
      </c>
      <c r="H43" s="50" t="s">
        <v>139</v>
      </c>
      <c r="I43" s="51">
        <v>-161087</v>
      </c>
      <c r="J43" s="49"/>
      <c r="K43" s="49"/>
      <c r="L43" s="49" t="str">
        <f>IF(-59.47*560=0," ",TEXT(,ROUND((-59.47*560*4.837),2)))</f>
        <v>-161087.58</v>
      </c>
      <c r="M43" s="49"/>
      <c r="N43" s="49"/>
      <c r="O43" s="52"/>
      <c r="P43" s="52"/>
      <c r="Q43" s="52"/>
      <c r="R43" s="52"/>
      <c r="S43" s="52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 t="s">
        <v>140</v>
      </c>
      <c r="AG43" s="53" t="s">
        <v>141</v>
      </c>
      <c r="AH43" s="53"/>
      <c r="AI43" s="53">
        <f>0+0</f>
        <v>0</v>
      </c>
    </row>
    <row r="44" spans="1:35" ht="66" x14ac:dyDescent="0.25">
      <c r="A44" s="46">
        <v>14</v>
      </c>
      <c r="B44" s="47" t="s">
        <v>142</v>
      </c>
      <c r="C44" s="48" t="str">
        <f t="shared" ca="1" si="1"/>
        <v xml:space="preserve">Бетон тяжелый, крупность заполнителя: более 40 мм, класс В15 (М200)
м3
</v>
      </c>
      <c r="D44" s="46">
        <v>59.47</v>
      </c>
      <c r="E44" s="49">
        <v>600</v>
      </c>
      <c r="F44" s="49"/>
      <c r="G44" s="49">
        <v>600</v>
      </c>
      <c r="H44" s="50" t="s">
        <v>143</v>
      </c>
      <c r="I44" s="51">
        <v>179516</v>
      </c>
      <c r="J44" s="49"/>
      <c r="K44" s="49"/>
      <c r="L44" s="49" t="str">
        <f>IF(59.47*600=0," ",TEXT(,ROUND((59.47*600*5.031),2)))</f>
        <v>179516.14</v>
      </c>
      <c r="M44" s="49"/>
      <c r="N44" s="49"/>
      <c r="O44" s="52"/>
      <c r="P44" s="52"/>
      <c r="Q44" s="52"/>
      <c r="R44" s="52"/>
      <c r="S44" s="52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 t="s">
        <v>144</v>
      </c>
      <c r="AG44" s="53" t="s">
        <v>141</v>
      </c>
      <c r="AH44" s="53"/>
      <c r="AI44" s="53">
        <f>0+0</f>
        <v>0</v>
      </c>
    </row>
    <row r="45" spans="1:35" ht="198" x14ac:dyDescent="0.25">
      <c r="A45" s="46">
        <v>15</v>
      </c>
      <c r="B45" s="47" t="s">
        <v>145</v>
      </c>
      <c r="C45" s="48" t="str">
        <f t="shared" ca="1" si="1"/>
        <v xml:space="preserve">Гидроизоляция стен, фундаментов: горизонтальная оклеечная в 2 слоя
100 м2 изолируемой поверхности
((КОЭФ.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ТЗМ=1,25))
3505 руб. НР 93%=122%*(0,85*0,9) от ФОТ (3769 руб.)
2035 руб.СП 54%=80%*(0,8*0,85) от ФОТ (3769 руб.)
</v>
      </c>
      <c r="D45" s="46">
        <v>1.1335</v>
      </c>
      <c r="E45" s="49" t="s">
        <v>146</v>
      </c>
      <c r="F45" s="49">
        <v>163.32</v>
      </c>
      <c r="G45" s="49">
        <v>3922.95</v>
      </c>
      <c r="H45" s="50" t="s">
        <v>147</v>
      </c>
      <c r="I45" s="51">
        <v>34539</v>
      </c>
      <c r="J45" s="49">
        <v>3769</v>
      </c>
      <c r="K45" s="49">
        <v>1864</v>
      </c>
      <c r="L45" s="49" t="str">
        <f>IF(1.1335*3922.95=0," ",TEXT(,ROUND((1.1335*3922.95*6.5),2)))</f>
        <v>28903.31</v>
      </c>
      <c r="M45" s="49">
        <v>20.100000000000001</v>
      </c>
      <c r="N45" s="49">
        <v>22.78</v>
      </c>
      <c r="O45" s="52"/>
      <c r="P45" s="52"/>
      <c r="Q45" s="52"/>
      <c r="R45" s="52"/>
      <c r="S45" s="52"/>
      <c r="T45" s="53"/>
      <c r="U45" s="53"/>
      <c r="V45" s="53"/>
      <c r="W45" s="53"/>
      <c r="X45" s="53"/>
      <c r="Y45" s="53"/>
      <c r="Z45" s="53"/>
      <c r="AA45" s="53" t="s">
        <v>148</v>
      </c>
      <c r="AB45" s="53" t="s">
        <v>149</v>
      </c>
      <c r="AC45" s="53">
        <v>3505</v>
      </c>
      <c r="AD45" s="53">
        <v>2035</v>
      </c>
      <c r="AE45" s="54" t="s">
        <v>38</v>
      </c>
      <c r="AF45" s="53" t="s">
        <v>150</v>
      </c>
      <c r="AG45" s="53" t="s">
        <v>151</v>
      </c>
      <c r="AH45" s="53"/>
      <c r="AI45" s="53">
        <f>3769+0</f>
        <v>3769</v>
      </c>
    </row>
    <row r="46" spans="1:35" ht="198" x14ac:dyDescent="0.25">
      <c r="A46" s="46">
        <v>16</v>
      </c>
      <c r="B46" s="47" t="s">
        <v>152</v>
      </c>
      <c r="C46" s="48" t="str">
        <f t="shared" ca="1" si="1"/>
        <v xml:space="preserve">Гидроизоляция стен, фундаментов: горизонтальная цементная с жидким стеклом
100 м2 изолируемой поверхности
((КОЭФ.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ТЗМ=1,25))
1179 руб. НР 93%=122%*(0,85*0,9) от ФОТ (1268 руб.)
685 руб.СП 54%=80%*(0,8*0,85) от ФОТ (1268 руб.)
</v>
      </c>
      <c r="D46" s="46">
        <v>0.2</v>
      </c>
      <c r="E46" s="49" t="s">
        <v>153</v>
      </c>
      <c r="F46" s="49">
        <v>34.869999999999997</v>
      </c>
      <c r="G46" s="49">
        <v>1573.51</v>
      </c>
      <c r="H46" s="50" t="s">
        <v>154</v>
      </c>
      <c r="I46" s="51">
        <v>3214</v>
      </c>
      <c r="J46" s="49">
        <v>1268</v>
      </c>
      <c r="K46" s="49">
        <v>106</v>
      </c>
      <c r="L46" s="49" t="str">
        <f>IF(0.2*1573.51=0," ",TEXT(,ROUND((0.2*1573.51*5.84),2)))</f>
        <v>1837.86</v>
      </c>
      <c r="M46" s="49">
        <v>38.200000000000003</v>
      </c>
      <c r="N46" s="49">
        <v>7.64</v>
      </c>
      <c r="O46" s="52"/>
      <c r="P46" s="52"/>
      <c r="Q46" s="52"/>
      <c r="R46" s="52"/>
      <c r="S46" s="52"/>
      <c r="T46" s="53"/>
      <c r="U46" s="53"/>
      <c r="V46" s="53"/>
      <c r="W46" s="53"/>
      <c r="X46" s="53"/>
      <c r="Y46" s="53"/>
      <c r="Z46" s="53"/>
      <c r="AA46" s="53" t="s">
        <v>148</v>
      </c>
      <c r="AB46" s="53" t="s">
        <v>149</v>
      </c>
      <c r="AC46" s="53">
        <v>1179</v>
      </c>
      <c r="AD46" s="53">
        <v>685</v>
      </c>
      <c r="AE46" s="54" t="s">
        <v>38</v>
      </c>
      <c r="AF46" s="53" t="s">
        <v>155</v>
      </c>
      <c r="AG46" s="53" t="s">
        <v>151</v>
      </c>
      <c r="AH46" s="53"/>
      <c r="AI46" s="53">
        <f>1268+0</f>
        <v>1268</v>
      </c>
    </row>
    <row r="47" spans="1:35" ht="52.8" x14ac:dyDescent="0.25">
      <c r="A47" s="46">
        <v>17</v>
      </c>
      <c r="B47" s="47" t="s">
        <v>156</v>
      </c>
      <c r="C47" s="48" t="str">
        <f t="shared" ca="1" si="1"/>
        <v xml:space="preserve">Стекло жидкое калийное
т
</v>
      </c>
      <c r="D47" s="46">
        <v>-0.01</v>
      </c>
      <c r="E47" s="49">
        <v>2734.6</v>
      </c>
      <c r="F47" s="49"/>
      <c r="G47" s="49">
        <v>2734.6</v>
      </c>
      <c r="H47" s="50" t="s">
        <v>157</v>
      </c>
      <c r="I47" s="51">
        <v>-330</v>
      </c>
      <c r="J47" s="49"/>
      <c r="K47" s="49"/>
      <c r="L47" s="49" t="str">
        <f>IF(-0.01*2734.6=0," ",TEXT(,ROUND((-0.01*2734.6*12.223),2)))</f>
        <v>-334.25</v>
      </c>
      <c r="M47" s="49"/>
      <c r="N47" s="49"/>
      <c r="O47" s="52"/>
      <c r="P47" s="52"/>
      <c r="Q47" s="52"/>
      <c r="R47" s="52"/>
      <c r="S47" s="52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 t="s">
        <v>158</v>
      </c>
      <c r="AG47" s="53" t="s">
        <v>159</v>
      </c>
      <c r="AH47" s="53"/>
      <c r="AI47" s="53">
        <f>0+0</f>
        <v>0</v>
      </c>
    </row>
    <row r="48" spans="1:35" ht="198" x14ac:dyDescent="0.25">
      <c r="A48" s="46">
        <v>18</v>
      </c>
      <c r="B48" s="47" t="s">
        <v>160</v>
      </c>
      <c r="C48" s="48" t="str">
        <f t="shared" ca="1" si="1"/>
        <v xml:space="preserve">Кладка стен кирпичных наружных: простых при высоте этажа до 4 м
1 м3 кладки
((КОЭФ.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ТЗМ=1,25))
9273 руб. НР 93%=122%*(0,85*0,9) от ФОТ (9971 руб.)
5384 руб.СП 54%=80%*(0,8*0,85) от ФОТ (9971 руб.)
</v>
      </c>
      <c r="D48" s="46">
        <v>10.1</v>
      </c>
      <c r="E48" s="49" t="s">
        <v>161</v>
      </c>
      <c r="F48" s="49" t="s">
        <v>162</v>
      </c>
      <c r="G48" s="49">
        <v>811.41</v>
      </c>
      <c r="H48" s="50" t="s">
        <v>163</v>
      </c>
      <c r="I48" s="51">
        <v>52606</v>
      </c>
      <c r="J48" s="49">
        <v>8805</v>
      </c>
      <c r="K48" s="49" t="s">
        <v>164</v>
      </c>
      <c r="L48" s="49" t="str">
        <f>IF(10.1*811.41=0," ",TEXT(,ROUND((10.1*811.41*4.7),2)))</f>
        <v>38517.63</v>
      </c>
      <c r="M48" s="49" t="s">
        <v>165</v>
      </c>
      <c r="N48" s="49" t="s">
        <v>166</v>
      </c>
      <c r="O48" s="52"/>
      <c r="P48" s="52"/>
      <c r="Q48" s="52"/>
      <c r="R48" s="52"/>
      <c r="S48" s="52"/>
      <c r="T48" s="53"/>
      <c r="U48" s="53"/>
      <c r="V48" s="53"/>
      <c r="W48" s="53"/>
      <c r="X48" s="53"/>
      <c r="Y48" s="53"/>
      <c r="Z48" s="53"/>
      <c r="AA48" s="53" t="s">
        <v>148</v>
      </c>
      <c r="AB48" s="53" t="s">
        <v>149</v>
      </c>
      <c r="AC48" s="53">
        <v>9273</v>
      </c>
      <c r="AD48" s="53">
        <v>5384</v>
      </c>
      <c r="AE48" s="54" t="s">
        <v>38</v>
      </c>
      <c r="AF48" s="53" t="s">
        <v>167</v>
      </c>
      <c r="AG48" s="53" t="s">
        <v>168</v>
      </c>
      <c r="AH48" s="53"/>
      <c r="AI48" s="53">
        <f>8805+1166</f>
        <v>9971</v>
      </c>
    </row>
    <row r="49" spans="1:35" ht="211.2" x14ac:dyDescent="0.25">
      <c r="A49" s="46">
        <v>19</v>
      </c>
      <c r="B49" s="47" t="s">
        <v>169</v>
      </c>
      <c r="C49" s="48" t="str">
        <f t="shared" ca="1" si="1"/>
        <v xml:space="preserve">Изоляция изделиями из волокнистых и зернистых материалов с креплением на клее и дюбелями холодных поверхностей: наружных стен
100 м2 поверхности
((КОЭФ.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ТЗМ=1,25))
560 руб. НР 77%=100%*(0,85*0,9) от ФОТ (727 руб.)
349 руб.СП 48%=70%*(0,8*0,85) от ФОТ (727 руб.)
</v>
      </c>
      <c r="D49" s="46">
        <v>0.28000000000000003</v>
      </c>
      <c r="E49" s="49" t="s">
        <v>170</v>
      </c>
      <c r="F49" s="49" t="s">
        <v>171</v>
      </c>
      <c r="G49" s="49">
        <v>105.45</v>
      </c>
      <c r="H49" s="50" t="s">
        <v>172</v>
      </c>
      <c r="I49" s="51">
        <v>805</v>
      </c>
      <c r="J49" s="49">
        <v>727</v>
      </c>
      <c r="K49" s="49">
        <v>38</v>
      </c>
      <c r="L49" s="49" t="str">
        <f>IF(0.28*105.45=0," ",TEXT(,ROUND((0.28*105.45*1.39),2)))</f>
        <v>41.04</v>
      </c>
      <c r="M49" s="49" t="s">
        <v>173</v>
      </c>
      <c r="N49" s="49" t="s">
        <v>174</v>
      </c>
      <c r="O49" s="52"/>
      <c r="P49" s="52"/>
      <c r="Q49" s="52"/>
      <c r="R49" s="52"/>
      <c r="S49" s="52"/>
      <c r="T49" s="53"/>
      <c r="U49" s="53"/>
      <c r="V49" s="53"/>
      <c r="W49" s="53"/>
      <c r="X49" s="53"/>
      <c r="Y49" s="53"/>
      <c r="Z49" s="53"/>
      <c r="AA49" s="53" t="s">
        <v>175</v>
      </c>
      <c r="AB49" s="53" t="s">
        <v>67</v>
      </c>
      <c r="AC49" s="53">
        <v>560</v>
      </c>
      <c r="AD49" s="53">
        <v>349</v>
      </c>
      <c r="AE49" s="54" t="s">
        <v>38</v>
      </c>
      <c r="AF49" s="53" t="s">
        <v>176</v>
      </c>
      <c r="AG49" s="53" t="s">
        <v>177</v>
      </c>
      <c r="AH49" s="53"/>
      <c r="AI49" s="53">
        <f>727+0</f>
        <v>727</v>
      </c>
    </row>
    <row r="50" spans="1:35" ht="66" x14ac:dyDescent="0.25">
      <c r="A50" s="46">
        <v>20</v>
      </c>
      <c r="B50" s="47" t="s">
        <v>178</v>
      </c>
      <c r="C50" s="48" t="str">
        <f t="shared" ca="1" si="1"/>
        <v xml:space="preserve">Плиты теплоизоляционные: из экструзионного вспененного полистирола ПЕНОПЛЭКС-35
м3
</v>
      </c>
      <c r="D50" s="46" t="s">
        <v>179</v>
      </c>
      <c r="E50" s="49">
        <v>1208.43</v>
      </c>
      <c r="F50" s="49"/>
      <c r="G50" s="49">
        <v>1208.43</v>
      </c>
      <c r="H50" s="50" t="s">
        <v>180</v>
      </c>
      <c r="I50" s="51">
        <v>6758</v>
      </c>
      <c r="J50" s="49"/>
      <c r="K50" s="49"/>
      <c r="L50" s="49" t="str">
        <f>IF(1.442*1208.43=0," ",TEXT(,ROUND((1.442*1208.43*3.877),2)))</f>
        <v>6755.89</v>
      </c>
      <c r="M50" s="49"/>
      <c r="N50" s="49"/>
      <c r="O50" s="52"/>
      <c r="P50" s="52"/>
      <c r="Q50" s="52"/>
      <c r="R50" s="52"/>
      <c r="S50" s="52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 t="s">
        <v>181</v>
      </c>
      <c r="AG50" s="53" t="s">
        <v>141</v>
      </c>
      <c r="AH50" s="53"/>
      <c r="AI50" s="53">
        <f>0+0</f>
        <v>0</v>
      </c>
    </row>
    <row r="51" spans="1:35" ht="66" x14ac:dyDescent="0.25">
      <c r="A51" s="46">
        <v>21</v>
      </c>
      <c r="B51" s="47" t="s">
        <v>182</v>
      </c>
      <c r="C51" s="48" t="str">
        <f t="shared" ca="1" si="1"/>
        <v xml:space="preserve">Дюбель распорный с металлическим стержнем: 10х150 мм
10 шт.
</v>
      </c>
      <c r="D51" s="46">
        <v>100.4</v>
      </c>
      <c r="E51" s="49">
        <v>6.62</v>
      </c>
      <c r="F51" s="49"/>
      <c r="G51" s="49">
        <v>6.62</v>
      </c>
      <c r="H51" s="50" t="s">
        <v>183</v>
      </c>
      <c r="I51" s="51">
        <v>6894</v>
      </c>
      <c r="J51" s="49"/>
      <c r="K51" s="49"/>
      <c r="L51" s="49" t="str">
        <f>IF(100.4*6.62=0," ",TEXT(,ROUND((100.4*6.62*10.367),2)))</f>
        <v>6890.41</v>
      </c>
      <c r="M51" s="49"/>
      <c r="N51" s="49"/>
      <c r="O51" s="52"/>
      <c r="P51" s="52"/>
      <c r="Q51" s="52"/>
      <c r="R51" s="52"/>
      <c r="S51" s="52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 t="s">
        <v>184</v>
      </c>
      <c r="AG51" s="53" t="s">
        <v>185</v>
      </c>
      <c r="AH51" s="53"/>
      <c r="AI51" s="53">
        <f>0+0</f>
        <v>0</v>
      </c>
    </row>
    <row r="52" spans="1:35" ht="211.2" x14ac:dyDescent="0.25">
      <c r="A52" s="46">
        <v>22</v>
      </c>
      <c r="B52" s="47" t="s">
        <v>186</v>
      </c>
      <c r="C52" s="48" t="str">
        <f t="shared" ca="1" si="1"/>
        <v xml:space="preserve">Устройство мелких покрытий (брандмауэры, парапеты, свесы и т.п.) из листовой оцинкованной стали
100 м2 покрытия
((КОЭФ.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ТЗМ=1,25))
7416 руб. НР 92%=120%*(0,85*0,9) от ФОТ (8061 руб.)
3547 руб.СП 44%=65%*(0,8*0,85) от ФОТ (8061 руб.)
</v>
      </c>
      <c r="D52" s="46">
        <v>0.43</v>
      </c>
      <c r="E52" s="49" t="s">
        <v>187</v>
      </c>
      <c r="F52" s="49" t="s">
        <v>188</v>
      </c>
      <c r="G52" s="49">
        <v>8890.58</v>
      </c>
      <c r="H52" s="50" t="s">
        <v>189</v>
      </c>
      <c r="I52" s="51">
        <v>21505</v>
      </c>
      <c r="J52" s="49">
        <v>8044</v>
      </c>
      <c r="K52" s="49" t="s">
        <v>190</v>
      </c>
      <c r="L52" s="49" t="str">
        <f>IF(0.43*8890.58=0," ",TEXT(,ROUND((0.43*8890.58*3.48),2)))</f>
        <v>13303.86</v>
      </c>
      <c r="M52" s="49" t="s">
        <v>191</v>
      </c>
      <c r="N52" s="49" t="s">
        <v>192</v>
      </c>
      <c r="O52" s="52"/>
      <c r="P52" s="52"/>
      <c r="Q52" s="52"/>
      <c r="R52" s="52"/>
      <c r="S52" s="52"/>
      <c r="T52" s="53"/>
      <c r="U52" s="53"/>
      <c r="V52" s="53"/>
      <c r="W52" s="53"/>
      <c r="X52" s="53"/>
      <c r="Y52" s="53"/>
      <c r="Z52" s="53"/>
      <c r="AA52" s="53" t="s">
        <v>193</v>
      </c>
      <c r="AB52" s="53" t="s">
        <v>135</v>
      </c>
      <c r="AC52" s="53">
        <v>7416</v>
      </c>
      <c r="AD52" s="53">
        <v>3547</v>
      </c>
      <c r="AE52" s="54" t="s">
        <v>38</v>
      </c>
      <c r="AF52" s="53" t="s">
        <v>194</v>
      </c>
      <c r="AG52" s="53" t="s">
        <v>195</v>
      </c>
      <c r="AH52" s="53"/>
      <c r="AI52" s="53">
        <f>8044+17</f>
        <v>8061</v>
      </c>
    </row>
    <row r="53" spans="1:35" ht="237.6" x14ac:dyDescent="0.25">
      <c r="A53" s="46">
        <v>23</v>
      </c>
      <c r="B53" s="47" t="s">
        <v>196</v>
      </c>
      <c r="C53" s="48" t="str">
        <f t="shared" ca="1" si="1"/>
        <v xml:space="preserve">Штукатурка по сетке без устройства каркаса: улучшенная стен
100 м2 оштукатуриваемой поверхности
(Всего толщ. 40 мм ПЗ=1,33 (ОЗП=1,33; ЭМ=1,33 к расх.; ЗПМ=1,33; МАТ=1,33 к расх.; ТЗ=1,33; ТЗМ=1,33)(КОЭФ.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ТЗМ=1,25))
14561 руб. НР 80%=105%*(0,85*0,9) от ФОТ (18201 руб.)
6734 руб.СП 37%=55%*(0,8*0,85) от ФОТ (18201 руб.)
</v>
      </c>
      <c r="D53" s="46">
        <v>0.57999999999999996</v>
      </c>
      <c r="E53" s="49" t="s">
        <v>197</v>
      </c>
      <c r="F53" s="49" t="s">
        <v>198</v>
      </c>
      <c r="G53" s="49">
        <v>6341.83</v>
      </c>
      <c r="H53" s="50" t="s">
        <v>199</v>
      </c>
      <c r="I53" s="51">
        <v>49223</v>
      </c>
      <c r="J53" s="49">
        <v>17880</v>
      </c>
      <c r="K53" s="49" t="s">
        <v>200</v>
      </c>
      <c r="L53" s="49" t="str">
        <f>IF(0.58*6341.83=0," ",TEXT(,ROUND((0.58*6341.83*8.42),2)))</f>
        <v>30970.96</v>
      </c>
      <c r="M53" s="49" t="s">
        <v>201</v>
      </c>
      <c r="N53" s="49" t="s">
        <v>202</v>
      </c>
      <c r="O53" s="52"/>
      <c r="P53" s="52"/>
      <c r="Q53" s="52"/>
      <c r="R53" s="52"/>
      <c r="S53" s="52"/>
      <c r="T53" s="53"/>
      <c r="U53" s="53"/>
      <c r="V53" s="53"/>
      <c r="W53" s="53"/>
      <c r="X53" s="53"/>
      <c r="Y53" s="53"/>
      <c r="Z53" s="53"/>
      <c r="AA53" s="53" t="s">
        <v>134</v>
      </c>
      <c r="AB53" s="53" t="s">
        <v>203</v>
      </c>
      <c r="AC53" s="53">
        <v>14561</v>
      </c>
      <c r="AD53" s="53">
        <v>6734</v>
      </c>
      <c r="AE53" s="54" t="s">
        <v>204</v>
      </c>
      <c r="AF53" s="53" t="s">
        <v>205</v>
      </c>
      <c r="AG53" s="53" t="s">
        <v>206</v>
      </c>
      <c r="AH53" s="53"/>
      <c r="AI53" s="53">
        <f>17880+321</f>
        <v>18201</v>
      </c>
    </row>
    <row r="54" spans="1:35" ht="224.4" x14ac:dyDescent="0.25">
      <c r="A54" s="46">
        <v>24</v>
      </c>
      <c r="B54" s="47" t="s">
        <v>207</v>
      </c>
      <c r="C54" s="48" t="str">
        <f t="shared" ca="1" si="1"/>
        <v xml:space="preserve">Штукатурка по сетке без устройства каркаса: улучшенная стен
100 м2 оштукатуриваемой поверхности
(Всего толщ. 90 мм ПЗ=3 (ОЗП=3; ЭМ=3 к расх.; ЗПМ=3; МАТ=3 к расх.; ТЗ=3; ТЗМ=3)(КОЭФ.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ТЗМ=1,25))
30582 руб. НР 80%=105%*(0,85*0,9) от ФОТ (38228 руб.)
14144 руб.СП 37%=55%*(0,8*0,85) от ФОТ (38228 руб.)
</v>
      </c>
      <c r="D54" s="46">
        <v>0.54</v>
      </c>
      <c r="E54" s="49" t="s">
        <v>208</v>
      </c>
      <c r="F54" s="49" t="s">
        <v>209</v>
      </c>
      <c r="G54" s="49">
        <v>14304.87</v>
      </c>
      <c r="H54" s="50" t="s">
        <v>199</v>
      </c>
      <c r="I54" s="51">
        <v>103401</v>
      </c>
      <c r="J54" s="49">
        <v>37569</v>
      </c>
      <c r="K54" s="49" t="s">
        <v>210</v>
      </c>
      <c r="L54" s="49" t="str">
        <f>IF(0.54*14304.87=0," ",TEXT(,ROUND((0.54*14304.87*8.42),2)))</f>
        <v>65041.38</v>
      </c>
      <c r="M54" s="49" t="s">
        <v>211</v>
      </c>
      <c r="N54" s="49" t="s">
        <v>212</v>
      </c>
      <c r="O54" s="52"/>
      <c r="P54" s="52"/>
      <c r="Q54" s="52"/>
      <c r="R54" s="52"/>
      <c r="S54" s="52"/>
      <c r="T54" s="53"/>
      <c r="U54" s="53"/>
      <c r="V54" s="53"/>
      <c r="W54" s="53"/>
      <c r="X54" s="53"/>
      <c r="Y54" s="53"/>
      <c r="Z54" s="53"/>
      <c r="AA54" s="53" t="s">
        <v>134</v>
      </c>
      <c r="AB54" s="53" t="s">
        <v>203</v>
      </c>
      <c r="AC54" s="53">
        <v>30582</v>
      </c>
      <c r="AD54" s="53">
        <v>14144</v>
      </c>
      <c r="AE54" s="54" t="s">
        <v>213</v>
      </c>
      <c r="AF54" s="53" t="s">
        <v>205</v>
      </c>
      <c r="AG54" s="53" t="s">
        <v>206</v>
      </c>
      <c r="AH54" s="53"/>
      <c r="AI54" s="53">
        <f>37569+659</f>
        <v>38228</v>
      </c>
    </row>
    <row r="55" spans="1:35" ht="145.19999999999999" x14ac:dyDescent="0.25">
      <c r="A55" s="46">
        <v>25</v>
      </c>
      <c r="B55" s="47" t="s">
        <v>214</v>
      </c>
      <c r="C55" s="48" t="str">
        <f t="shared" ca="1" si="1"/>
        <v xml:space="preserve">Антисептирование древесины: водными растворами
100 м2 обработанной поверхности
((КОЭФ. УЧТЁННЫЕ В ИТОГАХ:
6. Ремонт существующих зданий (включая жилые дома) без расселения ОЗП=1,5; ЭМ=1,5; ЗПМ=1,5; ТЗ=1,5; ТЗМ=1,5))
22 руб. НР 66%=78%*0,85 от ФОТ (34 руб.)
14 руб.СП 40%=50%*0,8 от ФОТ (34 руб.)
</v>
      </c>
      <c r="D55" s="46">
        <v>0.04</v>
      </c>
      <c r="E55" s="49" t="s">
        <v>215</v>
      </c>
      <c r="F55" s="49">
        <v>1.74</v>
      </c>
      <c r="G55" s="49">
        <v>67.02</v>
      </c>
      <c r="H55" s="50" t="s">
        <v>216</v>
      </c>
      <c r="I55" s="51">
        <v>39</v>
      </c>
      <c r="J55" s="49">
        <v>34</v>
      </c>
      <c r="K55" s="49"/>
      <c r="L55" s="49" t="str">
        <f>IF(0.04*67.02=0," ",TEXT(,ROUND((0.04*67.02*1.64),2)))</f>
        <v>4.4</v>
      </c>
      <c r="M55" s="49">
        <v>2.5099999999999998</v>
      </c>
      <c r="N55" s="49">
        <v>0.1</v>
      </c>
      <c r="O55" s="52"/>
      <c r="P55" s="52"/>
      <c r="Q55" s="52"/>
      <c r="R55" s="52"/>
      <c r="S55" s="52"/>
      <c r="T55" s="53"/>
      <c r="U55" s="53"/>
      <c r="V55" s="53"/>
      <c r="W55" s="53"/>
      <c r="X55" s="53"/>
      <c r="Y55" s="53"/>
      <c r="Z55" s="53"/>
      <c r="AA55" s="53" t="s">
        <v>90</v>
      </c>
      <c r="AB55" s="53" t="s">
        <v>91</v>
      </c>
      <c r="AC55" s="53">
        <v>22</v>
      </c>
      <c r="AD55" s="53">
        <v>14</v>
      </c>
      <c r="AE55" s="54" t="s">
        <v>68</v>
      </c>
      <c r="AF55" s="53" t="s">
        <v>217</v>
      </c>
      <c r="AG55" s="53" t="s">
        <v>218</v>
      </c>
      <c r="AH55" s="53"/>
      <c r="AI55" s="53">
        <f>34+0</f>
        <v>34</v>
      </c>
    </row>
    <row r="56" spans="1:35" ht="145.19999999999999" x14ac:dyDescent="0.25">
      <c r="A56" s="46">
        <v>26</v>
      </c>
      <c r="B56" s="47" t="s">
        <v>219</v>
      </c>
      <c r="C56" s="48" t="str">
        <f t="shared" ca="1" si="1"/>
        <v xml:space="preserve">При обработке отдельных мест и штучных элементов добавлять: к расценке 69-10-1
100 м2 обработанной поверхности
((КОЭФ. УЧТЁННЫЕ В ИТОГАХ:
6. Ремонт существующих зданий (включая жилые дома) без расселения ОЗП=1,5; ЭМ=1,5; ЗПМ=1,5; ТЗ=1,5; ТЗМ=1,5))
22 руб. НР 66%=78%*0,85 от ФОТ (34 руб.)
14 руб.СП 40%=50%*0,8 от ФОТ (34 руб.)
</v>
      </c>
      <c r="D56" s="46">
        <v>0.04</v>
      </c>
      <c r="E56" s="49" t="s">
        <v>220</v>
      </c>
      <c r="F56" s="49"/>
      <c r="G56" s="49"/>
      <c r="H56" s="50" t="s">
        <v>216</v>
      </c>
      <c r="I56" s="51">
        <v>34</v>
      </c>
      <c r="J56" s="49">
        <v>34</v>
      </c>
      <c r="K56" s="49"/>
      <c r="L56" s="49" t="str">
        <f>IF(0.04*0=0," ",TEXT(,ROUND((0.04*0*1.64),2)))</f>
        <v xml:space="preserve"> </v>
      </c>
      <c r="M56" s="49">
        <v>1.74</v>
      </c>
      <c r="N56" s="49">
        <v>7.0000000000000007E-2</v>
      </c>
      <c r="O56" s="52"/>
      <c r="P56" s="52"/>
      <c r="Q56" s="52"/>
      <c r="R56" s="52"/>
      <c r="S56" s="52"/>
      <c r="T56" s="53"/>
      <c r="U56" s="53"/>
      <c r="V56" s="53"/>
      <c r="W56" s="53"/>
      <c r="X56" s="53"/>
      <c r="Y56" s="53"/>
      <c r="Z56" s="53"/>
      <c r="AA56" s="53" t="s">
        <v>90</v>
      </c>
      <c r="AB56" s="53" t="s">
        <v>91</v>
      </c>
      <c r="AC56" s="53">
        <v>22</v>
      </c>
      <c r="AD56" s="53">
        <v>14</v>
      </c>
      <c r="AE56" s="54" t="s">
        <v>68</v>
      </c>
      <c r="AF56" s="53" t="s">
        <v>221</v>
      </c>
      <c r="AG56" s="53" t="s">
        <v>218</v>
      </c>
      <c r="AH56" s="53"/>
      <c r="AI56" s="53">
        <f>34+0</f>
        <v>34</v>
      </c>
    </row>
    <row r="57" spans="1:35" ht="158.4" x14ac:dyDescent="0.25">
      <c r="A57" s="46">
        <v>27</v>
      </c>
      <c r="B57" s="47" t="s">
        <v>222</v>
      </c>
      <c r="C57" s="48" t="str">
        <f t="shared" ca="1" si="1"/>
        <v xml:space="preserve">При двухкратной обработке лесоматериалов с перерывом на просушку после первой обработки добавлять: к расценке 69-10-1
100 м2 обработанной поверхности
((КОЭФ. УЧТЁННЫЕ В ИТОГАХ:
6. Ремонт существующих зданий (включая жилые дома) без расселения ОЗП=1,5; ЭМ=1,5; ЗПМ=1,5; ТЗ=1,5; ТЗМ=1,5))
22 руб. НР 66%=78%*0,85 от ФОТ (34 руб.)
14 руб.СП 40%=50%*0,8 от ФОТ (34 руб.)
</v>
      </c>
      <c r="D57" s="46">
        <v>0.04</v>
      </c>
      <c r="E57" s="49" t="s">
        <v>223</v>
      </c>
      <c r="F57" s="49">
        <v>1.74</v>
      </c>
      <c r="G57" s="49">
        <v>67.02</v>
      </c>
      <c r="H57" s="50" t="s">
        <v>216</v>
      </c>
      <c r="I57" s="51">
        <v>38</v>
      </c>
      <c r="J57" s="49">
        <v>34</v>
      </c>
      <c r="K57" s="49"/>
      <c r="L57" s="49" t="str">
        <f>IF(0.04*67.02=0," ",TEXT(,ROUND((0.04*67.02*1.64),2)))</f>
        <v>4.4</v>
      </c>
      <c r="M57" s="49">
        <v>2.0699999999999998</v>
      </c>
      <c r="N57" s="49">
        <v>0.08</v>
      </c>
      <c r="O57" s="52"/>
      <c r="P57" s="52"/>
      <c r="Q57" s="52"/>
      <c r="R57" s="52"/>
      <c r="S57" s="52"/>
      <c r="T57" s="53"/>
      <c r="U57" s="53"/>
      <c r="V57" s="53"/>
      <c r="W57" s="53"/>
      <c r="X57" s="53"/>
      <c r="Y57" s="53"/>
      <c r="Z57" s="53"/>
      <c r="AA57" s="53" t="s">
        <v>90</v>
      </c>
      <c r="AB57" s="53" t="s">
        <v>91</v>
      </c>
      <c r="AC57" s="53">
        <v>22</v>
      </c>
      <c r="AD57" s="53">
        <v>14</v>
      </c>
      <c r="AE57" s="54" t="s">
        <v>68</v>
      </c>
      <c r="AF57" s="53" t="s">
        <v>224</v>
      </c>
      <c r="AG57" s="53" t="s">
        <v>218</v>
      </c>
      <c r="AH57" s="53"/>
      <c r="AI57" s="53">
        <f>34+0</f>
        <v>34</v>
      </c>
    </row>
    <row r="58" spans="1:35" ht="79.2" x14ac:dyDescent="0.25">
      <c r="A58" s="56">
        <v>28</v>
      </c>
      <c r="B58" s="57" t="s">
        <v>225</v>
      </c>
      <c r="C58" s="58" t="str">
        <f t="shared" ca="1" si="1"/>
        <v xml:space="preserve">Просечно-вытяжной прокат горячекатаный в листах мерных размеров из стали С235, шириной: 500 мм, толщиной 4 мм
т
</v>
      </c>
      <c r="D58" s="56">
        <v>0.05</v>
      </c>
      <c r="E58" s="59">
        <v>9039.08</v>
      </c>
      <c r="F58" s="59"/>
      <c r="G58" s="59">
        <v>9039.08</v>
      </c>
      <c r="H58" s="60" t="s">
        <v>226</v>
      </c>
      <c r="I58" s="61">
        <v>3696</v>
      </c>
      <c r="J58" s="59"/>
      <c r="K58" s="59"/>
      <c r="L58" s="59" t="str">
        <f>IF(0.05*9039.08=0," ",TEXT(,ROUND((0.05*9039.08*8.178),2)))</f>
        <v>3696.08</v>
      </c>
      <c r="M58" s="59"/>
      <c r="N58" s="59"/>
      <c r="O58" s="52"/>
      <c r="P58" s="52"/>
      <c r="Q58" s="52"/>
      <c r="R58" s="52"/>
      <c r="S58" s="52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 t="s">
        <v>227</v>
      </c>
      <c r="AG58" s="53" t="s">
        <v>159</v>
      </c>
      <c r="AH58" s="53"/>
      <c r="AI58" s="53">
        <f>0+0</f>
        <v>0</v>
      </c>
    </row>
    <row r="59" spans="1:35" ht="26.4" x14ac:dyDescent="0.25">
      <c r="A59" s="89" t="s">
        <v>108</v>
      </c>
      <c r="B59" s="90"/>
      <c r="C59" s="90"/>
      <c r="D59" s="90"/>
      <c r="E59" s="90"/>
      <c r="F59" s="90"/>
      <c r="G59" s="90"/>
      <c r="H59" s="90"/>
      <c r="I59" s="51">
        <v>75774</v>
      </c>
      <c r="J59" s="49">
        <v>5610</v>
      </c>
      <c r="K59" s="49" t="s">
        <v>228</v>
      </c>
      <c r="L59" s="49">
        <v>68309</v>
      </c>
      <c r="M59" s="49"/>
      <c r="N59" s="49" t="s">
        <v>229</v>
      </c>
      <c r="O59" s="18"/>
      <c r="P59" s="19"/>
      <c r="Q59" s="18"/>
      <c r="R59" s="18"/>
      <c r="S59" s="18"/>
    </row>
    <row r="60" spans="1:35" ht="26.4" x14ac:dyDescent="0.25">
      <c r="A60" s="89" t="s">
        <v>111</v>
      </c>
      <c r="B60" s="90"/>
      <c r="C60" s="90"/>
      <c r="D60" s="90"/>
      <c r="E60" s="90"/>
      <c r="F60" s="90"/>
      <c r="G60" s="90"/>
      <c r="H60" s="90"/>
      <c r="I60" s="51">
        <v>77082</v>
      </c>
      <c r="J60" s="49">
        <v>6454</v>
      </c>
      <c r="K60" s="49" t="s">
        <v>230</v>
      </c>
      <c r="L60" s="49">
        <v>68309</v>
      </c>
      <c r="M60" s="49"/>
      <c r="N60" s="49" t="s">
        <v>231</v>
      </c>
      <c r="O60" s="18"/>
      <c r="P60" s="19"/>
      <c r="Q60" s="18"/>
      <c r="R60" s="18"/>
      <c r="S60" s="18"/>
    </row>
    <row r="61" spans="1:35" x14ac:dyDescent="0.25">
      <c r="A61" s="89" t="s">
        <v>114</v>
      </c>
      <c r="B61" s="90"/>
      <c r="C61" s="90"/>
      <c r="D61" s="90"/>
      <c r="E61" s="90"/>
      <c r="F61" s="90"/>
      <c r="G61" s="90"/>
      <c r="H61" s="90"/>
      <c r="I61" s="51"/>
      <c r="J61" s="49"/>
      <c r="K61" s="49"/>
      <c r="L61" s="49"/>
      <c r="M61" s="49"/>
      <c r="N61" s="49"/>
      <c r="O61" s="18"/>
      <c r="P61" s="19"/>
      <c r="Q61" s="18"/>
      <c r="R61" s="18"/>
      <c r="S61" s="18"/>
    </row>
    <row r="62" spans="1:35" ht="27.9" customHeight="1" x14ac:dyDescent="0.25">
      <c r="A62" s="89" t="s">
        <v>232</v>
      </c>
      <c r="B62" s="90"/>
      <c r="C62" s="90"/>
      <c r="D62" s="90"/>
      <c r="E62" s="90"/>
      <c r="F62" s="90"/>
      <c r="G62" s="90"/>
      <c r="H62" s="90"/>
      <c r="I62" s="51">
        <v>1306</v>
      </c>
      <c r="J62" s="49">
        <v>841</v>
      </c>
      <c r="K62" s="49" t="s">
        <v>233</v>
      </c>
      <c r="L62" s="49"/>
      <c r="M62" s="49"/>
      <c r="N62" s="49" t="s">
        <v>234</v>
      </c>
      <c r="O62" s="18"/>
      <c r="P62" s="19"/>
      <c r="Q62" s="18"/>
      <c r="R62" s="18"/>
      <c r="S62" s="18"/>
    </row>
    <row r="63" spans="1:35" ht="27.9" customHeight="1" x14ac:dyDescent="0.25">
      <c r="A63" s="89" t="s">
        <v>235</v>
      </c>
      <c r="B63" s="90"/>
      <c r="C63" s="90"/>
      <c r="D63" s="90"/>
      <c r="E63" s="90"/>
      <c r="F63" s="90"/>
      <c r="G63" s="90"/>
      <c r="H63" s="90"/>
      <c r="I63" s="51">
        <v>2</v>
      </c>
      <c r="J63" s="49">
        <v>2</v>
      </c>
      <c r="K63" s="49"/>
      <c r="L63" s="49"/>
      <c r="M63" s="49"/>
      <c r="N63" s="49">
        <v>0.125</v>
      </c>
      <c r="O63" s="18"/>
      <c r="P63" s="19"/>
      <c r="Q63" s="18"/>
      <c r="R63" s="18"/>
      <c r="S63" s="18"/>
    </row>
    <row r="64" spans="1:35" ht="26.4" x14ac:dyDescent="0.25">
      <c r="A64" s="89" t="s">
        <v>121</v>
      </c>
      <c r="B64" s="90"/>
      <c r="C64" s="90"/>
      <c r="D64" s="90"/>
      <c r="E64" s="90"/>
      <c r="F64" s="90"/>
      <c r="G64" s="90"/>
      <c r="H64" s="90"/>
      <c r="I64" s="51">
        <v>525143</v>
      </c>
      <c r="J64" s="49">
        <v>109074</v>
      </c>
      <c r="K64" s="49" t="s">
        <v>236</v>
      </c>
      <c r="L64" s="49">
        <v>390910</v>
      </c>
      <c r="M64" s="49"/>
      <c r="N64" s="49" t="s">
        <v>231</v>
      </c>
      <c r="O64" s="18"/>
      <c r="P64" s="19"/>
      <c r="Q64" s="18"/>
      <c r="R64" s="18"/>
      <c r="S64" s="18"/>
    </row>
    <row r="65" spans="1:35" x14ac:dyDescent="0.25">
      <c r="A65" s="89" t="s">
        <v>123</v>
      </c>
      <c r="B65" s="90"/>
      <c r="C65" s="90"/>
      <c r="D65" s="90"/>
      <c r="E65" s="90"/>
      <c r="F65" s="90"/>
      <c r="G65" s="90"/>
      <c r="H65" s="90"/>
      <c r="I65" s="51">
        <v>94497</v>
      </c>
      <c r="J65" s="49"/>
      <c r="K65" s="49"/>
      <c r="L65" s="49"/>
      <c r="M65" s="49"/>
      <c r="N65" s="49"/>
      <c r="O65" s="18"/>
      <c r="P65" s="19"/>
      <c r="Q65" s="18"/>
      <c r="R65" s="18"/>
      <c r="S65" s="18"/>
    </row>
    <row r="66" spans="1:35" x14ac:dyDescent="0.25">
      <c r="A66" s="89" t="s">
        <v>124</v>
      </c>
      <c r="B66" s="90"/>
      <c r="C66" s="90"/>
      <c r="D66" s="90"/>
      <c r="E66" s="90"/>
      <c r="F66" s="90"/>
      <c r="G66" s="90"/>
      <c r="H66" s="90"/>
      <c r="I66" s="51">
        <v>47964</v>
      </c>
      <c r="J66" s="49"/>
      <c r="K66" s="49"/>
      <c r="L66" s="49"/>
      <c r="M66" s="49"/>
      <c r="N66" s="49"/>
      <c r="O66" s="18"/>
      <c r="P66" s="19"/>
      <c r="Q66" s="18"/>
      <c r="R66" s="18"/>
      <c r="S66" s="18"/>
    </row>
    <row r="67" spans="1:35" ht="26.4" x14ac:dyDescent="0.25">
      <c r="A67" s="93" t="s">
        <v>237</v>
      </c>
      <c r="B67" s="94"/>
      <c r="C67" s="94"/>
      <c r="D67" s="94"/>
      <c r="E67" s="94"/>
      <c r="F67" s="94"/>
      <c r="G67" s="94"/>
      <c r="H67" s="94"/>
      <c r="I67" s="62">
        <v>667604</v>
      </c>
      <c r="J67" s="63"/>
      <c r="K67" s="63"/>
      <c r="L67" s="63"/>
      <c r="M67" s="63"/>
      <c r="N67" s="63" t="s">
        <v>231</v>
      </c>
      <c r="O67" s="18"/>
      <c r="P67" s="19"/>
      <c r="Q67" s="18"/>
      <c r="R67" s="18"/>
      <c r="S67" s="18"/>
    </row>
    <row r="68" spans="1:35" ht="21" customHeight="1" x14ac:dyDescent="0.25">
      <c r="A68" s="91" t="s">
        <v>238</v>
      </c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</row>
    <row r="69" spans="1:35" ht="158.4" x14ac:dyDescent="0.25">
      <c r="A69" s="46">
        <v>29</v>
      </c>
      <c r="B69" s="47" t="s">
        <v>239</v>
      </c>
      <c r="C69" s="48" t="str">
        <f t="shared" ref="C69:C75" ca="1" si="2">INDIRECT("AF"&amp;ROW())&amp;CHAR(10)&amp;INDIRECT("AG"&amp;ROW())&amp;IF(INDIRECT("AE"&amp;ROW())="", "", CHAR(10)&amp;INDIRECT("AE"&amp;ROW()))&amp;IF(INDIRECT("AC"&amp;ROW())="", "", CHAR(10)&amp;INDIRECT("AC"&amp;ROW())&amp;" руб. "&amp;INDIRECT("AA"&amp;ROW())&amp;" ("&amp;INDIRECT("AI"&amp;ROW())&amp;" руб.)")&amp;IF(INDIRECT("AD"&amp;ROW())="", "", CHAR(10)&amp;INDIRECT("AD"&amp;ROW())&amp;" руб."&amp;INDIRECT("AB"&amp;ROW())&amp;" ("&amp;INDIRECT("AI"&amp;ROW())&amp;" руб.)")&amp;CHAR(10)&amp;CHAR(10)</f>
        <v xml:space="preserve">Планировка площадей бульдозерами мощностью: 59 кВт (80 л.с.)
1000 м2 спланированной поверхности за 1 проход бульдозера
((КОЭФ.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ТЗМ=1,25))
</v>
      </c>
      <c r="D69" s="46">
        <v>9.6000000000000002E-2</v>
      </c>
      <c r="E69" s="49">
        <v>22.6</v>
      </c>
      <c r="F69" s="49" t="s">
        <v>240</v>
      </c>
      <c r="G69" s="49"/>
      <c r="H69" s="50" t="s">
        <v>241</v>
      </c>
      <c r="I69" s="51">
        <v>45</v>
      </c>
      <c r="J69" s="49"/>
      <c r="K69" s="49">
        <v>45</v>
      </c>
      <c r="L69" s="49" t="str">
        <f>IF(0.096*0=0," ",TEXT(,ROUND((0.096*0*1),2)))</f>
        <v xml:space="preserve"> </v>
      </c>
      <c r="M69" s="49" t="s">
        <v>242</v>
      </c>
      <c r="N69" s="49" t="s">
        <v>243</v>
      </c>
      <c r="O69" s="52"/>
      <c r="P69" s="52"/>
      <c r="Q69" s="52"/>
      <c r="R69" s="52"/>
      <c r="S69" s="52"/>
      <c r="T69" s="53"/>
      <c r="U69" s="53"/>
      <c r="V69" s="53"/>
      <c r="W69" s="53"/>
      <c r="X69" s="53"/>
      <c r="Y69" s="53"/>
      <c r="Z69" s="53"/>
      <c r="AA69" s="53" t="s">
        <v>36</v>
      </c>
      <c r="AB69" s="53" t="s">
        <v>37</v>
      </c>
      <c r="AC69" s="53"/>
      <c r="AD69" s="53"/>
      <c r="AE69" s="54" t="s">
        <v>38</v>
      </c>
      <c r="AF69" s="53" t="s">
        <v>244</v>
      </c>
      <c r="AG69" s="53" t="s">
        <v>245</v>
      </c>
      <c r="AH69" s="53"/>
      <c r="AI69" s="53">
        <f>0+0</f>
        <v>0</v>
      </c>
    </row>
    <row r="70" spans="1:35" ht="198" x14ac:dyDescent="0.25">
      <c r="A70" s="46">
        <v>30</v>
      </c>
      <c r="B70" s="47" t="s">
        <v>246</v>
      </c>
      <c r="C70" s="48" t="str">
        <f t="shared" ca="1" si="2"/>
        <v xml:space="preserve">Устройство основания под фундаменты: гравийного
1 м3 основания
((КОЭФ.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ТЗМ=1,25))
5454 руб. НР 93%=122%*(0,85*0,9) от ФОТ (5864 руб.)
3167 руб.СП 54%=80%*(0,8*0,85) от ФОТ (5864 руб.)
</v>
      </c>
      <c r="D70" s="46">
        <v>11.4</v>
      </c>
      <c r="E70" s="49" t="s">
        <v>247</v>
      </c>
      <c r="F70" s="49" t="s">
        <v>248</v>
      </c>
      <c r="G70" s="49">
        <v>221.81</v>
      </c>
      <c r="H70" s="50" t="s">
        <v>249</v>
      </c>
      <c r="I70" s="51">
        <v>22402</v>
      </c>
      <c r="J70" s="49">
        <v>4529</v>
      </c>
      <c r="K70" s="49" t="s">
        <v>250</v>
      </c>
      <c r="L70" s="49" t="str">
        <f>IF(11.4*221.81=0," ",TEXT(,ROUND((11.4*221.81*5.21),2)))</f>
        <v>13174.18</v>
      </c>
      <c r="M70" s="49" t="s">
        <v>251</v>
      </c>
      <c r="N70" s="49" t="s">
        <v>252</v>
      </c>
      <c r="O70" s="52"/>
      <c r="P70" s="52"/>
      <c r="Q70" s="52"/>
      <c r="R70" s="52"/>
      <c r="S70" s="52"/>
      <c r="T70" s="53"/>
      <c r="U70" s="53"/>
      <c r="V70" s="53"/>
      <c r="W70" s="53"/>
      <c r="X70" s="53"/>
      <c r="Y70" s="53"/>
      <c r="Z70" s="53"/>
      <c r="AA70" s="53" t="s">
        <v>148</v>
      </c>
      <c r="AB70" s="53" t="s">
        <v>149</v>
      </c>
      <c r="AC70" s="53">
        <v>5454</v>
      </c>
      <c r="AD70" s="53">
        <v>3167</v>
      </c>
      <c r="AE70" s="54" t="s">
        <v>38</v>
      </c>
      <c r="AF70" s="53" t="s">
        <v>253</v>
      </c>
      <c r="AG70" s="53" t="s">
        <v>254</v>
      </c>
      <c r="AH70" s="53"/>
      <c r="AI70" s="53">
        <f>4529+1335</f>
        <v>5864</v>
      </c>
    </row>
    <row r="71" spans="1:35" ht="66" x14ac:dyDescent="0.25">
      <c r="A71" s="46">
        <v>31</v>
      </c>
      <c r="B71" s="47" t="s">
        <v>255</v>
      </c>
      <c r="C71" s="48" t="str">
        <f t="shared" ca="1" si="2"/>
        <v xml:space="preserve">Гравий для строительных работ марка: Др.16, фракция 20-40 мм
м3
</v>
      </c>
      <c r="D71" s="46">
        <v>-14.59</v>
      </c>
      <c r="E71" s="49">
        <v>173</v>
      </c>
      <c r="F71" s="49"/>
      <c r="G71" s="49">
        <v>173</v>
      </c>
      <c r="H71" s="50" t="s">
        <v>256</v>
      </c>
      <c r="I71" s="51">
        <v>-13130</v>
      </c>
      <c r="J71" s="49"/>
      <c r="K71" s="49"/>
      <c r="L71" s="49" t="str">
        <f>IF(-14.59*173=0," ",TEXT(,ROUND((-14.59*173*5.202),2)))</f>
        <v>-13130.21</v>
      </c>
      <c r="M71" s="49"/>
      <c r="N71" s="49"/>
      <c r="O71" s="52"/>
      <c r="P71" s="52"/>
      <c r="Q71" s="52"/>
      <c r="R71" s="52"/>
      <c r="S71" s="52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 t="s">
        <v>257</v>
      </c>
      <c r="AG71" s="53" t="s">
        <v>141</v>
      </c>
      <c r="AH71" s="53"/>
      <c r="AI71" s="53">
        <f>0+0</f>
        <v>0</v>
      </c>
    </row>
    <row r="72" spans="1:35" ht="52.8" x14ac:dyDescent="0.25">
      <c r="A72" s="46">
        <v>32</v>
      </c>
      <c r="B72" s="47" t="s">
        <v>258</v>
      </c>
      <c r="C72" s="48" t="str">
        <f t="shared" ca="1" si="2"/>
        <v xml:space="preserve">Смесь песчано-гравийная природная
м3
</v>
      </c>
      <c r="D72" s="46">
        <v>14.135999999999999</v>
      </c>
      <c r="E72" s="49">
        <v>60</v>
      </c>
      <c r="F72" s="49"/>
      <c r="G72" s="49">
        <v>60</v>
      </c>
      <c r="H72" s="50" t="s">
        <v>259</v>
      </c>
      <c r="I72" s="51">
        <v>9245</v>
      </c>
      <c r="J72" s="49"/>
      <c r="K72" s="49"/>
      <c r="L72" s="49" t="str">
        <f>IF(14.136*60=0," ",TEXT(,ROUND((14.136*60*10.902),2)))</f>
        <v>9246.64</v>
      </c>
      <c r="M72" s="49"/>
      <c r="N72" s="49"/>
      <c r="O72" s="52"/>
      <c r="P72" s="52"/>
      <c r="Q72" s="52"/>
      <c r="R72" s="52"/>
      <c r="S72" s="52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 t="s">
        <v>260</v>
      </c>
      <c r="AG72" s="53" t="s">
        <v>141</v>
      </c>
      <c r="AH72" s="53"/>
      <c r="AI72" s="53">
        <f>0+0</f>
        <v>0</v>
      </c>
    </row>
    <row r="73" spans="1:35" ht="184.8" x14ac:dyDescent="0.25">
      <c r="A73" s="46">
        <v>33</v>
      </c>
      <c r="B73" s="47" t="s">
        <v>261</v>
      </c>
      <c r="C73" s="48" t="str">
        <f t="shared" ca="1" si="2"/>
        <v xml:space="preserve">Устройство бетонной подготовки
100 м3 бетона, бутобетона и железобетона в деле
((КОЭФ.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ТЗМ=1,25))
2962 руб. НР 80%=105%*(0,85*0,9) от ФОТ (3702 руб.)
1629 руб.СП 44%=65%*(0,8*0,85) от ФОТ (3702 руб.)
</v>
      </c>
      <c r="D73" s="46">
        <v>0.114</v>
      </c>
      <c r="E73" s="49" t="s">
        <v>262</v>
      </c>
      <c r="F73" s="49" t="s">
        <v>263</v>
      </c>
      <c r="G73" s="49">
        <v>55590.49</v>
      </c>
      <c r="H73" s="50" t="s">
        <v>264</v>
      </c>
      <c r="I73" s="51">
        <v>37657</v>
      </c>
      <c r="J73" s="49">
        <v>3110</v>
      </c>
      <c r="K73" s="49" t="s">
        <v>265</v>
      </c>
      <c r="L73" s="49" t="str">
        <f>IF(0.114*55590.49=0," ",TEXT(,ROUND((0.114*55590.49*5.02),2)))</f>
        <v>31813.33</v>
      </c>
      <c r="M73" s="49" t="s">
        <v>266</v>
      </c>
      <c r="N73" s="49" t="s">
        <v>267</v>
      </c>
      <c r="O73" s="52"/>
      <c r="P73" s="52"/>
      <c r="Q73" s="52"/>
      <c r="R73" s="52"/>
      <c r="S73" s="52"/>
      <c r="T73" s="53"/>
      <c r="U73" s="53"/>
      <c r="V73" s="53"/>
      <c r="W73" s="53"/>
      <c r="X73" s="53"/>
      <c r="Y73" s="53"/>
      <c r="Z73" s="53"/>
      <c r="AA73" s="53" t="s">
        <v>134</v>
      </c>
      <c r="AB73" s="53" t="s">
        <v>135</v>
      </c>
      <c r="AC73" s="53">
        <v>2962</v>
      </c>
      <c r="AD73" s="53">
        <v>1629</v>
      </c>
      <c r="AE73" s="54" t="s">
        <v>38</v>
      </c>
      <c r="AF73" s="53" t="s">
        <v>268</v>
      </c>
      <c r="AG73" s="53" t="s">
        <v>269</v>
      </c>
      <c r="AH73" s="53"/>
      <c r="AI73" s="53">
        <f>3110+592</f>
        <v>3702</v>
      </c>
    </row>
    <row r="74" spans="1:35" ht="66" x14ac:dyDescent="0.25">
      <c r="A74" s="46">
        <v>34</v>
      </c>
      <c r="B74" s="47" t="s">
        <v>270</v>
      </c>
      <c r="C74" s="48" t="str">
        <f t="shared" ca="1" si="2"/>
        <v xml:space="preserve">Бетон тяжелый, крупность заполнителя: 20 мм, класс В3,5 (М50)
м3
</v>
      </c>
      <c r="D74" s="46">
        <v>-11.63</v>
      </c>
      <c r="E74" s="49">
        <v>520</v>
      </c>
      <c r="F74" s="49"/>
      <c r="G74" s="49">
        <v>520</v>
      </c>
      <c r="H74" s="50" t="s">
        <v>271</v>
      </c>
      <c r="I74" s="51">
        <v>-30796</v>
      </c>
      <c r="J74" s="49"/>
      <c r="K74" s="49"/>
      <c r="L74" s="49" t="str">
        <f>IF(-11.63*520=0," ",TEXT(,ROUND((-11.63*520*5.092),2)))</f>
        <v>-30794.38</v>
      </c>
      <c r="M74" s="49"/>
      <c r="N74" s="49"/>
      <c r="O74" s="52"/>
      <c r="P74" s="52"/>
      <c r="Q74" s="52"/>
      <c r="R74" s="52"/>
      <c r="S74" s="52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 t="s">
        <v>272</v>
      </c>
      <c r="AG74" s="53" t="s">
        <v>141</v>
      </c>
      <c r="AH74" s="53"/>
      <c r="AI74" s="53">
        <f>0+0</f>
        <v>0</v>
      </c>
    </row>
    <row r="75" spans="1:35" ht="66" x14ac:dyDescent="0.25">
      <c r="A75" s="56">
        <v>35</v>
      </c>
      <c r="B75" s="57" t="s">
        <v>273</v>
      </c>
      <c r="C75" s="58" t="str">
        <f t="shared" ca="1" si="2"/>
        <v xml:space="preserve">Бетон тяжелый, крупность заполнителя: 20 мм, класс В7,5 (М100)
м3
</v>
      </c>
      <c r="D75" s="56">
        <v>11.63</v>
      </c>
      <c r="E75" s="59">
        <v>535.46</v>
      </c>
      <c r="F75" s="59"/>
      <c r="G75" s="59">
        <v>535.46</v>
      </c>
      <c r="H75" s="60" t="s">
        <v>274</v>
      </c>
      <c r="I75" s="61">
        <v>33626</v>
      </c>
      <c r="J75" s="59"/>
      <c r="K75" s="59"/>
      <c r="L75" s="59" t="str">
        <f>IF(11.63*535.46=0," ",TEXT(,ROUND((11.63*535.46*5.4),2)))</f>
        <v>33627.96</v>
      </c>
      <c r="M75" s="59"/>
      <c r="N75" s="59"/>
      <c r="O75" s="52"/>
      <c r="P75" s="52"/>
      <c r="Q75" s="52"/>
      <c r="R75" s="52"/>
      <c r="S75" s="52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 t="s">
        <v>275</v>
      </c>
      <c r="AG75" s="53" t="s">
        <v>141</v>
      </c>
      <c r="AH75" s="53"/>
      <c r="AI75" s="53">
        <f>0+0</f>
        <v>0</v>
      </c>
    </row>
    <row r="76" spans="1:35" ht="26.4" x14ac:dyDescent="0.25">
      <c r="A76" s="89" t="s">
        <v>108</v>
      </c>
      <c r="B76" s="90"/>
      <c r="C76" s="90"/>
      <c r="D76" s="90"/>
      <c r="E76" s="90"/>
      <c r="F76" s="90"/>
      <c r="G76" s="90"/>
      <c r="H76" s="90"/>
      <c r="I76" s="51">
        <v>8506</v>
      </c>
      <c r="J76" s="49">
        <v>393</v>
      </c>
      <c r="K76" s="49" t="s">
        <v>276</v>
      </c>
      <c r="L76" s="49">
        <v>7369</v>
      </c>
      <c r="M76" s="49"/>
      <c r="N76" s="49" t="s">
        <v>277</v>
      </c>
      <c r="O76" s="18"/>
      <c r="P76" s="19"/>
      <c r="Q76" s="18"/>
      <c r="R76" s="18"/>
      <c r="S76" s="18"/>
    </row>
    <row r="77" spans="1:35" ht="26.4" x14ac:dyDescent="0.25">
      <c r="A77" s="89" t="s">
        <v>111</v>
      </c>
      <c r="B77" s="90"/>
      <c r="C77" s="90"/>
      <c r="D77" s="90"/>
      <c r="E77" s="90"/>
      <c r="F77" s="90"/>
      <c r="G77" s="90"/>
      <c r="H77" s="90"/>
      <c r="I77" s="51">
        <v>8751</v>
      </c>
      <c r="J77" s="49">
        <v>452</v>
      </c>
      <c r="K77" s="49" t="s">
        <v>278</v>
      </c>
      <c r="L77" s="49">
        <v>7369</v>
      </c>
      <c r="M77" s="49"/>
      <c r="N77" s="49" t="s">
        <v>279</v>
      </c>
      <c r="O77" s="18"/>
      <c r="P77" s="19"/>
      <c r="Q77" s="18"/>
      <c r="R77" s="18"/>
      <c r="S77" s="18"/>
    </row>
    <row r="78" spans="1:35" x14ac:dyDescent="0.25">
      <c r="A78" s="89" t="s">
        <v>114</v>
      </c>
      <c r="B78" s="90"/>
      <c r="C78" s="90"/>
      <c r="D78" s="90"/>
      <c r="E78" s="90"/>
      <c r="F78" s="90"/>
      <c r="G78" s="90"/>
      <c r="H78" s="90"/>
      <c r="I78" s="51"/>
      <c r="J78" s="49"/>
      <c r="K78" s="49"/>
      <c r="L78" s="49"/>
      <c r="M78" s="49"/>
      <c r="N78" s="49"/>
      <c r="O78" s="18"/>
      <c r="P78" s="19"/>
      <c r="Q78" s="18"/>
      <c r="R78" s="18"/>
      <c r="S78" s="18"/>
    </row>
    <row r="79" spans="1:35" ht="27.9" customHeight="1" x14ac:dyDescent="0.25">
      <c r="A79" s="89" t="s">
        <v>280</v>
      </c>
      <c r="B79" s="90"/>
      <c r="C79" s="90"/>
      <c r="D79" s="90"/>
      <c r="E79" s="90"/>
      <c r="F79" s="90"/>
      <c r="G79" s="90"/>
      <c r="H79" s="90"/>
      <c r="I79" s="51">
        <v>245</v>
      </c>
      <c r="J79" s="49">
        <v>59</v>
      </c>
      <c r="K79" s="49" t="s">
        <v>281</v>
      </c>
      <c r="L79" s="49"/>
      <c r="M79" s="49"/>
      <c r="N79" s="49" t="s">
        <v>282</v>
      </c>
      <c r="O79" s="18"/>
      <c r="P79" s="19"/>
      <c r="Q79" s="18"/>
      <c r="R79" s="18"/>
      <c r="S79" s="18"/>
    </row>
    <row r="80" spans="1:35" ht="26.4" x14ac:dyDescent="0.25">
      <c r="A80" s="89" t="s">
        <v>121</v>
      </c>
      <c r="B80" s="90"/>
      <c r="C80" s="90"/>
      <c r="D80" s="90"/>
      <c r="E80" s="90"/>
      <c r="F80" s="90"/>
      <c r="G80" s="90"/>
      <c r="H80" s="90"/>
      <c r="I80" s="51">
        <v>59049</v>
      </c>
      <c r="J80" s="49">
        <v>7639</v>
      </c>
      <c r="K80" s="49" t="s">
        <v>283</v>
      </c>
      <c r="L80" s="49">
        <v>43933</v>
      </c>
      <c r="M80" s="49"/>
      <c r="N80" s="49" t="s">
        <v>279</v>
      </c>
      <c r="O80" s="18"/>
      <c r="P80" s="19"/>
      <c r="Q80" s="18"/>
      <c r="R80" s="18"/>
      <c r="S80" s="18"/>
    </row>
    <row r="81" spans="1:19" x14ac:dyDescent="0.25">
      <c r="A81" s="89" t="s">
        <v>123</v>
      </c>
      <c r="B81" s="90"/>
      <c r="C81" s="90"/>
      <c r="D81" s="90"/>
      <c r="E81" s="90"/>
      <c r="F81" s="90"/>
      <c r="G81" s="90"/>
      <c r="H81" s="90"/>
      <c r="I81" s="51">
        <v>8416</v>
      </c>
      <c r="J81" s="49"/>
      <c r="K81" s="49"/>
      <c r="L81" s="49"/>
      <c r="M81" s="49"/>
      <c r="N81" s="49"/>
      <c r="O81" s="18"/>
      <c r="P81" s="19"/>
      <c r="Q81" s="18"/>
      <c r="R81" s="18"/>
      <c r="S81" s="18"/>
    </row>
    <row r="82" spans="1:19" x14ac:dyDescent="0.25">
      <c r="A82" s="89" t="s">
        <v>124</v>
      </c>
      <c r="B82" s="90"/>
      <c r="C82" s="90"/>
      <c r="D82" s="90"/>
      <c r="E82" s="90"/>
      <c r="F82" s="90"/>
      <c r="G82" s="90"/>
      <c r="H82" s="90"/>
      <c r="I82" s="51">
        <v>4796</v>
      </c>
      <c r="J82" s="49"/>
      <c r="K82" s="49"/>
      <c r="L82" s="49"/>
      <c r="M82" s="49"/>
      <c r="N82" s="49"/>
      <c r="O82" s="18"/>
      <c r="P82" s="19"/>
      <c r="Q82" s="18"/>
      <c r="R82" s="18"/>
      <c r="S82" s="18"/>
    </row>
    <row r="83" spans="1:19" ht="26.4" x14ac:dyDescent="0.25">
      <c r="A83" s="93" t="s">
        <v>284</v>
      </c>
      <c r="B83" s="94"/>
      <c r="C83" s="94"/>
      <c r="D83" s="94"/>
      <c r="E83" s="94"/>
      <c r="F83" s="94"/>
      <c r="G83" s="94"/>
      <c r="H83" s="94"/>
      <c r="I83" s="62">
        <v>72261</v>
      </c>
      <c r="J83" s="63"/>
      <c r="K83" s="63"/>
      <c r="L83" s="63"/>
      <c r="M83" s="63"/>
      <c r="N83" s="63" t="s">
        <v>279</v>
      </c>
      <c r="O83" s="18"/>
      <c r="P83" s="19"/>
      <c r="Q83" s="18"/>
      <c r="R83" s="18"/>
      <c r="S83" s="18"/>
    </row>
    <row r="84" spans="1:19" ht="26.4" x14ac:dyDescent="0.25">
      <c r="A84" s="95" t="s">
        <v>285</v>
      </c>
      <c r="B84" s="90"/>
      <c r="C84" s="90"/>
      <c r="D84" s="90"/>
      <c r="E84" s="90"/>
      <c r="F84" s="90"/>
      <c r="G84" s="90"/>
      <c r="H84" s="90"/>
      <c r="I84" s="64">
        <v>89890</v>
      </c>
      <c r="J84" s="64">
        <v>8438</v>
      </c>
      <c r="K84" s="64" t="s">
        <v>286</v>
      </c>
      <c r="L84" s="64">
        <v>75678</v>
      </c>
      <c r="M84" s="64"/>
      <c r="N84" s="64" t="s">
        <v>287</v>
      </c>
      <c r="O84" s="18"/>
      <c r="P84" s="19"/>
      <c r="Q84" s="18"/>
      <c r="R84" s="18"/>
      <c r="S84" s="18"/>
    </row>
    <row r="85" spans="1:19" ht="26.4" x14ac:dyDescent="0.25">
      <c r="A85" s="95" t="s">
        <v>288</v>
      </c>
      <c r="B85" s="90"/>
      <c r="C85" s="90"/>
      <c r="D85" s="90"/>
      <c r="E85" s="90"/>
      <c r="F85" s="90"/>
      <c r="G85" s="90"/>
      <c r="H85" s="90"/>
      <c r="I85" s="64">
        <v>92992</v>
      </c>
      <c r="J85" s="64">
        <v>10223</v>
      </c>
      <c r="K85" s="64" t="s">
        <v>289</v>
      </c>
      <c r="L85" s="64">
        <v>75678</v>
      </c>
      <c r="M85" s="64"/>
      <c r="N85" s="64" t="s">
        <v>290</v>
      </c>
      <c r="O85" s="18"/>
      <c r="P85" s="19"/>
      <c r="Q85" s="18"/>
      <c r="R85" s="18"/>
      <c r="S85" s="18"/>
    </row>
    <row r="86" spans="1:19" ht="26.4" x14ac:dyDescent="0.25">
      <c r="A86" s="95" t="s">
        <v>291</v>
      </c>
      <c r="B86" s="90"/>
      <c r="C86" s="90"/>
      <c r="D86" s="90"/>
      <c r="E86" s="90"/>
      <c r="F86" s="90"/>
      <c r="G86" s="90"/>
      <c r="H86" s="90"/>
      <c r="I86" s="64">
        <v>678841</v>
      </c>
      <c r="J86" s="64">
        <v>172771</v>
      </c>
      <c r="K86" s="64" t="s">
        <v>292</v>
      </c>
      <c r="L86" s="64">
        <v>434843</v>
      </c>
      <c r="M86" s="64"/>
      <c r="N86" s="64" t="s">
        <v>290</v>
      </c>
      <c r="O86" s="18"/>
      <c r="P86" s="19"/>
      <c r="Q86" s="18"/>
      <c r="R86" s="18"/>
      <c r="S86" s="18"/>
    </row>
    <row r="87" spans="1:19" x14ac:dyDescent="0.25">
      <c r="A87" s="95" t="s">
        <v>123</v>
      </c>
      <c r="B87" s="90"/>
      <c r="C87" s="90"/>
      <c r="D87" s="90"/>
      <c r="E87" s="90"/>
      <c r="F87" s="90"/>
      <c r="G87" s="90"/>
      <c r="H87" s="90"/>
      <c r="I87" s="64">
        <v>146329</v>
      </c>
      <c r="J87" s="64"/>
      <c r="K87" s="64"/>
      <c r="L87" s="64"/>
      <c r="M87" s="64"/>
      <c r="N87" s="64"/>
      <c r="O87" s="18"/>
      <c r="P87" s="19"/>
      <c r="Q87" s="18"/>
      <c r="R87" s="18"/>
      <c r="S87" s="18"/>
    </row>
    <row r="88" spans="1:19" x14ac:dyDescent="0.25">
      <c r="A88" s="95" t="s">
        <v>124</v>
      </c>
      <c r="B88" s="90"/>
      <c r="C88" s="90"/>
      <c r="D88" s="90"/>
      <c r="E88" s="90"/>
      <c r="F88" s="90"/>
      <c r="G88" s="90"/>
      <c r="H88" s="90"/>
      <c r="I88" s="64">
        <v>80430</v>
      </c>
      <c r="J88" s="64"/>
      <c r="K88" s="64"/>
      <c r="L88" s="64"/>
      <c r="M88" s="64"/>
      <c r="N88" s="64"/>
      <c r="O88" s="18"/>
      <c r="P88" s="19"/>
      <c r="Q88" s="18"/>
      <c r="R88" s="18"/>
      <c r="S88" s="18"/>
    </row>
    <row r="89" spans="1:19" x14ac:dyDescent="0.25">
      <c r="A89" s="96" t="s">
        <v>293</v>
      </c>
      <c r="B89" s="97"/>
      <c r="C89" s="97"/>
      <c r="D89" s="97"/>
      <c r="E89" s="97"/>
      <c r="F89" s="97"/>
      <c r="G89" s="97"/>
      <c r="H89" s="97"/>
      <c r="I89" s="65"/>
      <c r="J89" s="65"/>
      <c r="K89" s="65"/>
      <c r="L89" s="65"/>
      <c r="M89" s="65"/>
      <c r="N89" s="65"/>
      <c r="O89" s="18"/>
      <c r="P89" s="19"/>
      <c r="Q89" s="18"/>
      <c r="R89" s="18"/>
      <c r="S89" s="18"/>
    </row>
    <row r="90" spans="1:19" ht="26.4" x14ac:dyDescent="0.25">
      <c r="A90" s="95" t="s">
        <v>294</v>
      </c>
      <c r="B90" s="90"/>
      <c r="C90" s="90"/>
      <c r="D90" s="90"/>
      <c r="E90" s="90"/>
      <c r="F90" s="90"/>
      <c r="G90" s="90"/>
      <c r="H90" s="90"/>
      <c r="I90" s="64">
        <v>13832</v>
      </c>
      <c r="J90" s="64"/>
      <c r="K90" s="64"/>
      <c r="L90" s="64"/>
      <c r="M90" s="64"/>
      <c r="N90" s="64" t="s">
        <v>295</v>
      </c>
      <c r="O90" s="18"/>
      <c r="P90" s="19"/>
      <c r="Q90" s="18"/>
      <c r="R90" s="18"/>
      <c r="S90" s="18"/>
    </row>
    <row r="91" spans="1:19" x14ac:dyDescent="0.25">
      <c r="A91" s="95" t="s">
        <v>296</v>
      </c>
      <c r="B91" s="90"/>
      <c r="C91" s="90"/>
      <c r="D91" s="90"/>
      <c r="E91" s="90"/>
      <c r="F91" s="90"/>
      <c r="G91" s="90"/>
      <c r="H91" s="90"/>
      <c r="I91" s="64">
        <v>35952</v>
      </c>
      <c r="J91" s="64"/>
      <c r="K91" s="64"/>
      <c r="L91" s="64"/>
      <c r="M91" s="64"/>
      <c r="N91" s="64">
        <v>143.43</v>
      </c>
      <c r="O91" s="18"/>
      <c r="P91" s="19"/>
      <c r="Q91" s="18"/>
      <c r="R91" s="18"/>
      <c r="S91" s="18"/>
    </row>
    <row r="92" spans="1:19" ht="27.9" customHeight="1" x14ac:dyDescent="0.25">
      <c r="A92" s="95" t="s">
        <v>297</v>
      </c>
      <c r="B92" s="90"/>
      <c r="C92" s="90"/>
      <c r="D92" s="90"/>
      <c r="E92" s="90"/>
      <c r="F92" s="90"/>
      <c r="G92" s="90"/>
      <c r="H92" s="90"/>
      <c r="I92" s="64">
        <v>31122</v>
      </c>
      <c r="J92" s="64"/>
      <c r="K92" s="64"/>
      <c r="L92" s="64"/>
      <c r="M92" s="64"/>
      <c r="N92" s="64" t="s">
        <v>298</v>
      </c>
      <c r="O92" s="18"/>
      <c r="P92" s="19"/>
      <c r="Q92" s="18"/>
      <c r="R92" s="18"/>
      <c r="S92" s="18"/>
    </row>
    <row r="93" spans="1:19" ht="26.4" x14ac:dyDescent="0.25">
      <c r="A93" s="95" t="s">
        <v>299</v>
      </c>
      <c r="B93" s="90"/>
      <c r="C93" s="90"/>
      <c r="D93" s="90"/>
      <c r="E93" s="90"/>
      <c r="F93" s="90"/>
      <c r="G93" s="90"/>
      <c r="H93" s="90"/>
      <c r="I93" s="64">
        <v>63109</v>
      </c>
      <c r="J93" s="64"/>
      <c r="K93" s="64"/>
      <c r="L93" s="64"/>
      <c r="M93" s="64"/>
      <c r="N93" s="64" t="s">
        <v>300</v>
      </c>
      <c r="O93" s="18"/>
      <c r="P93" s="19"/>
      <c r="Q93" s="18"/>
      <c r="R93" s="18"/>
      <c r="S93" s="18"/>
    </row>
    <row r="94" spans="1:19" x14ac:dyDescent="0.25">
      <c r="A94" s="95" t="s">
        <v>301</v>
      </c>
      <c r="B94" s="90"/>
      <c r="C94" s="90"/>
      <c r="D94" s="90"/>
      <c r="E94" s="90"/>
      <c r="F94" s="90"/>
      <c r="G94" s="90"/>
      <c r="H94" s="90"/>
      <c r="I94" s="64">
        <v>6341</v>
      </c>
      <c r="J94" s="64"/>
      <c r="K94" s="64"/>
      <c r="L94" s="64"/>
      <c r="M94" s="64"/>
      <c r="N94" s="64">
        <v>19.760000000000002</v>
      </c>
      <c r="O94" s="18"/>
      <c r="P94" s="19"/>
      <c r="Q94" s="18"/>
      <c r="R94" s="18"/>
      <c r="S94" s="18"/>
    </row>
    <row r="95" spans="1:19" x14ac:dyDescent="0.25">
      <c r="A95" s="95" t="s">
        <v>302</v>
      </c>
      <c r="B95" s="90"/>
      <c r="C95" s="90"/>
      <c r="D95" s="90"/>
      <c r="E95" s="90"/>
      <c r="F95" s="90"/>
      <c r="G95" s="90"/>
      <c r="H95" s="90"/>
      <c r="I95" s="64">
        <v>8287</v>
      </c>
      <c r="J95" s="64"/>
      <c r="K95" s="64"/>
      <c r="L95" s="64"/>
      <c r="M95" s="64"/>
      <c r="N95" s="64"/>
      <c r="O95" s="18"/>
      <c r="P95" s="19"/>
      <c r="Q95" s="18"/>
      <c r="R95" s="18"/>
      <c r="S95" s="18"/>
    </row>
    <row r="96" spans="1:19" x14ac:dyDescent="0.25">
      <c r="A96" s="95" t="s">
        <v>303</v>
      </c>
      <c r="B96" s="90"/>
      <c r="C96" s="90"/>
      <c r="D96" s="90"/>
      <c r="E96" s="90"/>
      <c r="F96" s="90"/>
      <c r="G96" s="90"/>
      <c r="H96" s="90"/>
      <c r="I96" s="64">
        <v>7321</v>
      </c>
      <c r="J96" s="64"/>
      <c r="K96" s="64"/>
      <c r="L96" s="64"/>
      <c r="M96" s="64"/>
      <c r="N96" s="64"/>
      <c r="O96" s="18"/>
      <c r="P96" s="19"/>
      <c r="Q96" s="18"/>
      <c r="R96" s="18"/>
      <c r="S96" s="18"/>
    </row>
    <row r="97" spans="1:19" ht="26.4" x14ac:dyDescent="0.25">
      <c r="A97" s="95" t="s">
        <v>304</v>
      </c>
      <c r="B97" s="90"/>
      <c r="C97" s="90"/>
      <c r="D97" s="90"/>
      <c r="E97" s="90"/>
      <c r="F97" s="90"/>
      <c r="G97" s="90"/>
      <c r="H97" s="90"/>
      <c r="I97" s="64">
        <v>308973</v>
      </c>
      <c r="J97" s="64"/>
      <c r="K97" s="64"/>
      <c r="L97" s="64"/>
      <c r="M97" s="64"/>
      <c r="N97" s="64" t="s">
        <v>305</v>
      </c>
      <c r="O97" s="18"/>
      <c r="P97" s="19"/>
      <c r="Q97" s="18"/>
      <c r="R97" s="18"/>
      <c r="S97" s="18"/>
    </row>
    <row r="98" spans="1:19" x14ac:dyDescent="0.25">
      <c r="A98" s="95" t="s">
        <v>306</v>
      </c>
      <c r="B98" s="90"/>
      <c r="C98" s="90"/>
      <c r="D98" s="90"/>
      <c r="E98" s="90"/>
      <c r="F98" s="90"/>
      <c r="G98" s="90"/>
      <c r="H98" s="90"/>
      <c r="I98" s="64">
        <v>34392</v>
      </c>
      <c r="J98" s="64"/>
      <c r="K98" s="64"/>
      <c r="L98" s="64"/>
      <c r="M98" s="64"/>
      <c r="N98" s="64"/>
      <c r="O98" s="18"/>
      <c r="P98" s="19"/>
      <c r="Q98" s="18"/>
      <c r="R98" s="18"/>
      <c r="S98" s="18"/>
    </row>
    <row r="99" spans="1:19" ht="26.4" x14ac:dyDescent="0.25">
      <c r="A99" s="95" t="s">
        <v>307</v>
      </c>
      <c r="B99" s="90"/>
      <c r="C99" s="90"/>
      <c r="D99" s="90"/>
      <c r="E99" s="90"/>
      <c r="F99" s="90"/>
      <c r="G99" s="90"/>
      <c r="H99" s="90"/>
      <c r="I99" s="64">
        <v>143443</v>
      </c>
      <c r="J99" s="64"/>
      <c r="K99" s="64"/>
      <c r="L99" s="64"/>
      <c r="M99" s="64"/>
      <c r="N99" s="64" t="s">
        <v>308</v>
      </c>
      <c r="O99" s="18"/>
      <c r="P99" s="19"/>
      <c r="Q99" s="18"/>
      <c r="R99" s="18"/>
      <c r="S99" s="18"/>
    </row>
    <row r="100" spans="1:19" ht="26.4" x14ac:dyDescent="0.25">
      <c r="A100" s="95" t="s">
        <v>309</v>
      </c>
      <c r="B100" s="90"/>
      <c r="C100" s="90"/>
      <c r="D100" s="90"/>
      <c r="E100" s="90"/>
      <c r="F100" s="90"/>
      <c r="G100" s="90"/>
      <c r="H100" s="90"/>
      <c r="I100" s="64">
        <v>1714</v>
      </c>
      <c r="J100" s="64"/>
      <c r="K100" s="64"/>
      <c r="L100" s="64"/>
      <c r="M100" s="64"/>
      <c r="N100" s="64" t="s">
        <v>310</v>
      </c>
      <c r="O100" s="18"/>
      <c r="P100" s="19"/>
      <c r="Q100" s="18"/>
      <c r="R100" s="18"/>
      <c r="S100" s="18"/>
    </row>
    <row r="101" spans="1:19" ht="26.4" x14ac:dyDescent="0.25">
      <c r="A101" s="95" t="s">
        <v>311</v>
      </c>
      <c r="B101" s="90"/>
      <c r="C101" s="90"/>
      <c r="D101" s="90"/>
      <c r="E101" s="90"/>
      <c r="F101" s="90"/>
      <c r="G101" s="90"/>
      <c r="H101" s="90"/>
      <c r="I101" s="64">
        <v>32468</v>
      </c>
      <c r="J101" s="64"/>
      <c r="K101" s="64"/>
      <c r="L101" s="64"/>
      <c r="M101" s="64"/>
      <c r="N101" s="64" t="s">
        <v>312</v>
      </c>
      <c r="O101" s="18"/>
      <c r="P101" s="19"/>
      <c r="Q101" s="18"/>
      <c r="R101" s="18"/>
      <c r="S101" s="18"/>
    </row>
    <row r="102" spans="1:19" ht="26.4" x14ac:dyDescent="0.25">
      <c r="A102" s="95" t="s">
        <v>313</v>
      </c>
      <c r="B102" s="90"/>
      <c r="C102" s="90"/>
      <c r="D102" s="90"/>
      <c r="E102" s="90"/>
      <c r="F102" s="90"/>
      <c r="G102" s="90"/>
      <c r="H102" s="90"/>
      <c r="I102" s="64">
        <v>218646</v>
      </c>
      <c r="J102" s="64"/>
      <c r="K102" s="64"/>
      <c r="L102" s="64"/>
      <c r="M102" s="64"/>
      <c r="N102" s="64" t="s">
        <v>314</v>
      </c>
      <c r="O102" s="18"/>
      <c r="P102" s="19"/>
      <c r="Q102" s="18"/>
      <c r="R102" s="18"/>
      <c r="S102" s="18"/>
    </row>
    <row r="103" spans="1:19" ht="26.4" x14ac:dyDescent="0.25">
      <c r="A103" s="95" t="s">
        <v>315</v>
      </c>
      <c r="B103" s="90"/>
      <c r="C103" s="90"/>
      <c r="D103" s="90"/>
      <c r="E103" s="90"/>
      <c r="F103" s="90"/>
      <c r="G103" s="90"/>
      <c r="H103" s="90"/>
      <c r="I103" s="64">
        <v>905600</v>
      </c>
      <c r="J103" s="64"/>
      <c r="K103" s="64"/>
      <c r="L103" s="64"/>
      <c r="M103" s="64"/>
      <c r="N103" s="64" t="s">
        <v>290</v>
      </c>
      <c r="O103" s="18"/>
      <c r="P103" s="19"/>
      <c r="Q103" s="18"/>
      <c r="R103" s="18"/>
      <c r="S103" s="18"/>
    </row>
    <row r="104" spans="1:19" x14ac:dyDescent="0.25">
      <c r="A104" s="95" t="s">
        <v>316</v>
      </c>
      <c r="B104" s="90"/>
      <c r="C104" s="90"/>
      <c r="D104" s="90"/>
      <c r="E104" s="90"/>
      <c r="F104" s="90"/>
      <c r="G104" s="90"/>
      <c r="H104" s="90"/>
      <c r="I104" s="64"/>
      <c r="J104" s="64"/>
      <c r="K104" s="64"/>
      <c r="L104" s="64"/>
      <c r="M104" s="64"/>
      <c r="N104" s="64"/>
      <c r="O104" s="18"/>
      <c r="P104" s="19"/>
      <c r="Q104" s="18"/>
      <c r="R104" s="18"/>
      <c r="S104" s="18"/>
    </row>
    <row r="105" spans="1:19" x14ac:dyDescent="0.25">
      <c r="A105" s="95" t="s">
        <v>317</v>
      </c>
      <c r="B105" s="90"/>
      <c r="C105" s="90"/>
      <c r="D105" s="90"/>
      <c r="E105" s="90"/>
      <c r="F105" s="90"/>
      <c r="G105" s="90"/>
      <c r="H105" s="90"/>
      <c r="I105" s="64">
        <v>434843</v>
      </c>
      <c r="J105" s="64"/>
      <c r="K105" s="64"/>
      <c r="L105" s="64"/>
      <c r="M105" s="64"/>
      <c r="N105" s="64"/>
      <c r="O105" s="18"/>
      <c r="P105" s="19"/>
      <c r="Q105" s="18"/>
      <c r="R105" s="18"/>
      <c r="S105" s="18"/>
    </row>
    <row r="106" spans="1:19" x14ac:dyDescent="0.25">
      <c r="A106" s="95" t="s">
        <v>318</v>
      </c>
      <c r="B106" s="90"/>
      <c r="C106" s="90"/>
      <c r="D106" s="90"/>
      <c r="E106" s="90"/>
      <c r="F106" s="90"/>
      <c r="G106" s="90"/>
      <c r="H106" s="90"/>
      <c r="I106" s="64">
        <v>71231</v>
      </c>
      <c r="J106" s="64"/>
      <c r="K106" s="64"/>
      <c r="L106" s="64"/>
      <c r="M106" s="64"/>
      <c r="N106" s="64"/>
      <c r="O106" s="18"/>
      <c r="P106" s="19"/>
      <c r="Q106" s="18"/>
      <c r="R106" s="18"/>
      <c r="S106" s="18"/>
    </row>
    <row r="107" spans="1:19" x14ac:dyDescent="0.25">
      <c r="A107" s="95" t="s">
        <v>319</v>
      </c>
      <c r="B107" s="90"/>
      <c r="C107" s="90"/>
      <c r="D107" s="90"/>
      <c r="E107" s="90"/>
      <c r="F107" s="90"/>
      <c r="G107" s="90"/>
      <c r="H107" s="90"/>
      <c r="I107" s="64">
        <v>185243</v>
      </c>
      <c r="J107" s="64"/>
      <c r="K107" s="64"/>
      <c r="L107" s="64"/>
      <c r="M107" s="64"/>
      <c r="N107" s="64"/>
      <c r="O107" s="18"/>
      <c r="P107" s="19"/>
      <c r="Q107" s="18"/>
      <c r="R107" s="18"/>
      <c r="S107" s="18"/>
    </row>
    <row r="108" spans="1:19" x14ac:dyDescent="0.25">
      <c r="A108" s="95" t="s">
        <v>320</v>
      </c>
      <c r="B108" s="90"/>
      <c r="C108" s="90"/>
      <c r="D108" s="90"/>
      <c r="E108" s="90"/>
      <c r="F108" s="90"/>
      <c r="G108" s="90"/>
      <c r="H108" s="90"/>
      <c r="I108" s="64">
        <v>146329</v>
      </c>
      <c r="J108" s="64"/>
      <c r="K108" s="64"/>
      <c r="L108" s="64"/>
      <c r="M108" s="64"/>
      <c r="N108" s="64"/>
      <c r="O108" s="18"/>
      <c r="P108" s="19"/>
      <c r="Q108" s="18"/>
      <c r="R108" s="18"/>
      <c r="S108" s="18"/>
    </row>
    <row r="109" spans="1:19" x14ac:dyDescent="0.25">
      <c r="A109" s="95" t="s">
        <v>321</v>
      </c>
      <c r="B109" s="90"/>
      <c r="C109" s="90"/>
      <c r="D109" s="90"/>
      <c r="E109" s="90"/>
      <c r="F109" s="90"/>
      <c r="G109" s="90"/>
      <c r="H109" s="90"/>
      <c r="I109" s="64">
        <v>80430</v>
      </c>
      <c r="J109" s="64"/>
      <c r="K109" s="64"/>
      <c r="L109" s="64"/>
      <c r="M109" s="64"/>
      <c r="N109" s="64"/>
      <c r="O109" s="18"/>
      <c r="P109" s="19"/>
      <c r="Q109" s="18"/>
      <c r="R109" s="18"/>
      <c r="S109" s="18"/>
    </row>
    <row r="110" spans="1:19" ht="26.4" x14ac:dyDescent="0.25">
      <c r="A110" s="96" t="s">
        <v>322</v>
      </c>
      <c r="B110" s="97"/>
      <c r="C110" s="97"/>
      <c r="D110" s="97"/>
      <c r="E110" s="97"/>
      <c r="F110" s="97"/>
      <c r="G110" s="97"/>
      <c r="H110" s="97"/>
      <c r="I110" s="65">
        <v>905600</v>
      </c>
      <c r="J110" s="65"/>
      <c r="K110" s="65"/>
      <c r="L110" s="65"/>
      <c r="M110" s="65"/>
      <c r="N110" s="65" t="s">
        <v>290</v>
      </c>
      <c r="O110" s="18"/>
      <c r="P110" s="19"/>
      <c r="Q110" s="18"/>
      <c r="R110" s="18"/>
      <c r="S110" s="18"/>
    </row>
    <row r="111" spans="1:19" x14ac:dyDescent="0.25">
      <c r="A111" s="17"/>
      <c r="B111" s="39"/>
      <c r="C111" s="39"/>
      <c r="D111" s="17"/>
      <c r="E111" s="36"/>
      <c r="F111" s="36"/>
      <c r="G111" s="36"/>
      <c r="H111" s="36"/>
      <c r="I111" s="40"/>
      <c r="J111" s="36"/>
      <c r="K111" s="36"/>
      <c r="L111" s="36"/>
      <c r="M111" s="36"/>
      <c r="O111" s="5"/>
      <c r="P111" s="5"/>
      <c r="Q111" s="5"/>
      <c r="R111" s="5"/>
      <c r="S111" s="5"/>
    </row>
    <row r="112" spans="1:19" x14ac:dyDescent="0.25">
      <c r="A112" s="17"/>
      <c r="B112" s="39"/>
      <c r="C112" s="39"/>
      <c r="D112" s="17"/>
      <c r="E112" s="36"/>
      <c r="F112" s="36"/>
      <c r="G112" s="36"/>
      <c r="H112" s="36"/>
      <c r="I112" s="40"/>
      <c r="J112" s="36"/>
      <c r="K112" s="36"/>
      <c r="L112" s="36"/>
      <c r="M112" s="36"/>
    </row>
    <row r="113" spans="1:13" x14ac:dyDescent="0.25">
      <c r="A113" s="17"/>
      <c r="B113" s="39"/>
      <c r="C113" s="41" t="s">
        <v>326</v>
      </c>
      <c r="D113" s="17"/>
      <c r="E113" s="36"/>
      <c r="F113" s="41" t="s">
        <v>28</v>
      </c>
      <c r="G113" s="41"/>
      <c r="H113" s="41"/>
      <c r="I113" s="36"/>
      <c r="J113" s="36"/>
      <c r="K113" s="36"/>
      <c r="L113" s="36"/>
      <c r="M113" s="36"/>
    </row>
  </sheetData>
  <sheetProtection algorithmName="SHA-512" hashValue="n1kG+m0+pBzKe+yZZuh5TkpDWR4dKKlk/cE24Nbl0ruZMQC3ynQ4Afm54JRRhaGi7uJdSY2eBVmPqwnk8Co0jQ==" saltValue="QBHrIrUbpvGmNnwXQ1//nw==" spinCount="100000" sheet="1" objects="1" scenarios="1" selectLockedCells="1" selectUnlockedCells="1"/>
  <mergeCells count="76">
    <mergeCell ref="A109:H109"/>
    <mergeCell ref="A110:H110"/>
    <mergeCell ref="A103:H103"/>
    <mergeCell ref="A104:H104"/>
    <mergeCell ref="A105:H105"/>
    <mergeCell ref="A106:H106"/>
    <mergeCell ref="A107:H107"/>
    <mergeCell ref="A108:H108"/>
    <mergeCell ref="A102:H102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90:H90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78:H78"/>
    <mergeCell ref="A60:H60"/>
    <mergeCell ref="A61:H61"/>
    <mergeCell ref="A62:H62"/>
    <mergeCell ref="A63:H63"/>
    <mergeCell ref="A64:H64"/>
    <mergeCell ref="A65:H65"/>
    <mergeCell ref="A66:H66"/>
    <mergeCell ref="A67:H67"/>
    <mergeCell ref="A68:AI68"/>
    <mergeCell ref="A76:H76"/>
    <mergeCell ref="A77:H77"/>
    <mergeCell ref="I15:L16"/>
    <mergeCell ref="M17:M18"/>
    <mergeCell ref="H15:H18"/>
    <mergeCell ref="I17:I18"/>
    <mergeCell ref="A59:H59"/>
    <mergeCell ref="A20:AI20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AI41"/>
    <mergeCell ref="J11:N13"/>
    <mergeCell ref="A4:C4"/>
    <mergeCell ref="I4:N4"/>
    <mergeCell ref="J17:J18"/>
    <mergeCell ref="L17:L18"/>
    <mergeCell ref="N17:N18"/>
    <mergeCell ref="A15:A18"/>
    <mergeCell ref="D15:D18"/>
    <mergeCell ref="C15:C18"/>
    <mergeCell ref="B15:B18"/>
    <mergeCell ref="A10:N10"/>
    <mergeCell ref="C11:E11"/>
    <mergeCell ref="D12:E12"/>
    <mergeCell ref="G17:G18"/>
    <mergeCell ref="M15:N16"/>
    <mergeCell ref="E15:G16"/>
  </mergeCells>
  <phoneticPr fontId="0" type="noConversion"/>
  <pageMargins left="0.23622047244094491" right="0.19685039370078741" top="0.35433070866141736" bottom="0.27559055118110237" header="0.27559055118110237" footer="0.19685039370078741"/>
  <pageSetup paperSize="9" scale="95" orientation="landscape" r:id="rId1"/>
  <headerFooter alignWithMargins="0"/>
  <colBreaks count="1" manualBreakCount="1">
    <brk id="14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Лок.См.Расч.Баз.-Инд.Методом</vt:lpstr>
      <vt:lpstr>'Лок.См.Расч.Баз.-Инд.Методом'!Заголовки_для_печати</vt:lpstr>
      <vt:lpstr>'Лок.См.Расч.Баз.-Инд.Методом'!Область_печати</vt:lpstr>
    </vt:vector>
  </TitlesOfParts>
  <Company>Grand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kuzmina</dc:creator>
  <cp:lastModifiedBy>Сафьянова Любовь Александровна</cp:lastModifiedBy>
  <cp:lastPrinted>2011-11-29T05:51:06Z</cp:lastPrinted>
  <dcterms:created xsi:type="dcterms:W3CDTF">2003-01-28T12:33:10Z</dcterms:created>
  <dcterms:modified xsi:type="dcterms:W3CDTF">2016-04-21T05:17:50Z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