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Фундаменты\Самусь Р.Люксембург, 2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'Лок.См.Расч.Баз.-Инд.Методом'!$A$1:$N$115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AI21" i="5" l="1"/>
  <c r="AI22" i="5"/>
  <c r="AI23" i="5"/>
  <c r="AI24" i="5"/>
  <c r="AI25" i="5"/>
  <c r="AI26" i="5"/>
  <c r="AI27" i="5"/>
  <c r="AI28" i="5"/>
  <c r="AI29" i="5"/>
  <c r="AI30" i="5"/>
  <c r="AI31" i="5"/>
  <c r="AI32" i="5"/>
  <c r="AI3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71" i="5"/>
  <c r="AI72" i="5"/>
  <c r="AI73" i="5"/>
  <c r="AI74" i="5"/>
  <c r="AI75" i="5"/>
  <c r="AI76" i="5"/>
  <c r="AI77" i="5"/>
  <c r="L71" i="5" l="1"/>
  <c r="L72" i="5"/>
  <c r="L73" i="5"/>
  <c r="L74" i="5"/>
  <c r="L75" i="5"/>
  <c r="L76" i="5"/>
  <c r="L77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C28" i="5"/>
  <c r="C74" i="5"/>
  <c r="C22" i="5"/>
  <c r="C72" i="5"/>
  <c r="C53" i="5"/>
  <c r="C58" i="5"/>
  <c r="C27" i="5"/>
  <c r="C55" i="5"/>
  <c r="C54" i="5"/>
  <c r="C51" i="5"/>
  <c r="C23" i="5"/>
  <c r="C52" i="5"/>
  <c r="C48" i="5"/>
  <c r="C59" i="5"/>
  <c r="C45" i="5"/>
  <c r="C56" i="5"/>
  <c r="C75" i="5"/>
  <c r="C49" i="5"/>
  <c r="C26" i="5"/>
  <c r="C32" i="5"/>
  <c r="C46" i="5"/>
  <c r="C29" i="5"/>
  <c r="C77" i="5"/>
  <c r="C24" i="5"/>
  <c r="C73" i="5"/>
  <c r="C50" i="5"/>
  <c r="C25" i="5"/>
  <c r="C33" i="5"/>
  <c r="C47" i="5"/>
  <c r="C30" i="5"/>
  <c r="C44" i="5"/>
  <c r="C21" i="5"/>
  <c r="C71" i="5"/>
  <c r="C76" i="5"/>
  <c r="C60" i="5"/>
  <c r="C31" i="5"/>
  <c r="C57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8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8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8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8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8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8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1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<sst xmlns="http://schemas.openxmlformats.org/spreadsheetml/2006/main" count="442" uniqueCount="332">
  <si>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</si>
  <si>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</si>
  <si>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</si>
  <si>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</si>
  <si>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</si>
  <si>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</si>
  <si>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</si>
  <si>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</si>
  <si>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</si>
  <si>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</si>
  <si>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</si>
  <si>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</si>
  <si>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</si>
  <si>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</si>
  <si>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</si>
  <si>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</si>
  <si>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</si>
  <si>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</si>
  <si>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</si>
  <si>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</si>
  <si>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</si>
  <si>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</si>
  <si>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</si>
  <si>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t xml:space="preserve">
ИНН/КПП /</t>
  </si>
  <si>
    <t>ЛОКАЛЬНЫЙ СМЕТНЫЙ РАСЧЕТ №  02-01-01</t>
  </si>
  <si>
    <t>Основание:  проект П-15-146-2-АС</t>
  </si>
  <si>
    <t>Проверил:____________________________</t>
  </si>
  <si>
    <t>Раздел 1. Демонтажные работы</t>
  </si>
  <si>
    <t>ФЕР01-01-009-23
ОЗП=1,15
ЭМ=1,25
ЗПМ=1,25
ТЗ=1,15
ТЗМ=1,25</t>
  </si>
  <si>
    <t>3717,53
615,96</t>
  </si>
  <si>
    <t>1.5. Разработка грунта в траншеях экскаваторами 'обратная лопата' с ковшом вместимостью 1; 0,65; 0,5; 0,4; 0,25 м3 в отвал; ЭМ=11,64; ЗПМ=16,9</t>
  </si>
  <si>
    <t>10464
2518</t>
  </si>
  <si>
    <t xml:space="preserve">
53,1</t>
  </si>
  <si>
    <t xml:space="preserve">
10,27</t>
  </si>
  <si>
    <t>НР 73%=95%*(0,85*0,9) от ФОТ</t>
  </si>
  <si>
    <t>СП 34%=50%*(0,8*0,85) от ФОТ</t>
  </si>
  <si>
    <t>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</si>
  <si>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Разработка траншей экскаватором «обратная лопата» с ковшом вместимостью 0,25 м3, группа грунтов: 2</t>
  </si>
  <si>
    <t>1000 м3 грунта</t>
  </si>
  <si>
    <t>ФЕР01-02-057-02
ОЗП=1,15
ЭМ=1,25
ЗПМ=1,25
ТЗ=1,15
ТЗМ=1,25</t>
  </si>
  <si>
    <t>1201,2
1201,2</t>
  </si>
  <si>
    <t>1.181 Разработка грунта вручную в траншеях, копание ям вручную без креплений для стоек и столбов: ОЗП=16,9</t>
  </si>
  <si>
    <t>НР 80% от ФОТ</t>
  </si>
  <si>
    <t>СП 45% от ФОТ</t>
  </si>
  <si>
    <t>Разработка грунта вручную в траншеях глубиной до 2 м без креплений с откосами, группа грунтов: 2 с вывозом</t>
  </si>
  <si>
    <t>100 м3 грунта</t>
  </si>
  <si>
    <t>ФЕР01-01-033-02
ОЗП=1,15
ЭМ=1,25
ЗПМ=1,25
ТЗ=1,15
ТЗМ=1,25</t>
  </si>
  <si>
    <t>527,5
102,89</t>
  </si>
  <si>
    <t>1.30. Засыпка траншей и котлованов бульдозерами мощностью 59; 79 кВт (80; 108 л.с.); ЭМ=15,38; ЗПМ=16,9</t>
  </si>
  <si>
    <t>1553
338</t>
  </si>
  <si>
    <t xml:space="preserve">
8,87</t>
  </si>
  <si>
    <t xml:space="preserve">
1,36</t>
  </si>
  <si>
    <t>Засыпка траншей и котлованов с перемещением грунта до 5 м бульдозерами мощностью: 59 кВт (80 л.с.), группа грунтов 2</t>
  </si>
  <si>
    <t>ФЕР01-02-061-01
ОЗП=1,15
ЭМ=1,25
ЗПМ=1,25
ТЗ=1,15
ТЗМ=1,25</t>
  </si>
  <si>
    <t>663,75
663,75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</si>
  <si>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</t>
  </si>
  <si>
    <t>Засыпка вручную траншей, пазух котлованов и ям, группа грунтов: 1</t>
  </si>
  <si>
    <t>ФЕР46-04-001-01
ОЗП=1,5
ЭМ=1,5
ЗПМ=1,5
ТЗ=1,5
ТЗМ=1,5</t>
  </si>
  <si>
    <t>200,58
71,23</t>
  </si>
  <si>
    <t>129,35
13,98</t>
  </si>
  <si>
    <t>46.57 Разборка: бутовых и бетонных  фундаментов: ОЗП=16,9; ЭМ=7,44; ЗПМ=16,9</t>
  </si>
  <si>
    <t>5625
1403</t>
  </si>
  <si>
    <t>8,35
1,39</t>
  </si>
  <si>
    <t>32,57
5,42</t>
  </si>
  <si>
    <t>НР 84%=110%*(0,85*0,9) от ФОТ</t>
  </si>
  <si>
    <t>СП 48%=70%*(0,8*0,85) от ФОТ</t>
  </si>
  <si>
    <t>((КОЭФ. УЧТЁННЫЕ В ИТОГАХ:
6. Ремонт существующих зданий (включая жилые дома) без расселения ОЗП=1,5; ЭМ=1,5; ЗПМ=1,5; ТЗ=1,5; ТЗМ=1,5))</t>
  </si>
  <si>
    <t>Разборка: бутовых фундаментов 3,9*2,4=93,36</t>
  </si>
  <si>
    <t>1 м3</t>
  </si>
  <si>
    <t>ФЕРр53-10-1
ОЗП=1,5
ЭМ=1,5
ЗПМ=1,5
ТЗ=1,5
ТЗМ=1,5</t>
  </si>
  <si>
    <t>2204,64
2090,88</t>
  </si>
  <si>
    <t>79.16 Подъем рубленных стен домкратом: ОЗП=16,9; ЭМ=7,94; ЗПМ=16,9</t>
  </si>
  <si>
    <t>НР 73%=86%*0,85 от ФОТ</t>
  </si>
  <si>
    <t>СП 56%=70%*0,8 от ФОТ</t>
  </si>
  <si>
    <t>Подъем рубленых стен домкратом</t>
  </si>
  <si>
    <t>100 подъемов</t>
  </si>
  <si>
    <t>ФЕРр53-1-6
ОЗП=1,5
ЭМ=1,5
ЗПМ=1,5
ТЗ=1,5
ТЗМ=1,5</t>
  </si>
  <si>
    <t>1478,51
769,61</t>
  </si>
  <si>
    <t>708,9
85,46</t>
  </si>
  <si>
    <t>79.1 Разборка деревянных стен: ОЗП=16,9; ЭМ=10,88; ЗПМ=16,9</t>
  </si>
  <si>
    <t>3482
659</t>
  </si>
  <si>
    <t>101,8
6,33</t>
  </si>
  <si>
    <t>30,54
1,9</t>
  </si>
  <si>
    <t>Разборка бревенчатых: неоштукатуренных стен</t>
  </si>
  <si>
    <t>100 м2 стен</t>
  </si>
  <si>
    <t>ФЕРр69-3-3
ОЗП=1,5
ЭМ=1,5
ЗПМ=1,5
ТЗ=1,5
ТЗМ=1,5
продухи</t>
  </si>
  <si>
    <t>820,1
612,45</t>
  </si>
  <si>
    <t>94.3 Прорезка отверстий в деревянных конструкциях для водогазопроводных и чугунных трубопроводов: ОЗП=16,9; ЭМ=7,35; ЗПМ=16,9</t>
  </si>
  <si>
    <t>НР 78% от ФОТ</t>
  </si>
  <si>
    <t>СП 50% от ФОТ</t>
  </si>
  <si>
    <t>Прорезка отверстий для водогазопроводных и чугунных трубопроводов в деревянных: перегородках оштукатуренных</t>
  </si>
  <si>
    <t>100 отверстий</t>
  </si>
  <si>
    <t>Разработка грунта вручную в траншеях глубиной до 2 м без креплений с откосами, группа грунтов: 2</t>
  </si>
  <si>
    <t>ФССЦпг01-01-01-041</t>
  </si>
  <si>
    <t>Мусор строительный, вручную: погрузка; ЭМ=11,13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</si>
  <si>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</si>
  <si>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</si>
  <si>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</si>
  <si>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</si>
  <si>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</si>
  <si>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</si>
  <si>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 лишний грунт 49,4 м3</t>
  </si>
  <si>
    <t>ФССЦпг03-21-01-005</t>
  </si>
  <si>
    <t>Перевозка грузов автомобилями-самосвалами грузоподъемностью 10 т, работающих вне карьера, на расстояние: до 5 км.: I класс груза; ЭМ=9,84</t>
  </si>
  <si>
    <t>НР 0% от ФОТ</t>
  </si>
  <si>
    <t>СП 0% от ФОТ</t>
  </si>
  <si>
    <t>Перевозка грузов автомобилями-самосвалами грузоподъемностью 10 т, работающих вне карьера, на расстояние: до 5 км I класс груза</t>
  </si>
  <si>
    <t>Итого прямые затраты по разделу в ценах 2001г.</t>
  </si>
  <si>
    <t>2890
216</t>
  </si>
  <si>
    <t>302,36
18,95</t>
  </si>
  <si>
    <t>Итого прямые затраты по разделу с учетом коэффициентов к итогам</t>
  </si>
  <si>
    <t>3480
291</t>
  </si>
  <si>
    <t>394,17
25,52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</si>
  <si>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</si>
  <si>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1, 3, 2, 9, 4, 10)</t>
  </si>
  <si>
    <t>200
34</t>
  </si>
  <si>
    <t>25,452
2,9075</t>
  </si>
  <si>
    <t xml:space="preserve">   6. Ремонт существующих зданий (включая жилые дома) без расселения ОЗП=1,5; ЭМ=1,5; ЗПМ=1,5; ТЗ=1,5; ТЗМ=1,5  (Поз. 5-8)</t>
  </si>
  <si>
    <t>389
41</t>
  </si>
  <si>
    <t>66,34
3,66</t>
  </si>
  <si>
    <t>Итого прямые затраты по разделу с учетом индексов, в текущих ценах</t>
  </si>
  <si>
    <t>35750
4918</t>
  </si>
  <si>
    <t>Накладные расходы</t>
  </si>
  <si>
    <t>Сметная прибыль</t>
  </si>
  <si>
    <t>Итого по разделу 1 Демонтажные работы</t>
  </si>
  <si>
    <t>Раздел 2. Устройство фундаментов</t>
  </si>
  <si>
    <t>ФЕР06-01-005-02
ОЗП=1,15
ЭМ=1,25
ЗПМ=1,25
ТЗ=1,15
ТЗМ=1,25</t>
  </si>
  <si>
    <t>64571,9
2728,86</t>
  </si>
  <si>
    <t>2017,76
266,31</t>
  </si>
  <si>
    <t>6.10. Устройство бетонных фундаментов общего назначения: ОЗП=16,9; ЭМ=11,26; ЗПМ=16,9; МАТ=5,07</t>
  </si>
  <si>
    <t>14784
2941</t>
  </si>
  <si>
    <t>322,56
19,8</t>
  </si>
  <si>
    <t>167,89
10,31</t>
  </si>
  <si>
    <t>НР 80%=105%*(0,85*0,9) от ФОТ</t>
  </si>
  <si>
    <t>СП 44%=65%*(0,8*0,85) от ФОТ</t>
  </si>
  <si>
    <t>Устройство бетонных фундаментов общего назначения объемом: до 25 м3</t>
  </si>
  <si>
    <t>100 м3 бетона и железобетона в деле</t>
  </si>
  <si>
    <t>ФССЦ-401-0023</t>
  </si>
  <si>
    <t>Бетон тяжелый, крупность заполнителя  более 40 мм, класс: В 7,5 (М100); МАТ=4,837</t>
  </si>
  <si>
    <t>Бетон тяжелый, крупность заполнителя: более 40 мм, класс В7,5 (М 100)</t>
  </si>
  <si>
    <t>м3</t>
  </si>
  <si>
    <t>ФССЦ-401-0026</t>
  </si>
  <si>
    <t>Бетон тяжелый  крупность заполнителя более 40 мм, класс: В 15 (М200); МАТ=5,031</t>
  </si>
  <si>
    <t>Бетон тяжелый, крупность заполнителя: более 40 мм, класс В15 (М200)</t>
  </si>
  <si>
    <t>ФЕР08-01-003-03
ОЗП=1,15
ЭМ=1,25
ЗПМ=1,25
ТЗ=1,15
ТЗМ=1,25</t>
  </si>
  <si>
    <t>4257,72
171,45</t>
  </si>
  <si>
    <t>8.6. Гидроизоляция стен, фундаментов: горизонтальная оклеечная: ОЗП=16,9; ЭМ=8,07; ЗПМ=16,9; МАТ=6,5</t>
  </si>
  <si>
    <t>НР 93%=122%*(0,85*0,9) от ФОТ</t>
  </si>
  <si>
    <t>СП 54%=80%*(0,8*0,85) от ФОТ</t>
  </si>
  <si>
    <t>Гидроизоляция стен, фундаментов: горизонтальная оклеечная в 2 слоя</t>
  </si>
  <si>
    <t>100 м2 изолируемой поверхности</t>
  </si>
  <si>
    <t>ФЕР08-01-003-01
ОЗП=1,15
ЭМ=1,25
ЗПМ=1,25
ТЗ=1,15
ТЗМ=1,25
по кирпичной кладке</t>
  </si>
  <si>
    <t>1934,23
325,85</t>
  </si>
  <si>
    <t>8.5. Гидроизоляция стен, фундаментов: горизонтальная цементная с жидким стеклом: ОЗП=16,9; ЭМ=11,82; ЗПМ=16,9; МАТ=5,84</t>
  </si>
  <si>
    <t>Гидроизоляция стен, фундаментов: горизонтальная цементная с жидким стеклом</t>
  </si>
  <si>
    <t>ФССЦ-113-0368</t>
  </si>
  <si>
    <t>Стекло жидкое калийное; МАТ=12,223</t>
  </si>
  <si>
    <t>Стекло жидкое калийное</t>
  </si>
  <si>
    <t>т</t>
  </si>
  <si>
    <t>ФЕР08-02-001-01
ОЗП=1,15
ЭМ=1,25
ЗПМ=1,25
ТЗ=1,15
ТЗМ=1,25</t>
  </si>
  <si>
    <t>890,84
44,87</t>
  </si>
  <si>
    <t>34,56
5,4</t>
  </si>
  <si>
    <t>8.14. Кладка стен из кирпича: ОЗП=16,9; ЭМ=12,12; ЗПМ=16,9; МАТ=4,7</t>
  </si>
  <si>
    <t>7405
1606</t>
  </si>
  <si>
    <t>5,4
0,4</t>
  </si>
  <si>
    <t>76,46
5,66</t>
  </si>
  <si>
    <t>Кладка стен кирпичных наружных: простых при высоте этажа до 4 м</t>
  </si>
  <si>
    <t>1 м3 кладки</t>
  </si>
  <si>
    <t>ФЕР26-01-036-01
ОЗП=1,15
ЭМ=1,25
ЗПМ=1,25
ТЗ=1,15
ТЗМ=1,25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</si>
  <si>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</si>
  <si>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</si>
  <si>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</t>
  </si>
  <si>
    <t>16,06
0,03</t>
  </si>
  <si>
    <t>6,42
0,01</t>
  </si>
  <si>
    <t>НР 100% от ФОТ</t>
  </si>
  <si>
    <t>СП 70% от ФОТ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</si>
  <si>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</si>
  <si>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</si>
  <si>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ФССЦ-104-0312</t>
  </si>
  <si>
    <t>2,06
2*1,03</t>
  </si>
  <si>
    <t>Плиты теплоизоляционные из экструзионного вспененного полистирола ПЕНОПЛЭКС-35; МАТ=3,877</t>
  </si>
  <si>
    <t>Плиты теплоизоляционные: из экструзионного вспененного полистирола ПЕНОПЛЭКС-35</t>
  </si>
  <si>
    <t>ФССЦ-101-2797</t>
  </si>
  <si>
    <t>Дюбель распорный с металлическим стержнем: 10х150 мм; МАТ=10,367</t>
  </si>
  <si>
    <t>Дюбель распорный с металлическим стержнем: 10х150 мм</t>
  </si>
  <si>
    <t>10 шт.</t>
  </si>
  <si>
    <t>ФЕР15-02-036-01
ПЗ=1,33
ОЗП=1,33*1,15
ЭМ=1,33*1,25
ЗПМ=1,33*1,25
МАТ=1,33
ТЗ=1,33*1,15
ТЗМ=1,33*1,25</t>
  </si>
  <si>
    <t>7999,25
1586,61</t>
  </si>
  <si>
    <t>70,81
25,22</t>
  </si>
  <si>
    <t>15.104 Штукатурка по сетке без устройства каркаса: стен и потолков: ОЗП=16,9; ЭМ=7,31; ЗПМ=16,9; МАТ=8,42</t>
  </si>
  <si>
    <t>322
270</t>
  </si>
  <si>
    <t>172,8335
1,9152</t>
  </si>
  <si>
    <t>86,42
0,96</t>
  </si>
  <si>
    <t>СП 37%=55%*(0,8*0,85) от ФОТ</t>
  </si>
  <si>
    <t>(Всего толщ. 40 мм ПЗ=1,33 (ОЗП=1,33; ЭМ=1,33 к расх.; ЗПМ=1,33; МАТ=1,33 к расх.; ТЗ=1,33; ТЗМ=1,33)(КОЭФ.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</si>
  <si>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Штукатурка по сетке без устройства каркаса: улучшенная стен</t>
  </si>
  <si>
    <t>100 м2 оштукатуриваемой поверхности</t>
  </si>
  <si>
    <t>ФЕР15-02-036-01
ПЗ=3
ОЗП=3*1,15
ЭМ=3*1,25
ЗПМ=3*1,25
МАТ=3
ТЗ=3*1,15
ТЗМ=3*1,25</t>
  </si>
  <si>
    <t>18043,41
3578,82</t>
  </si>
  <si>
    <t>159,72
56,88</t>
  </si>
  <si>
    <t>541
439</t>
  </si>
  <si>
    <t>389,85
4,32</t>
  </si>
  <si>
    <t>144,24
1,6</t>
  </si>
  <si>
    <t>(Всего толщ. 90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</si>
  <si>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ФЕР12-01-010-01
ОЗП=1,15
ЭМ=1,25
ЗПМ=1,25
ТЗ=1,15
ТЗМ=1,25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</si>
  <si>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</si>
  <si>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</si>
  <si>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</si>
  <si>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132
17</t>
  </si>
  <si>
    <t>112,75
0,2</t>
  </si>
  <si>
    <t>45,66
0,08</t>
  </si>
  <si>
    <t>НР 120% от ФОТ</t>
  </si>
  <si>
    <t>СП 65% от ФОТ</t>
  </si>
  <si>
    <t>Устройство мелких покрытий (брандмауэры, парапеты, свесы и т.п.) из листовой оцинкованной стали</t>
  </si>
  <si>
    <t>100 м2 покрытия</t>
  </si>
  <si>
    <t>ФЕРр69-10-1
ОЗП=1,5
ЭМ=1,5
ЗПМ=1,5
ТЗ=1,5
ТЗМ=1,5
прим. Сенеж</t>
  </si>
  <si>
    <t>90,17
21,41</t>
  </si>
  <si>
    <t>94.17 Антисептирование древесины: водными растворами: ОЗП=16,9; ЭМ=11,84; ЗПМ=16,9; МАТ=1,64</t>
  </si>
  <si>
    <t>Антисептирование древесины: водными растворами</t>
  </si>
  <si>
    <t>100 м2 обработанной поверхности</t>
  </si>
  <si>
    <t>ФЕРр69-10-6
ОЗП=1,5
ЭМ=1,5
ЗПМ=1,5
ТЗ=1,5
ТЗМ=1,5</t>
  </si>
  <si>
    <t>14,84
14,84</t>
  </si>
  <si>
    <t>При обработке отдельных мест и штучных элементов добавлять: к расценке 69-10-1</t>
  </si>
  <si>
    <t>ФЕРр69-10-11
ОЗП=1,5
ЭМ=1,5
ЗПМ=1,5
ТЗ=1,5
ТЗМ=1,5</t>
  </si>
  <si>
    <t>86,42
17,66</t>
  </si>
  <si>
    <t>При двухкратной обработке лесоматериалов с перерывом на просушку после первой обработки добавлять: к расценке 69-10-1</t>
  </si>
  <si>
    <t>ФССЦ-101-1066
продухи</t>
  </si>
  <si>
    <t>Просечно-вытяжной прокат горячекатаный в листах мерных размеров из стали С235 шириной 500 мм, толщиной 4 мм; МАТ=8,178</t>
  </si>
  <si>
    <t>Просечно-вытяжной прокат горячекатаный в листах мерных размеров из стали С235, шириной: 500 мм, толщиной 4 мм</t>
  </si>
  <si>
    <t>1874
250</t>
  </si>
  <si>
    <t>561,24
18,62</t>
  </si>
  <si>
    <t>2344
313</t>
  </si>
  <si>
    <t>645,53
23,28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</si>
  <si>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14, 17-18, 20-21, 24-26)</t>
  </si>
  <si>
    <t>469
63</t>
  </si>
  <si>
    <t>84,138
4,655</t>
  </si>
  <si>
    <t xml:space="preserve">   6. Ремонт существующих зданий (включая жилые дома) без расселения ОЗП=1,5; ЭМ=1,5; ЗПМ=1,5; ТЗ=1,5; ТЗМ=1,5  (Поз. 27-29)</t>
  </si>
  <si>
    <t>25570
5291</t>
  </si>
  <si>
    <t>Итого по разделу 2 Устройство фундаментов</t>
  </si>
  <si>
    <t>Раздел 3. Отмостка</t>
  </si>
  <si>
    <t>ФЕР01-01-036-01
ОЗП=1,15
ЭМ=1,25
ЗПМ=1,25
ТЗ=1,15
ТЗМ=1,25</t>
  </si>
  <si>
    <t>22,6
4,41</t>
  </si>
  <si>
    <t>1.33. Планировка площадей бульдозерами мощностью 59; 79; 132; 243 кВт (80; 108;180; 330 л.с.); ЭМ=15,16; ЗПМ=16,9</t>
  </si>
  <si>
    <t>61
17</t>
  </si>
  <si>
    <t xml:space="preserve">
0,38</t>
  </si>
  <si>
    <t xml:space="preserve">
0,05</t>
  </si>
  <si>
    <t>Планировка площадей бульдозерами мощностью: 59 кВт (80 л.с.)</t>
  </si>
  <si>
    <t>1000 м2 спланированной поверхности за 1 проход бульдозера</t>
  </si>
  <si>
    <t>ФЕР08-01-002-03
ОЗП=1,15
ЭМ=1,25
ЗПМ=1,25
ТЗ=1,15
ТЗМ=1,25</t>
  </si>
  <si>
    <t>291,38
20,43</t>
  </si>
  <si>
    <t>49,14
5,56</t>
  </si>
  <si>
    <t>8.4. Устройство основания под фундаменты: гравийного: ОЗП=16,9; ЭМ=6,71; ЗПМ=16,9; МАТ=5,21</t>
  </si>
  <si>
    <t>4455
1268</t>
  </si>
  <si>
    <t>2,5
0,54</t>
  </si>
  <si>
    <t>27
5,83</t>
  </si>
  <si>
    <t>Устройство основания под фундаменты: гравийного</t>
  </si>
  <si>
    <t>1 м3 основания</t>
  </si>
  <si>
    <t>ФССЦ-408-0111</t>
  </si>
  <si>
    <t>Гравий для строительных работ марка Др.16, фракция 20-40мм; МАТ=5,202</t>
  </si>
  <si>
    <t>Гравий для строительных работ марка: Др.16, фракция 20-40 мм</t>
  </si>
  <si>
    <t>ФССЦ-408-0200</t>
  </si>
  <si>
    <t>Смесь песчано-гравийная природная; МАТ=10,902</t>
  </si>
  <si>
    <t>Смесь песчано-гравийная природная</t>
  </si>
  <si>
    <t>ФЕР06-01-001-01
ОЗП=1,15
ЭМ=1,25
ЗПМ=1,25
ТЗ=1,15
ТЗМ=1,25</t>
  </si>
  <si>
    <t>58585,02
1404</t>
  </si>
  <si>
    <t>1590,53
243</t>
  </si>
  <si>
    <t>6.1. Устройство бетонной подготовки: ОЗП=16,9; ЭМ=12,1; ЗПМ=16,9; МАТ=5,02</t>
  </si>
  <si>
    <t>2602
558</t>
  </si>
  <si>
    <t>180
18</t>
  </si>
  <si>
    <t>19,44
1,94</t>
  </si>
  <si>
    <t>Устройство бетонной подготовки</t>
  </si>
  <si>
    <t>100 м3 бетона, бутобетона и железобетона в деле</t>
  </si>
  <si>
    <t>ФССЦ-401-0061</t>
  </si>
  <si>
    <t>Бетон тяжелый, крупность заполнителя 20 мм, класс:  В 3,5 (М50); МАТ=5,092</t>
  </si>
  <si>
    <t>Бетон тяжелый, крупность заполнителя: 20 мм, класс В3,5 (М50)</t>
  </si>
  <si>
    <t>ФССЦ-401-0063</t>
  </si>
  <si>
    <t>Бетон тяжелый, крупность заполнителя 20 мм, класс:  В 7,5 (М100); МАТ=5,4</t>
  </si>
  <si>
    <t>Бетон тяжелый, крупность заполнителя: 20 мм, класс В7,5 (М100)</t>
  </si>
  <si>
    <t>706
87</t>
  </si>
  <si>
    <t>46,44
7,82</t>
  </si>
  <si>
    <t>883
109</t>
  </si>
  <si>
    <t>53,41
9,78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</si>
  <si>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31-32, 35)</t>
  </si>
  <si>
    <t>177
22</t>
  </si>
  <si>
    <t>6,966
1,955</t>
  </si>
  <si>
    <t>7118
1843</t>
  </si>
  <si>
    <t>Итого по разделу 3 Отмостка</t>
  </si>
  <si>
    <t>Итого прямые затраты по смете в ценах 2001г.</t>
  </si>
  <si>
    <t>5470
553</t>
  </si>
  <si>
    <t>910,04
45,39</t>
  </si>
  <si>
    <t>Итого прямые затраты по смете с учетом коэффициентов к итогам</t>
  </si>
  <si>
    <t>6707
713</t>
  </si>
  <si>
    <t>1093,11
58,58</t>
  </si>
  <si>
    <t>Итого прямые затраты по смете с учетом индексов, в текущих ценах</t>
  </si>
  <si>
    <t>68438
12052</t>
  </si>
  <si>
    <t>Итоги по смете:</t>
  </si>
  <si>
    <t xml:space="preserve">  Земляные работы, выполняемые механизированным способом</t>
  </si>
  <si>
    <t xml:space="preserve">
14,6</t>
  </si>
  <si>
    <t xml:space="preserve">  Земляные работы, выполняемые ручным способом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</si>
  <si>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</si>
  <si>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48,86
8,13</t>
  </si>
  <si>
    <t xml:space="preserve">  Стены (ремонтно-строительные)</t>
  </si>
  <si>
    <t>132,93
2,85</t>
  </si>
  <si>
    <t xml:space="preserve">  Прочие ремонтно-строительные работы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</si>
  <si>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</si>
  <si>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</si>
  <si>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Бетонные и железобетонные монолитные конструкции в промышленном строительстве</t>
  </si>
  <si>
    <t>215,43
15,32</t>
  </si>
  <si>
    <t xml:space="preserve">  Материалы для строительных работ</t>
  </si>
  <si>
    <t xml:space="preserve">  Конструкции из кирпича и блоков</t>
  </si>
  <si>
    <t>157,88
14,37</t>
  </si>
  <si>
    <t xml:space="preserve">  Теплоизоляционные работы</t>
  </si>
  <si>
    <t>7,38
0,01</t>
  </si>
  <si>
    <t xml:space="preserve">  Отделочные работы</t>
  </si>
  <si>
    <t>265,26
3,2</t>
  </si>
  <si>
    <t xml:space="preserve">  Кровли</t>
  </si>
  <si>
    <t>52,51
0,1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</si>
  <si>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</si>
  <si>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</si>
  <si>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</si>
  <si>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</si>
  <si>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</si>
  <si>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</si>
  <si>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</si>
  <si>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</si>
  <si>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на   ремонт фундаментов</t>
  </si>
  <si>
    <t>Составлен(а) в текущих ценах по состоянию на 3 кв. 2015 года</t>
  </si>
  <si>
    <t>Стоимость единицы                                        (в базисном уровне цен с учетом всех коэффициентов к позиции)</t>
  </si>
  <si>
    <t>Общая стоимость                                                                    (в текущем уровне цен)</t>
  </si>
  <si>
    <t>Проведена проверка достоверности определения сметной стоимости</t>
  </si>
  <si>
    <t>Составила:____________________________</t>
  </si>
  <si>
    <t xml:space="preserve"> Капитальный ремонт общего имущества многоквартирного дома по адресу: Томская область, ЗАТО  Северск, п. Самусь, ул. Р.Люксембург,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</si>
</sst>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115"/>
  <sheetViews>
    <sheetView showGridLines="0" tabSelected="1" zoomScale="101" zoomScaleNormal="101" workbookViewId="0">
      <selection activeCell="AO22" sqref="AO22"/>
    </sheetView>
  </sheetViews>
  <sheetFormatPr defaultColWidth="9.109375" defaultRowHeight="13.2" x14ac:dyDescent="0.25"/>
  <cols>
    <col min="1" max="1" width="3.4414062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2" customWidth="1"/>
    <col min="6" max="6" width="8.88671875" style="32" customWidth="1"/>
    <col min="7" max="7" width="0.109375" style="32" hidden="1" customWidth="1"/>
    <col min="8" max="8" width="25.33203125" style="32" customWidth="1"/>
    <col min="9" max="9" width="9.6640625" style="32" customWidth="1"/>
    <col min="10" max="10" width="8.109375" style="32" customWidth="1"/>
    <col min="11" max="11" width="8.6640625" style="32" customWidth="1"/>
    <col min="12" max="12" width="8.88671875" style="32" hidden="1" customWidth="1"/>
    <col min="13" max="13" width="7.6640625" style="32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37" width="0" style="2" hidden="1" customWidth="1"/>
    <col min="38" max="16384" width="9.109375" style="2"/>
  </cols>
  <sheetData>
    <row r="1" spans="1:14" s="1" customFormat="1" x14ac:dyDescent="0.25">
      <c r="A1" s="14"/>
      <c r="B1" s="19"/>
      <c r="C1" s="14"/>
      <c r="E1" s="20"/>
      <c r="F1" s="21" t="s">
        <v>331</v>
      </c>
      <c r="G1" s="20"/>
      <c r="H1" s="22"/>
      <c r="I1" s="14"/>
      <c r="J1" s="14"/>
      <c r="K1" s="14"/>
      <c r="L1" s="14"/>
      <c r="M1" s="14"/>
    </row>
    <row r="2" spans="1:14" s="1" customFormat="1" x14ac:dyDescent="0.25">
      <c r="A2" s="7" t="s">
        <v>5</v>
      </c>
      <c r="B2" s="19"/>
      <c r="D2" s="22"/>
      <c r="F2" s="30" t="s">
        <v>1</v>
      </c>
      <c r="G2" s="30"/>
      <c r="J2" s="7"/>
      <c r="L2" s="7"/>
      <c r="M2" s="14"/>
      <c r="N2" s="23" t="s">
        <v>6</v>
      </c>
    </row>
    <row r="3" spans="1:14" s="1" customFormat="1" x14ac:dyDescent="0.25">
      <c r="A3" s="24" t="s">
        <v>7</v>
      </c>
      <c r="E3" s="14"/>
      <c r="F3" s="14"/>
      <c r="G3" s="14"/>
      <c r="H3" s="14"/>
      <c r="J3" s="7"/>
      <c r="L3" s="7"/>
      <c r="M3" s="14"/>
      <c r="N3" s="25" t="s">
        <v>0</v>
      </c>
    </row>
    <row r="4" spans="1:14" s="1" customFormat="1" ht="51" customHeight="1" x14ac:dyDescent="0.25">
      <c r="A4" s="86" t="s">
        <v>23</v>
      </c>
      <c r="B4" s="86"/>
      <c r="C4" s="86"/>
      <c r="F4" s="26" t="s">
        <v>24</v>
      </c>
      <c r="G4" s="14"/>
      <c r="I4" s="87" t="s">
        <v>23</v>
      </c>
      <c r="J4" s="87"/>
      <c r="K4" s="87"/>
      <c r="L4" s="87"/>
      <c r="M4" s="87"/>
      <c r="N4" s="87"/>
    </row>
    <row r="5" spans="1:14" s="1" customFormat="1" x14ac:dyDescent="0.25">
      <c r="A5" s="14"/>
      <c r="B5" s="14"/>
      <c r="C5" s="14"/>
      <c r="F5" s="14" t="s">
        <v>2</v>
      </c>
      <c r="G5" s="14"/>
      <c r="I5" s="14"/>
      <c r="J5" s="14"/>
      <c r="K5" s="14"/>
      <c r="L5" s="14"/>
      <c r="M5" s="14"/>
    </row>
    <row r="6" spans="1:14" s="1" customFormat="1" x14ac:dyDescent="0.25">
      <c r="A6" s="14"/>
      <c r="B6" s="14"/>
      <c r="C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" customFormat="1" x14ac:dyDescent="0.25">
      <c r="A7" s="14"/>
      <c r="B7" s="14"/>
      <c r="C7" s="27"/>
      <c r="D7" s="28" t="s">
        <v>325</v>
      </c>
      <c r="E7" s="29"/>
      <c r="F7" s="29"/>
      <c r="G7" s="29"/>
      <c r="H7" s="29"/>
      <c r="I7" s="30"/>
      <c r="J7" s="30"/>
      <c r="K7" s="30"/>
      <c r="L7" s="30"/>
      <c r="M7" s="14"/>
    </row>
    <row r="8" spans="1:14" s="1" customFormat="1" x14ac:dyDescent="0.25">
      <c r="A8" s="14"/>
      <c r="B8" s="14"/>
      <c r="C8" s="14"/>
      <c r="D8" s="31" t="s">
        <v>21</v>
      </c>
      <c r="E8" s="30"/>
      <c r="F8" s="30"/>
      <c r="G8" s="30"/>
      <c r="I8" s="30"/>
      <c r="J8" s="30"/>
      <c r="K8" s="30"/>
      <c r="L8" s="30"/>
      <c r="M8" s="14"/>
    </row>
    <row r="9" spans="1:14" s="1" customFormat="1" ht="7.5" customHeight="1" x14ac:dyDescent="0.25">
      <c r="A9" s="14"/>
      <c r="B9" s="14"/>
      <c r="C9" s="14"/>
      <c r="E9" s="14"/>
      <c r="F9" s="14"/>
      <c r="G9" s="14"/>
      <c r="H9" s="14"/>
      <c r="I9" s="14"/>
      <c r="J9" s="14"/>
      <c r="M9" s="14"/>
    </row>
    <row r="10" spans="1:14" x14ac:dyDescent="0.25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x14ac:dyDescent="0.25">
      <c r="A11" s="5" t="s">
        <v>10</v>
      </c>
      <c r="B11" s="6"/>
      <c r="C11" s="89">
        <v>849690</v>
      </c>
      <c r="D11" s="89"/>
      <c r="E11" s="89"/>
      <c r="F11" s="7" t="s">
        <v>9</v>
      </c>
      <c r="G11" s="8"/>
      <c r="H11" s="8"/>
      <c r="I11" s="8"/>
      <c r="J11" s="83" t="s">
        <v>329</v>
      </c>
      <c r="K11" s="84"/>
      <c r="L11" s="84"/>
      <c r="M11" s="84"/>
      <c r="N11" s="85"/>
    </row>
    <row r="12" spans="1:14" x14ac:dyDescent="0.25">
      <c r="A12" s="5" t="s">
        <v>20</v>
      </c>
      <c r="B12" s="6"/>
      <c r="C12" s="9"/>
      <c r="D12" s="90">
        <v>168193</v>
      </c>
      <c r="E12" s="90"/>
      <c r="F12" s="7" t="s">
        <v>9</v>
      </c>
      <c r="G12" s="8"/>
      <c r="H12" s="8"/>
      <c r="I12" s="8"/>
      <c r="J12" s="84"/>
      <c r="K12" s="84"/>
      <c r="L12" s="84"/>
      <c r="M12" s="84"/>
      <c r="N12" s="85"/>
    </row>
    <row r="13" spans="1:14" x14ac:dyDescent="0.25">
      <c r="A13" s="5" t="s">
        <v>326</v>
      </c>
      <c r="B13" s="2"/>
      <c r="C13" s="10"/>
      <c r="D13" s="11"/>
      <c r="E13" s="12"/>
      <c r="F13" s="33"/>
      <c r="G13" s="13"/>
      <c r="H13" s="13"/>
      <c r="I13" s="8"/>
      <c r="J13" s="84"/>
      <c r="K13" s="84"/>
      <c r="L13" s="84"/>
      <c r="M13" s="84"/>
      <c r="N13" s="85"/>
    </row>
    <row r="14" spans="1:14" ht="11.25" customHeight="1" x14ac:dyDescent="0.25">
      <c r="A14" s="14"/>
      <c r="B14" s="7"/>
      <c r="C14" s="7"/>
      <c r="D14" s="14"/>
      <c r="E14" s="8"/>
      <c r="F14" s="8"/>
      <c r="G14" s="8"/>
      <c r="H14" s="9"/>
      <c r="I14" s="8"/>
      <c r="J14" s="8"/>
      <c r="K14" s="8"/>
      <c r="L14" s="8"/>
      <c r="M14" s="8"/>
      <c r="N14" s="2" t="s">
        <v>9</v>
      </c>
    </row>
    <row r="15" spans="1:14" ht="12.75" customHeight="1" x14ac:dyDescent="0.25">
      <c r="A15" s="79" t="s">
        <v>3</v>
      </c>
      <c r="B15" s="79" t="s">
        <v>17</v>
      </c>
      <c r="C15" s="81" t="s">
        <v>22</v>
      </c>
      <c r="D15" s="81" t="s">
        <v>18</v>
      </c>
      <c r="E15" s="73" t="s">
        <v>327</v>
      </c>
      <c r="F15" s="92"/>
      <c r="G15" s="93"/>
      <c r="H15" s="81" t="s">
        <v>4</v>
      </c>
      <c r="I15" s="73" t="s">
        <v>328</v>
      </c>
      <c r="J15" s="74"/>
      <c r="K15" s="74"/>
      <c r="L15" s="75"/>
      <c r="M15" s="91" t="s">
        <v>19</v>
      </c>
      <c r="N15" s="75"/>
    </row>
    <row r="16" spans="1:14" s="4" customFormat="1" ht="38.25" customHeight="1" x14ac:dyDescent="0.25">
      <c r="A16" s="82"/>
      <c r="B16" s="82"/>
      <c r="C16" s="82"/>
      <c r="D16" s="82"/>
      <c r="E16" s="94"/>
      <c r="F16" s="95"/>
      <c r="G16" s="96"/>
      <c r="H16" s="82"/>
      <c r="I16" s="76"/>
      <c r="J16" s="77"/>
      <c r="K16" s="77"/>
      <c r="L16" s="78"/>
      <c r="M16" s="76"/>
      <c r="N16" s="78"/>
    </row>
    <row r="17" spans="1:35" s="4" customFormat="1" ht="12.75" customHeight="1" x14ac:dyDescent="0.25">
      <c r="A17" s="82"/>
      <c r="B17" s="82"/>
      <c r="C17" s="82"/>
      <c r="D17" s="82"/>
      <c r="E17" s="34" t="s">
        <v>12</v>
      </c>
      <c r="F17" s="34" t="s">
        <v>14</v>
      </c>
      <c r="G17" s="81" t="s">
        <v>16</v>
      </c>
      <c r="H17" s="82"/>
      <c r="I17" s="81" t="s">
        <v>12</v>
      </c>
      <c r="J17" s="81" t="s">
        <v>15</v>
      </c>
      <c r="K17" s="34" t="s">
        <v>14</v>
      </c>
      <c r="L17" s="81" t="s">
        <v>16</v>
      </c>
      <c r="M17" s="79" t="s">
        <v>8</v>
      </c>
      <c r="N17" s="81" t="s">
        <v>12</v>
      </c>
    </row>
    <row r="18" spans="1:35" s="4" customFormat="1" ht="11.25" customHeight="1" x14ac:dyDescent="0.25">
      <c r="A18" s="80"/>
      <c r="B18" s="80"/>
      <c r="C18" s="80"/>
      <c r="D18" s="80"/>
      <c r="E18" s="35" t="s">
        <v>11</v>
      </c>
      <c r="F18" s="34" t="s">
        <v>13</v>
      </c>
      <c r="G18" s="80"/>
      <c r="H18" s="80"/>
      <c r="I18" s="80"/>
      <c r="J18" s="80"/>
      <c r="K18" s="34" t="s">
        <v>13</v>
      </c>
      <c r="L18" s="80"/>
      <c r="M18" s="80"/>
      <c r="N18" s="80"/>
    </row>
    <row r="19" spans="1:35" x14ac:dyDescent="0.25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7</v>
      </c>
      <c r="I19" s="39">
        <v>8</v>
      </c>
      <c r="J19" s="39">
        <v>9</v>
      </c>
      <c r="K19" s="39">
        <v>10</v>
      </c>
      <c r="L19" s="39">
        <v>12</v>
      </c>
      <c r="M19" s="39">
        <v>11</v>
      </c>
      <c r="N19" s="39">
        <v>12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0"/>
      <c r="AB19" s="41"/>
      <c r="AC19" s="41"/>
      <c r="AD19" s="41"/>
      <c r="AE19" s="41"/>
      <c r="AF19" s="42"/>
      <c r="AG19" s="41"/>
      <c r="AH19" s="41"/>
      <c r="AI19" s="41"/>
    </row>
    <row r="20" spans="1:35" ht="21" customHeight="1" x14ac:dyDescent="0.25">
      <c r="A20" s="71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92.4" x14ac:dyDescent="0.25">
      <c r="A21" s="43">
        <v>1</v>
      </c>
      <c r="B21" s="44" t="s">
        <v>28</v>
      </c>
      <c r="C21" s="45" t="str">
        <f t="shared" ref="C21:C33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Разработка траншей экскаватором «обратная лопата» с ковшом вместимостью 0,25 м3, группа грунтов: 2
1000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1838 руб. НР 73%=95%*(0,85*0,9) от ФОТ (2518 руб.)
856 руб.СП 34%=50%*(0,8*0,85) от ФОТ (2518 руб.)
</v>
      </c>
      <c r="D21" s="43">
        <v>0.19350000000000001</v>
      </c>
      <c r="E21" s="46">
        <v>3717.53</v>
      </c>
      <c r="F21" s="46" t="s">
        <v>29</v>
      </c>
      <c r="G21" s="46"/>
      <c r="H21" s="62" t="s">
        <v>30</v>
      </c>
      <c r="I21" s="47">
        <v>10464</v>
      </c>
      <c r="J21" s="46"/>
      <c r="K21" s="46" t="s">
        <v>31</v>
      </c>
      <c r="L21" s="46" t="str">
        <f>IF(0.1935*0=0," ",TEXT(,ROUND((0.1935*0*1),2)))</f>
        <v xml:space="preserve"> </v>
      </c>
      <c r="M21" s="46" t="s">
        <v>32</v>
      </c>
      <c r="N21" s="46" t="s">
        <v>33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 t="s">
        <v>34</v>
      </c>
      <c r="AB21" s="49" t="s">
        <v>35</v>
      </c>
      <c r="AC21" s="49">
        <v>1838</v>
      </c>
      <c r="AD21" s="49">
        <v>856</v>
      </c>
      <c r="AE21" s="50" t="s">
        <v>36</v>
      </c>
      <c r="AF21" s="51" t="s">
        <v>37</v>
      </c>
      <c r="AG21" s="49" t="s">
        <v>38</v>
      </c>
      <c r="AH21" s="49"/>
      <c r="AI21" s="49">
        <f>0+2518</f>
        <v>2518</v>
      </c>
    </row>
    <row r="22" spans="1:35" ht="92.4" x14ac:dyDescent="0.25">
      <c r="A22" s="43">
        <v>2</v>
      </c>
      <c r="B22" s="44" t="s">
        <v>39</v>
      </c>
      <c r="C22" s="45" t="str">
        <f t="shared" ca="1" si="0"/>
        <v xml:space="preserve">Разработка грунта вручную в траншеях глубиной до 2 м без креплений с откосами, группа грунтов: 2 с вывозом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9221 руб. НР 80% от ФОТ (11526 руб.)
5187 руб.СП 45% от ФОТ (11526 руб.)
</v>
      </c>
      <c r="D22" s="43">
        <v>0.49399999999999999</v>
      </c>
      <c r="E22" s="46" t="s">
        <v>40</v>
      </c>
      <c r="F22" s="46"/>
      <c r="G22" s="46"/>
      <c r="H22" s="62" t="s">
        <v>41</v>
      </c>
      <c r="I22" s="47">
        <v>11526</v>
      </c>
      <c r="J22" s="46">
        <v>11526</v>
      </c>
      <c r="K22" s="46"/>
      <c r="L22" s="46" t="str">
        <f>IF(0.494*0=0," ",TEXT(,ROUND((0.494*0*1),2)))</f>
        <v xml:space="preserve"> </v>
      </c>
      <c r="M22" s="46">
        <v>154</v>
      </c>
      <c r="N22" s="46">
        <v>76.08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 t="s">
        <v>42</v>
      </c>
      <c r="AB22" s="49" t="s">
        <v>43</v>
      </c>
      <c r="AC22" s="49">
        <v>9221</v>
      </c>
      <c r="AD22" s="49">
        <v>5187</v>
      </c>
      <c r="AE22" s="50" t="s">
        <v>36</v>
      </c>
      <c r="AF22" s="51" t="s">
        <v>44</v>
      </c>
      <c r="AG22" s="49" t="s">
        <v>45</v>
      </c>
      <c r="AH22" s="49"/>
      <c r="AI22" s="49">
        <f>11526+0</f>
        <v>11526</v>
      </c>
    </row>
    <row r="23" spans="1:35" ht="92.4" x14ac:dyDescent="0.25">
      <c r="A23" s="43">
        <v>3</v>
      </c>
      <c r="B23" s="44" t="s">
        <v>46</v>
      </c>
      <c r="C23" s="45" t="str">
        <f t="shared" ca="1" si="0"/>
        <v xml:space="preserve">Засыпка траншей и котлованов с перемещением грунта до 5 м бульдозерами мощностью: 59 кВт (80 л.с.), группа грунтов 2
1000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247 руб. НР 73%=95%*(0,85*0,9) от ФОТ (338 руб.)
115 руб.СП 34%=50%*(0,8*0,85) от ФОТ (338 руб.)
</v>
      </c>
      <c r="D23" s="43">
        <v>0.1535</v>
      </c>
      <c r="E23" s="46">
        <v>527.5</v>
      </c>
      <c r="F23" s="46" t="s">
        <v>47</v>
      </c>
      <c r="G23" s="46"/>
      <c r="H23" s="62" t="s">
        <v>48</v>
      </c>
      <c r="I23" s="47">
        <v>1553</v>
      </c>
      <c r="J23" s="46"/>
      <c r="K23" s="46" t="s">
        <v>49</v>
      </c>
      <c r="L23" s="46" t="str">
        <f>IF(0.1535*0=0," ",TEXT(,ROUND((0.1535*0*1),2)))</f>
        <v xml:space="preserve"> </v>
      </c>
      <c r="M23" s="46" t="s">
        <v>50</v>
      </c>
      <c r="N23" s="46" t="s">
        <v>51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 t="s">
        <v>34</v>
      </c>
      <c r="AB23" s="49" t="s">
        <v>35</v>
      </c>
      <c r="AC23" s="49">
        <v>247</v>
      </c>
      <c r="AD23" s="49">
        <v>115</v>
      </c>
      <c r="AE23" s="50" t="s">
        <v>36</v>
      </c>
      <c r="AF23" s="51" t="s">
        <v>52</v>
      </c>
      <c r="AG23" s="49" t="s">
        <v>38</v>
      </c>
      <c r="AH23" s="49"/>
      <c r="AI23" s="49">
        <f>0+338</f>
        <v>338</v>
      </c>
    </row>
    <row r="24" spans="1:35" ht="92.4" x14ac:dyDescent="0.25">
      <c r="A24" s="43">
        <v>4</v>
      </c>
      <c r="B24" s="44" t="s">
        <v>53</v>
      </c>
      <c r="C24" s="45" t="str">
        <f t="shared" ca="1" si="0"/>
        <v xml:space="preserve">Засыпка вручную траншей, пазух котлованов и ям, группа грунтов: 1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4137 руб. НР 80% от ФОТ (5171 руб.)
2327 руб.СП 45% от ФОТ (5171 руб.)
</v>
      </c>
      <c r="D24" s="43">
        <v>0.4</v>
      </c>
      <c r="E24" s="46" t="s">
        <v>54</v>
      </c>
      <c r="F24" s="46"/>
      <c r="G24" s="46"/>
      <c r="H24" s="62" t="s">
        <v>55</v>
      </c>
      <c r="I24" s="47">
        <v>5171</v>
      </c>
      <c r="J24" s="46">
        <v>5171</v>
      </c>
      <c r="K24" s="46"/>
      <c r="L24" s="46" t="str">
        <f>IF(0.4*0=0," ",TEXT(,ROUND((0.4*0*1),2)))</f>
        <v xml:space="preserve"> </v>
      </c>
      <c r="M24" s="46">
        <v>88.5</v>
      </c>
      <c r="N24" s="46">
        <v>35.4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 t="s">
        <v>42</v>
      </c>
      <c r="AB24" s="49" t="s">
        <v>43</v>
      </c>
      <c r="AC24" s="49">
        <v>4137</v>
      </c>
      <c r="AD24" s="49">
        <v>2327</v>
      </c>
      <c r="AE24" s="50" t="s">
        <v>36</v>
      </c>
      <c r="AF24" s="51" t="s">
        <v>56</v>
      </c>
      <c r="AG24" s="49" t="s">
        <v>45</v>
      </c>
      <c r="AH24" s="49"/>
      <c r="AI24" s="49">
        <f>5171+0</f>
        <v>5171</v>
      </c>
    </row>
    <row r="25" spans="1:35" ht="92.4" x14ac:dyDescent="0.25">
      <c r="A25" s="43">
        <v>5</v>
      </c>
      <c r="B25" s="44" t="s">
        <v>57</v>
      </c>
      <c r="C25" s="45" t="str">
        <f t="shared" ca="1" si="0"/>
        <v xml:space="preserve">Разборка: бутовых фундаментов 3,9*2,4=93,36
1 м3
((КОЭФ. УЧТЁННЫЕ В ИТОГАХ:
6. Ремонт существующих зданий (включая жилые дома) без расселения ОЗП=1,5; ЭМ=1,5; ЗПМ=1,5; ТЗ=1,5; ТЗМ=1,5))
7098 руб. НР 84%=110%*(0,85*0,9) от ФОТ (8450 руб.)
4056 руб.СП 48%=70%*(0,8*0,85) от ФОТ (8450 руб.)
</v>
      </c>
      <c r="D25" s="43">
        <v>3.9</v>
      </c>
      <c r="E25" s="46" t="s">
        <v>58</v>
      </c>
      <c r="F25" s="46" t="s">
        <v>59</v>
      </c>
      <c r="G25" s="46"/>
      <c r="H25" s="62" t="s">
        <v>60</v>
      </c>
      <c r="I25" s="47">
        <v>12672</v>
      </c>
      <c r="J25" s="46">
        <v>7047</v>
      </c>
      <c r="K25" s="46" t="s">
        <v>61</v>
      </c>
      <c r="L25" s="46" t="str">
        <f>IF(3.9*0=0," ",TEXT(,ROUND((3.9*0*1),2)))</f>
        <v xml:space="preserve"> </v>
      </c>
      <c r="M25" s="46" t="s">
        <v>62</v>
      </c>
      <c r="N25" s="46" t="s">
        <v>63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 t="s">
        <v>64</v>
      </c>
      <c r="AB25" s="49" t="s">
        <v>65</v>
      </c>
      <c r="AC25" s="49">
        <v>7098</v>
      </c>
      <c r="AD25" s="49">
        <v>4056</v>
      </c>
      <c r="AE25" s="50" t="s">
        <v>66</v>
      </c>
      <c r="AF25" s="51" t="s">
        <v>67</v>
      </c>
      <c r="AG25" s="49" t="s">
        <v>68</v>
      </c>
      <c r="AH25" s="49"/>
      <c r="AI25" s="49">
        <f>7047+1403</f>
        <v>8450</v>
      </c>
    </row>
    <row r="26" spans="1:35" ht="79.2" x14ac:dyDescent="0.25">
      <c r="A26" s="43">
        <v>6</v>
      </c>
      <c r="B26" s="44" t="s">
        <v>69</v>
      </c>
      <c r="C26" s="45" t="str">
        <f t="shared" ca="1" si="0"/>
        <v xml:space="preserve">Подъем рубленых стен домкратом
100 подъемов
((КОЭФ. УЧТЁННЫЕ В ИТОГАХ:
6. Ремонт существующих зданий (включая жилые дома) без расселения ОЗП=1,5; ЭМ=1,5; ЗПМ=1,5; ТЗ=1,5; ТЗМ=1,5))
9290 руб. НР 73%=86%*0,85 от ФОТ (12726 руб.)
7127 руб.СП 56%=70%*0,8 от ФОТ (12726 руб.)
</v>
      </c>
      <c r="D26" s="43">
        <v>0.24</v>
      </c>
      <c r="E26" s="46" t="s">
        <v>70</v>
      </c>
      <c r="F26" s="46">
        <v>113.76</v>
      </c>
      <c r="G26" s="46"/>
      <c r="H26" s="62" t="s">
        <v>71</v>
      </c>
      <c r="I26" s="47">
        <v>13052</v>
      </c>
      <c r="J26" s="46">
        <v>12726</v>
      </c>
      <c r="K26" s="46">
        <v>326</v>
      </c>
      <c r="L26" s="46" t="str">
        <f>IF(0.24*0=0," ",TEXT(,ROUND((0.24*0*1),2)))</f>
        <v xml:space="preserve"> </v>
      </c>
      <c r="M26" s="46">
        <v>242</v>
      </c>
      <c r="N26" s="46">
        <v>58.08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 t="s">
        <v>72</v>
      </c>
      <c r="AB26" s="49" t="s">
        <v>73</v>
      </c>
      <c r="AC26" s="49">
        <v>9290</v>
      </c>
      <c r="AD26" s="49">
        <v>7127</v>
      </c>
      <c r="AE26" s="50" t="s">
        <v>66</v>
      </c>
      <c r="AF26" s="51" t="s">
        <v>74</v>
      </c>
      <c r="AG26" s="49" t="s">
        <v>75</v>
      </c>
      <c r="AH26" s="49"/>
      <c r="AI26" s="49">
        <f>12726+0</f>
        <v>12726</v>
      </c>
    </row>
    <row r="27" spans="1:35" ht="79.2" x14ac:dyDescent="0.25">
      <c r="A27" s="43">
        <v>7</v>
      </c>
      <c r="B27" s="44" t="s">
        <v>76</v>
      </c>
      <c r="C27" s="45" t="str">
        <f t="shared" ca="1" si="0"/>
        <v xml:space="preserve">Разборка бревенчатых: неоштукатуренных стен
100 м2 стен
((КОЭФ. УЧТЁННЫЕ В ИТОГАХ:
6. Ремонт существующих зданий (включая жилые дома) без расселения ОЗП=1,5; ЭМ=1,5; ЗПМ=1,5; ТЗ=1,5; ТЗМ=1,5))
4762 руб. НР 73%=86%*0,85 от ФОТ (6523 руб.)
3653 руб.СП 56%=70%*0,8 от ФОТ (6523 руб.)
</v>
      </c>
      <c r="D27" s="43">
        <v>0.3</v>
      </c>
      <c r="E27" s="46" t="s">
        <v>77</v>
      </c>
      <c r="F27" s="46" t="s">
        <v>78</v>
      </c>
      <c r="G27" s="46"/>
      <c r="H27" s="62" t="s">
        <v>79</v>
      </c>
      <c r="I27" s="47">
        <v>9346</v>
      </c>
      <c r="J27" s="46">
        <v>5864</v>
      </c>
      <c r="K27" s="46" t="s">
        <v>80</v>
      </c>
      <c r="L27" s="46" t="str">
        <f>IF(0.3*0=0," ",TEXT(,ROUND((0.3*0*1),2)))</f>
        <v xml:space="preserve"> </v>
      </c>
      <c r="M27" s="46" t="s">
        <v>81</v>
      </c>
      <c r="N27" s="46" t="s">
        <v>82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 t="s">
        <v>72</v>
      </c>
      <c r="AB27" s="49" t="s">
        <v>73</v>
      </c>
      <c r="AC27" s="49">
        <v>4762</v>
      </c>
      <c r="AD27" s="49">
        <v>3653</v>
      </c>
      <c r="AE27" s="50" t="s">
        <v>66</v>
      </c>
      <c r="AF27" s="51" t="s">
        <v>83</v>
      </c>
      <c r="AG27" s="49" t="s">
        <v>84</v>
      </c>
      <c r="AH27" s="49"/>
      <c r="AI27" s="49">
        <f>5864+659</f>
        <v>6523</v>
      </c>
    </row>
    <row r="28" spans="1:35" ht="92.4" x14ac:dyDescent="0.25">
      <c r="A28" s="43">
        <v>8</v>
      </c>
      <c r="B28" s="44" t="s">
        <v>85</v>
      </c>
      <c r="C28" s="45" t="str">
        <f t="shared" ca="1" si="0"/>
        <v xml:space="preserve">Прорезка отверстий для водогазопроводных и чугунных трубопроводов в деревянных: перегородках оштукатуренных
100 отверстий
((КОЭФ. УЧТЁННЫЕ В ИТОГАХ:
6. Ремонт существующих зданий (включая жилые дома) без расселения ОЗП=1,5; ЭМ=1,5; ЗПМ=1,5; ТЗ=1,5; ТЗМ=1,5))
1938 руб. НР 78% от ФОТ (2484 руб.)
1242 руб.СП 50% от ФОТ (2484 руб.)
</v>
      </c>
      <c r="D28" s="43">
        <v>0.16</v>
      </c>
      <c r="E28" s="46" t="s">
        <v>86</v>
      </c>
      <c r="F28" s="46">
        <v>207.65</v>
      </c>
      <c r="G28" s="46"/>
      <c r="H28" s="62" t="s">
        <v>87</v>
      </c>
      <c r="I28" s="47">
        <v>2852</v>
      </c>
      <c r="J28" s="46">
        <v>2484</v>
      </c>
      <c r="K28" s="46">
        <v>368</v>
      </c>
      <c r="L28" s="46" t="str">
        <f>IF(0.16*0=0," ",TEXT(,ROUND((0.16*0*1),2)))</f>
        <v xml:space="preserve"> </v>
      </c>
      <c r="M28" s="46">
        <v>71.8</v>
      </c>
      <c r="N28" s="46">
        <v>11.49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 t="s">
        <v>88</v>
      </c>
      <c r="AB28" s="49" t="s">
        <v>89</v>
      </c>
      <c r="AC28" s="49">
        <v>1938</v>
      </c>
      <c r="AD28" s="49">
        <v>1242</v>
      </c>
      <c r="AE28" s="50" t="s">
        <v>66</v>
      </c>
      <c r="AF28" s="51" t="s">
        <v>90</v>
      </c>
      <c r="AG28" s="49" t="s">
        <v>91</v>
      </c>
      <c r="AH28" s="49"/>
      <c r="AI28" s="49">
        <f>2484+0</f>
        <v>2484</v>
      </c>
    </row>
    <row r="29" spans="1:35" ht="92.4" x14ac:dyDescent="0.25">
      <c r="A29" s="43">
        <v>9</v>
      </c>
      <c r="B29" s="44" t="s">
        <v>39</v>
      </c>
      <c r="C29" s="45" t="str">
        <f t="shared" ca="1" si="0"/>
        <v xml:space="preserve">Разработка грунта вручную в траншеях глубиной до 2 м без креплений с откосами, группа грунтов: 2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4475 руб. НР 80% от ФОТ (5594 руб.)
2517 руб.СП 45% от ФОТ (5594 руб.)
</v>
      </c>
      <c r="D29" s="43">
        <v>0.24</v>
      </c>
      <c r="E29" s="46" t="s">
        <v>40</v>
      </c>
      <c r="F29" s="46"/>
      <c r="G29" s="46"/>
      <c r="H29" s="62" t="s">
        <v>41</v>
      </c>
      <c r="I29" s="47">
        <v>5594</v>
      </c>
      <c r="J29" s="46">
        <v>5594</v>
      </c>
      <c r="K29" s="46"/>
      <c r="L29" s="46" t="str">
        <f>IF(0.24*0=0," ",TEXT(,ROUND((0.24*0*1),2)))</f>
        <v xml:space="preserve"> </v>
      </c>
      <c r="M29" s="46">
        <v>154</v>
      </c>
      <c r="N29" s="46">
        <v>36.96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 t="s">
        <v>42</v>
      </c>
      <c r="AB29" s="49" t="s">
        <v>43</v>
      </c>
      <c r="AC29" s="49">
        <v>4475</v>
      </c>
      <c r="AD29" s="49">
        <v>2517</v>
      </c>
      <c r="AE29" s="50" t="s">
        <v>36</v>
      </c>
      <c r="AF29" s="51" t="s">
        <v>92</v>
      </c>
      <c r="AG29" s="49" t="s">
        <v>45</v>
      </c>
      <c r="AH29" s="49"/>
      <c r="AI29" s="49">
        <f>5594+0</f>
        <v>5594</v>
      </c>
    </row>
    <row r="30" spans="1:35" ht="92.4" x14ac:dyDescent="0.25">
      <c r="A30" s="43">
        <v>10</v>
      </c>
      <c r="B30" s="44" t="s">
        <v>53</v>
      </c>
      <c r="C30" s="45" t="str">
        <f t="shared" ca="1" si="0"/>
        <v xml:space="preserve">Засыпка вручную траншей, пазух котлованов и ям, группа грунтов: 1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2474 руб. НР 80% от ФОТ (3093 руб.)
1392 руб.СП 45% от ФОТ (3093 руб.)
</v>
      </c>
      <c r="D30" s="43">
        <v>0.24</v>
      </c>
      <c r="E30" s="46" t="s">
        <v>54</v>
      </c>
      <c r="F30" s="46"/>
      <c r="G30" s="46"/>
      <c r="H30" s="62" t="s">
        <v>55</v>
      </c>
      <c r="I30" s="47">
        <v>3093</v>
      </c>
      <c r="J30" s="46">
        <v>3093</v>
      </c>
      <c r="K30" s="46"/>
      <c r="L30" s="46" t="str">
        <f>IF(0.24*0=0," ",TEXT(,ROUND((0.24*0*1),2)))</f>
        <v xml:space="preserve"> </v>
      </c>
      <c r="M30" s="46">
        <v>88.5</v>
      </c>
      <c r="N30" s="46">
        <v>21.24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 t="s">
        <v>42</v>
      </c>
      <c r="AB30" s="49" t="s">
        <v>43</v>
      </c>
      <c r="AC30" s="49">
        <v>2474</v>
      </c>
      <c r="AD30" s="49">
        <v>1392</v>
      </c>
      <c r="AE30" s="50" t="s">
        <v>36</v>
      </c>
      <c r="AF30" s="51" t="s">
        <v>56</v>
      </c>
      <c r="AG30" s="49" t="s">
        <v>45</v>
      </c>
      <c r="AH30" s="49"/>
      <c r="AI30" s="49">
        <f>3093+0</f>
        <v>3093</v>
      </c>
    </row>
    <row r="31" spans="1:35" ht="52.8" x14ac:dyDescent="0.25">
      <c r="A31" s="43">
        <v>11</v>
      </c>
      <c r="B31" s="44" t="s">
        <v>93</v>
      </c>
      <c r="C31" s="45" t="str">
        <f t="shared" ca="1" si="0"/>
        <v xml:space="preserve">Погрузочные работы при автомобильных перевозках: мусора строительного с погрузкой вручную
1 т груза
</v>
      </c>
      <c r="D31" s="43">
        <v>9.42</v>
      </c>
      <c r="E31" s="46">
        <v>42.98</v>
      </c>
      <c r="F31" s="46">
        <v>42.98</v>
      </c>
      <c r="G31" s="46"/>
      <c r="H31" s="62" t="s">
        <v>94</v>
      </c>
      <c r="I31" s="47">
        <v>4508</v>
      </c>
      <c r="J31" s="46"/>
      <c r="K31" s="46">
        <v>4508</v>
      </c>
      <c r="L31" s="46" t="str">
        <f>IF(9.42*0=0," ",TEXT(,ROUND((9.42*0*1),2)))</f>
        <v xml:space="preserve"> </v>
      </c>
      <c r="M31" s="46"/>
      <c r="N31" s="46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 t="s">
        <v>95</v>
      </c>
      <c r="AB31" s="49" t="s">
        <v>96</v>
      </c>
      <c r="AC31" s="49"/>
      <c r="AD31" s="49"/>
      <c r="AE31" s="49"/>
      <c r="AF31" s="51" t="s">
        <v>97</v>
      </c>
      <c r="AG31" s="49" t="s">
        <v>98</v>
      </c>
      <c r="AH31" s="49"/>
      <c r="AI31" s="49">
        <f>0+0</f>
        <v>0</v>
      </c>
    </row>
    <row r="32" spans="1:35" ht="52.8" x14ac:dyDescent="0.25">
      <c r="A32" s="43">
        <v>12</v>
      </c>
      <c r="B32" s="44" t="s">
        <v>99</v>
      </c>
      <c r="C32" s="45" t="str">
        <f t="shared" ca="1" si="0"/>
        <v xml:space="preserve">Погрузочные работы при автомобильных перевозках: мусора строительного с погрузкой экскаваторами емкостью ковша до 0,5 м3 лишний грунт 49,4 м3
1 т груза
</v>
      </c>
      <c r="D32" s="43">
        <v>84.79</v>
      </c>
      <c r="E32" s="46">
        <v>3.28</v>
      </c>
      <c r="F32" s="46">
        <v>3.28</v>
      </c>
      <c r="G32" s="46"/>
      <c r="H32" s="62" t="s">
        <v>100</v>
      </c>
      <c r="I32" s="47">
        <v>3225</v>
      </c>
      <c r="J32" s="46"/>
      <c r="K32" s="46">
        <v>3225</v>
      </c>
      <c r="L32" s="46" t="str">
        <f>IF(84.79*0=0," ",TEXT(,ROUND((84.79*0*1),2)))</f>
        <v xml:space="preserve"> </v>
      </c>
      <c r="M32" s="46"/>
      <c r="N32" s="46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 t="s">
        <v>95</v>
      </c>
      <c r="AB32" s="49" t="s">
        <v>96</v>
      </c>
      <c r="AC32" s="49"/>
      <c r="AD32" s="49"/>
      <c r="AE32" s="49"/>
      <c r="AF32" s="51" t="s">
        <v>101</v>
      </c>
      <c r="AG32" s="49" t="s">
        <v>98</v>
      </c>
      <c r="AH32" s="49"/>
      <c r="AI32" s="49">
        <f>0+0</f>
        <v>0</v>
      </c>
    </row>
    <row r="33" spans="1:35" ht="87" customHeight="1" x14ac:dyDescent="0.25">
      <c r="A33" s="52">
        <v>13</v>
      </c>
      <c r="B33" s="53" t="s">
        <v>102</v>
      </c>
      <c r="C33" s="54" t="str">
        <f t="shared" ca="1" si="0"/>
        <v xml:space="preserve">Перевозка грузов автомобилями-самосвалами грузоподъемностью 10 т, работающих вне карьера, на расстояние: до 5 км I класс груза
1 т груза
</v>
      </c>
      <c r="D33" s="52">
        <v>94.21</v>
      </c>
      <c r="E33" s="55">
        <v>6.69</v>
      </c>
      <c r="F33" s="55">
        <v>6.69</v>
      </c>
      <c r="G33" s="55"/>
      <c r="H33" s="56" t="s">
        <v>103</v>
      </c>
      <c r="I33" s="57">
        <v>6199</v>
      </c>
      <c r="J33" s="55"/>
      <c r="K33" s="55">
        <v>6199</v>
      </c>
      <c r="L33" s="55" t="str">
        <f>IF(94.21*0=0," ",TEXT(,ROUND((94.21*0*1),2)))</f>
        <v xml:space="preserve"> </v>
      </c>
      <c r="M33" s="55"/>
      <c r="N33" s="55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 t="s">
        <v>104</v>
      </c>
      <c r="AB33" s="49" t="s">
        <v>105</v>
      </c>
      <c r="AC33" s="49"/>
      <c r="AD33" s="49"/>
      <c r="AE33" s="49"/>
      <c r="AF33" s="51" t="s">
        <v>106</v>
      </c>
      <c r="AG33" s="49" t="s">
        <v>98</v>
      </c>
      <c r="AH33" s="49"/>
      <c r="AI33" s="49">
        <f>0+0</f>
        <v>0</v>
      </c>
    </row>
    <row r="34" spans="1:35" ht="26.4" x14ac:dyDescent="0.25">
      <c r="A34" s="68" t="s">
        <v>107</v>
      </c>
      <c r="B34" s="65"/>
      <c r="C34" s="65"/>
      <c r="D34" s="65"/>
      <c r="E34" s="65"/>
      <c r="F34" s="65"/>
      <c r="G34" s="65"/>
      <c r="H34" s="65"/>
      <c r="I34" s="47">
        <v>5305</v>
      </c>
      <c r="J34" s="46">
        <v>2415</v>
      </c>
      <c r="K34" s="46" t="s">
        <v>108</v>
      </c>
      <c r="L34" s="46"/>
      <c r="M34" s="46"/>
      <c r="N34" s="46" t="s">
        <v>109</v>
      </c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F34" s="4"/>
    </row>
    <row r="35" spans="1:35" ht="26.4" x14ac:dyDescent="0.25">
      <c r="A35" s="68" t="s">
        <v>110</v>
      </c>
      <c r="B35" s="65"/>
      <c r="C35" s="65"/>
      <c r="D35" s="65"/>
      <c r="E35" s="65"/>
      <c r="F35" s="65"/>
      <c r="G35" s="65"/>
      <c r="H35" s="65"/>
      <c r="I35" s="47">
        <v>6646</v>
      </c>
      <c r="J35" s="46">
        <v>3166</v>
      </c>
      <c r="K35" s="46" t="s">
        <v>111</v>
      </c>
      <c r="L35" s="46"/>
      <c r="M35" s="46"/>
      <c r="N35" s="46" t="s">
        <v>112</v>
      </c>
      <c r="O35" s="17"/>
      <c r="P35" s="18"/>
      <c r="Q35" s="17"/>
      <c r="R35" s="17"/>
      <c r="S35" s="17"/>
      <c r="T35" s="17"/>
      <c r="U35" s="17"/>
      <c r="V35" s="17"/>
      <c r="W35" s="17"/>
      <c r="X35" s="17"/>
      <c r="Y35" s="17"/>
      <c r="Z35" s="17"/>
      <c r="AF35" s="4"/>
    </row>
    <row r="36" spans="1:35" x14ac:dyDescent="0.25">
      <c r="A36" s="68" t="s">
        <v>113</v>
      </c>
      <c r="B36" s="65"/>
      <c r="C36" s="65"/>
      <c r="D36" s="65"/>
      <c r="E36" s="65"/>
      <c r="F36" s="65"/>
      <c r="G36" s="65"/>
      <c r="H36" s="65"/>
      <c r="I36" s="47"/>
      <c r="J36" s="46"/>
      <c r="K36" s="46"/>
      <c r="L36" s="46"/>
      <c r="M36" s="46"/>
      <c r="N36" s="46"/>
      <c r="O36" s="17"/>
      <c r="P36" s="18"/>
      <c r="Q36" s="17"/>
      <c r="R36" s="17"/>
      <c r="S36" s="17"/>
      <c r="T36" s="63"/>
      <c r="U36" s="63"/>
      <c r="V36" s="63"/>
      <c r="W36" s="63"/>
      <c r="X36" s="63"/>
      <c r="Y36" s="63"/>
      <c r="Z36" s="63"/>
    </row>
    <row r="37" spans="1:35" ht="27.9" customHeight="1" x14ac:dyDescent="0.25">
      <c r="A37" s="68" t="s">
        <v>114</v>
      </c>
      <c r="B37" s="65"/>
      <c r="C37" s="65"/>
      <c r="D37" s="65"/>
      <c r="E37" s="65"/>
      <c r="F37" s="65"/>
      <c r="G37" s="65"/>
      <c r="H37" s="65"/>
      <c r="I37" s="47">
        <v>396</v>
      </c>
      <c r="J37" s="46">
        <v>196</v>
      </c>
      <c r="K37" s="46" t="s">
        <v>115</v>
      </c>
      <c r="L37" s="46"/>
      <c r="M37" s="46"/>
      <c r="N37" s="46" t="s">
        <v>116</v>
      </c>
      <c r="O37" s="17"/>
      <c r="P37" s="18"/>
      <c r="Q37" s="17"/>
      <c r="R37" s="17"/>
      <c r="S37" s="17"/>
    </row>
    <row r="38" spans="1:35" ht="27.9" customHeight="1" x14ac:dyDescent="0.25">
      <c r="A38" s="68" t="s">
        <v>117</v>
      </c>
      <c r="B38" s="65"/>
      <c r="C38" s="65"/>
      <c r="D38" s="65"/>
      <c r="E38" s="65"/>
      <c r="F38" s="65"/>
      <c r="G38" s="65"/>
      <c r="H38" s="65"/>
      <c r="I38" s="47">
        <v>945</v>
      </c>
      <c r="J38" s="46">
        <v>555</v>
      </c>
      <c r="K38" s="46" t="s">
        <v>118</v>
      </c>
      <c r="L38" s="46"/>
      <c r="M38" s="46"/>
      <c r="N38" s="46" t="s">
        <v>119</v>
      </c>
      <c r="O38" s="17"/>
      <c r="P38" s="18"/>
      <c r="Q38" s="17"/>
      <c r="R38" s="17"/>
      <c r="S38" s="17"/>
    </row>
    <row r="39" spans="1:35" ht="26.4" x14ac:dyDescent="0.25">
      <c r="A39" s="68" t="s">
        <v>120</v>
      </c>
      <c r="B39" s="65"/>
      <c r="C39" s="65"/>
      <c r="D39" s="65"/>
      <c r="E39" s="65"/>
      <c r="F39" s="65"/>
      <c r="G39" s="65"/>
      <c r="H39" s="65"/>
      <c r="I39" s="47">
        <v>89255</v>
      </c>
      <c r="J39" s="46">
        <v>53505</v>
      </c>
      <c r="K39" s="46" t="s">
        <v>121</v>
      </c>
      <c r="L39" s="46"/>
      <c r="M39" s="46"/>
      <c r="N39" s="46" t="s">
        <v>112</v>
      </c>
      <c r="O39" s="17"/>
      <c r="P39" s="18"/>
      <c r="Q39" s="17"/>
      <c r="R39" s="17"/>
      <c r="S39" s="17"/>
    </row>
    <row r="40" spans="1:35" x14ac:dyDescent="0.25">
      <c r="A40" s="68" t="s">
        <v>122</v>
      </c>
      <c r="B40" s="65"/>
      <c r="C40" s="65"/>
      <c r="D40" s="65"/>
      <c r="E40" s="65"/>
      <c r="F40" s="65"/>
      <c r="G40" s="65"/>
      <c r="H40" s="65"/>
      <c r="I40" s="47">
        <v>45480</v>
      </c>
      <c r="J40" s="46"/>
      <c r="K40" s="46"/>
      <c r="L40" s="46"/>
      <c r="M40" s="46"/>
      <c r="N40" s="46"/>
      <c r="O40" s="17"/>
      <c r="P40" s="18"/>
      <c r="Q40" s="17"/>
      <c r="R40" s="17"/>
      <c r="S40" s="17"/>
    </row>
    <row r="41" spans="1:35" x14ac:dyDescent="0.25">
      <c r="A41" s="68" t="s">
        <v>123</v>
      </c>
      <c r="B41" s="65"/>
      <c r="C41" s="65"/>
      <c r="D41" s="65"/>
      <c r="E41" s="65"/>
      <c r="F41" s="65"/>
      <c r="G41" s="65"/>
      <c r="H41" s="65"/>
      <c r="I41" s="47">
        <v>28471</v>
      </c>
      <c r="J41" s="46"/>
      <c r="K41" s="46"/>
      <c r="L41" s="46"/>
      <c r="M41" s="46"/>
      <c r="N41" s="46"/>
      <c r="O41" s="17"/>
      <c r="P41" s="18"/>
      <c r="Q41" s="17"/>
      <c r="R41" s="17"/>
      <c r="S41" s="17"/>
    </row>
    <row r="42" spans="1:35" ht="26.4" x14ac:dyDescent="0.25">
      <c r="A42" s="69" t="s">
        <v>124</v>
      </c>
      <c r="B42" s="70"/>
      <c r="C42" s="70"/>
      <c r="D42" s="70"/>
      <c r="E42" s="70"/>
      <c r="F42" s="70"/>
      <c r="G42" s="70"/>
      <c r="H42" s="70"/>
      <c r="I42" s="58">
        <v>163206</v>
      </c>
      <c r="J42" s="59"/>
      <c r="K42" s="59"/>
      <c r="L42" s="59"/>
      <c r="M42" s="59"/>
      <c r="N42" s="59" t="s">
        <v>112</v>
      </c>
      <c r="O42" s="17"/>
      <c r="P42" s="18"/>
      <c r="Q42" s="17"/>
      <c r="R42" s="17"/>
      <c r="S42" s="17"/>
    </row>
    <row r="43" spans="1:35" ht="21" customHeight="1" x14ac:dyDescent="0.25">
      <c r="A43" s="71" t="s">
        <v>125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</row>
    <row r="44" spans="1:35" ht="92.4" x14ac:dyDescent="0.25">
      <c r="A44" s="43">
        <v>14</v>
      </c>
      <c r="B44" s="44" t="s">
        <v>126</v>
      </c>
      <c r="C44" s="45" t="str">
        <f t="shared" ref="C44:C60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бетонных фундаментов общего назначения объемом: до 25 м3
100 м3 бетона и железобетона в деле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24431 руб. НР 80%=105%*(0,85*0,9) от ФОТ (30539 руб.)
13437 руб.СП 44%=65%*(0,8*0,85) от ФОТ (30539 руб.)
</v>
      </c>
      <c r="D44" s="43">
        <v>0.52049999999999996</v>
      </c>
      <c r="E44" s="46" t="s">
        <v>127</v>
      </c>
      <c r="F44" s="46" t="s">
        <v>128</v>
      </c>
      <c r="G44" s="46">
        <v>59825.279999999999</v>
      </c>
      <c r="H44" s="62" t="s">
        <v>129</v>
      </c>
      <c r="I44" s="47">
        <v>200258</v>
      </c>
      <c r="J44" s="46">
        <v>27598</v>
      </c>
      <c r="K44" s="46" t="s">
        <v>130</v>
      </c>
      <c r="L44" s="46" t="str">
        <f>IF(0.5205*59825.28=0," ",TEXT(,ROUND((0.5205*59825.28*5.07),2)))</f>
        <v>157875,03</v>
      </c>
      <c r="M44" s="46" t="s">
        <v>131</v>
      </c>
      <c r="N44" s="46" t="s">
        <v>132</v>
      </c>
      <c r="O44" s="48"/>
      <c r="P44" s="48"/>
      <c r="Q44" s="48"/>
      <c r="R44" s="48"/>
      <c r="S44" s="48"/>
      <c r="T44" s="49"/>
      <c r="U44" s="49"/>
      <c r="V44" s="49"/>
      <c r="W44" s="49"/>
      <c r="X44" s="49"/>
      <c r="Y44" s="49"/>
      <c r="Z44" s="49"/>
      <c r="AA44" s="49" t="s">
        <v>133</v>
      </c>
      <c r="AB44" s="49" t="s">
        <v>134</v>
      </c>
      <c r="AC44" s="49">
        <v>24431</v>
      </c>
      <c r="AD44" s="49">
        <v>13437</v>
      </c>
      <c r="AE44" s="50" t="s">
        <v>36</v>
      </c>
      <c r="AF44" s="49" t="s">
        <v>135</v>
      </c>
      <c r="AG44" s="49" t="s">
        <v>136</v>
      </c>
      <c r="AH44" s="49"/>
      <c r="AI44" s="49">
        <f>27598+2941</f>
        <v>30539</v>
      </c>
    </row>
    <row r="45" spans="1:35" ht="52.8" x14ac:dyDescent="0.25">
      <c r="A45" s="43">
        <v>15</v>
      </c>
      <c r="B45" s="44" t="s">
        <v>137</v>
      </c>
      <c r="C45" s="45" t="str">
        <f t="shared" ca="1" si="1"/>
        <v xml:space="preserve">Бетон тяжелый, крупность заполнителя: более 40 мм, класс В7,5 (М 100)
м3
</v>
      </c>
      <c r="D45" s="43">
        <v>-53.09</v>
      </c>
      <c r="E45" s="46">
        <v>560</v>
      </c>
      <c r="F45" s="46"/>
      <c r="G45" s="46">
        <v>560</v>
      </c>
      <c r="H45" s="62" t="s">
        <v>138</v>
      </c>
      <c r="I45" s="47">
        <v>-143804</v>
      </c>
      <c r="J45" s="46"/>
      <c r="K45" s="46"/>
      <c r="L45" s="46" t="str">
        <f>IF(-53.09*560=0," ",TEXT(,ROUND((-53.09*560*4.837),2)))</f>
        <v>-143805,94</v>
      </c>
      <c r="M45" s="46"/>
      <c r="N45" s="46"/>
      <c r="O45" s="48"/>
      <c r="P45" s="48"/>
      <c r="Q45" s="48"/>
      <c r="R45" s="48"/>
      <c r="S45" s="4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 t="s">
        <v>139</v>
      </c>
      <c r="AG45" s="49" t="s">
        <v>140</v>
      </c>
      <c r="AH45" s="49"/>
      <c r="AI45" s="49">
        <f>0+0</f>
        <v>0</v>
      </c>
    </row>
    <row r="46" spans="1:35" ht="52.8" x14ac:dyDescent="0.25">
      <c r="A46" s="43">
        <v>16</v>
      </c>
      <c r="B46" s="44" t="s">
        <v>141</v>
      </c>
      <c r="C46" s="45" t="str">
        <f t="shared" ca="1" si="1"/>
        <v xml:space="preserve">Бетон тяжелый, крупность заполнителя: более 40 мм, класс В15 (М200)
м3
</v>
      </c>
      <c r="D46" s="43">
        <v>53.09</v>
      </c>
      <c r="E46" s="46">
        <v>600</v>
      </c>
      <c r="F46" s="46"/>
      <c r="G46" s="46">
        <v>600</v>
      </c>
      <c r="H46" s="62" t="s">
        <v>142</v>
      </c>
      <c r="I46" s="47">
        <v>160257</v>
      </c>
      <c r="J46" s="46"/>
      <c r="K46" s="46"/>
      <c r="L46" s="46" t="str">
        <f>IF(53.09*600=0," ",TEXT(,ROUND((53.09*600*5.031),2)))</f>
        <v>160257,47</v>
      </c>
      <c r="M46" s="46"/>
      <c r="N46" s="46"/>
      <c r="O46" s="48"/>
      <c r="P46" s="48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 t="s">
        <v>143</v>
      </c>
      <c r="AG46" s="49" t="s">
        <v>140</v>
      </c>
      <c r="AH46" s="49"/>
      <c r="AI46" s="49">
        <f>0+0</f>
        <v>0</v>
      </c>
    </row>
    <row r="47" spans="1:35" ht="92.4" x14ac:dyDescent="0.25">
      <c r="A47" s="43">
        <v>17</v>
      </c>
      <c r="B47" s="44" t="s">
        <v>144</v>
      </c>
      <c r="C47" s="45" t="str">
        <f t="shared" ca="1" si="1"/>
        <v xml:space="preserve">Гидроизоляция стен, фундаментов: горизонтальная оклеечная в 2 слоя
100 м2 изолируемой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4212 руб. НР 93%=122%*(0,85*0,9) от ФОТ (4529 руб.)
2446 руб.СП 54%=80%*(0,8*0,85) от ФОТ (4529 руб.)
</v>
      </c>
      <c r="D47" s="43">
        <v>1.36</v>
      </c>
      <c r="E47" s="46" t="s">
        <v>145</v>
      </c>
      <c r="F47" s="46">
        <v>163.32</v>
      </c>
      <c r="G47" s="46">
        <v>3922.95</v>
      </c>
      <c r="H47" s="62" t="s">
        <v>146</v>
      </c>
      <c r="I47" s="47">
        <v>41450</v>
      </c>
      <c r="J47" s="46">
        <v>4529</v>
      </c>
      <c r="K47" s="46">
        <v>2243</v>
      </c>
      <c r="L47" s="46" t="str">
        <f>IF(1.36*3922.95=0," ",TEXT(,ROUND((1.36*3922.95*6.5),2)))</f>
        <v>34678,88</v>
      </c>
      <c r="M47" s="46">
        <v>20.100000000000001</v>
      </c>
      <c r="N47" s="46">
        <v>27.34</v>
      </c>
      <c r="O47" s="48"/>
      <c r="P47" s="48"/>
      <c r="Q47" s="48"/>
      <c r="R47" s="48"/>
      <c r="S47" s="48"/>
      <c r="T47" s="49"/>
      <c r="U47" s="49"/>
      <c r="V47" s="49"/>
      <c r="W47" s="49"/>
      <c r="X47" s="49"/>
      <c r="Y47" s="49"/>
      <c r="Z47" s="49"/>
      <c r="AA47" s="49" t="s">
        <v>147</v>
      </c>
      <c r="AB47" s="49" t="s">
        <v>148</v>
      </c>
      <c r="AC47" s="49">
        <v>4212</v>
      </c>
      <c r="AD47" s="49">
        <v>2446</v>
      </c>
      <c r="AE47" s="50" t="s">
        <v>36</v>
      </c>
      <c r="AF47" s="49" t="s">
        <v>149</v>
      </c>
      <c r="AG47" s="49" t="s">
        <v>150</v>
      </c>
      <c r="AH47" s="49"/>
      <c r="AI47" s="49">
        <f>4529+0</f>
        <v>4529</v>
      </c>
    </row>
    <row r="48" spans="1:35" ht="118.8" x14ac:dyDescent="0.25">
      <c r="A48" s="43">
        <v>18</v>
      </c>
      <c r="B48" s="44" t="s">
        <v>151</v>
      </c>
      <c r="C48" s="45" t="str">
        <f t="shared" ca="1" si="1"/>
        <v xml:space="preserve">Гидроизоляция стен, фундаментов: горизонтальная цементная с жидким стеклом
100 м2 изолируемой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990 руб. НР 93%=122%*(0,85*0,9) от ФОТ (1065 руб.)
575 руб.СП 54%=80%*(0,8*0,85) от ФОТ (1065 руб.)
</v>
      </c>
      <c r="D48" s="43">
        <v>0.17</v>
      </c>
      <c r="E48" s="46" t="s">
        <v>152</v>
      </c>
      <c r="F48" s="46">
        <v>34.869999999999997</v>
      </c>
      <c r="G48" s="46">
        <v>1573.51</v>
      </c>
      <c r="H48" s="62" t="s">
        <v>153</v>
      </c>
      <c r="I48" s="47">
        <v>2720</v>
      </c>
      <c r="J48" s="46">
        <v>1065</v>
      </c>
      <c r="K48" s="46">
        <v>95</v>
      </c>
      <c r="L48" s="46" t="str">
        <f>IF(0.17*1573.51=0," ",TEXT(,ROUND((0.17*1573.51*5.84),2)))</f>
        <v>1562,18</v>
      </c>
      <c r="M48" s="46">
        <v>38.200000000000003</v>
      </c>
      <c r="N48" s="46">
        <v>6.49</v>
      </c>
      <c r="O48" s="48"/>
      <c r="P48" s="48"/>
      <c r="Q48" s="48"/>
      <c r="R48" s="48"/>
      <c r="S48" s="48"/>
      <c r="T48" s="49"/>
      <c r="U48" s="49"/>
      <c r="V48" s="49"/>
      <c r="W48" s="49"/>
      <c r="X48" s="49"/>
      <c r="Y48" s="49"/>
      <c r="Z48" s="49"/>
      <c r="AA48" s="49" t="s">
        <v>147</v>
      </c>
      <c r="AB48" s="49" t="s">
        <v>148</v>
      </c>
      <c r="AC48" s="49">
        <v>990</v>
      </c>
      <c r="AD48" s="49">
        <v>575</v>
      </c>
      <c r="AE48" s="50" t="s">
        <v>36</v>
      </c>
      <c r="AF48" s="49" t="s">
        <v>154</v>
      </c>
      <c r="AG48" s="49" t="s">
        <v>150</v>
      </c>
      <c r="AH48" s="49"/>
      <c r="AI48" s="49">
        <f>1065+0</f>
        <v>1065</v>
      </c>
    </row>
    <row r="49" spans="1:35" ht="52.8" x14ac:dyDescent="0.25">
      <c r="A49" s="43">
        <v>19</v>
      </c>
      <c r="B49" s="44" t="s">
        <v>155</v>
      </c>
      <c r="C49" s="45" t="str">
        <f t="shared" ca="1" si="1"/>
        <v xml:space="preserve">Стекло жидкое калийное
т
</v>
      </c>
      <c r="D49" s="43">
        <v>-8.5000000000000006E-3</v>
      </c>
      <c r="E49" s="46">
        <v>2734.6</v>
      </c>
      <c r="F49" s="46"/>
      <c r="G49" s="46">
        <v>2734.6</v>
      </c>
      <c r="H49" s="62" t="s">
        <v>156</v>
      </c>
      <c r="I49" s="47">
        <v>-281</v>
      </c>
      <c r="J49" s="46"/>
      <c r="K49" s="46"/>
      <c r="L49" s="46" t="str">
        <f>IF(-0.0085*2734.6=0," ",TEXT(,ROUND((-0.0085*2734.6*12.223),2)))</f>
        <v>-284,11</v>
      </c>
      <c r="M49" s="46"/>
      <c r="N49" s="46"/>
      <c r="O49" s="48"/>
      <c r="P49" s="48"/>
      <c r="Q49" s="48"/>
      <c r="R49" s="48"/>
      <c r="S49" s="48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 t="s">
        <v>157</v>
      </c>
      <c r="AG49" s="49" t="s">
        <v>158</v>
      </c>
      <c r="AH49" s="49"/>
      <c r="AI49" s="49">
        <f>0+0</f>
        <v>0</v>
      </c>
    </row>
    <row r="50" spans="1:35" ht="92.4" x14ac:dyDescent="0.25">
      <c r="A50" s="43">
        <v>20</v>
      </c>
      <c r="B50" s="44" t="s">
        <v>159</v>
      </c>
      <c r="C50" s="45" t="str">
        <f t="shared" ca="1" si="1"/>
        <v xml:space="preserve">Кладка стен кирпичных наружных: простых при высоте этажа до 4 м
1 м3 кладки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12967 руб. НР 93%=122%*(0,85*0,9) от ФОТ (13943 руб.)
7529 руб.СП 54%=80%*(0,8*0,85) от ФОТ (13943 руб.)
</v>
      </c>
      <c r="D50" s="43">
        <v>14.16</v>
      </c>
      <c r="E50" s="46" t="s">
        <v>160</v>
      </c>
      <c r="F50" s="46" t="s">
        <v>161</v>
      </c>
      <c r="G50" s="46">
        <v>811.41</v>
      </c>
      <c r="H50" s="62" t="s">
        <v>162</v>
      </c>
      <c r="I50" s="47">
        <v>73745</v>
      </c>
      <c r="J50" s="46">
        <v>12337</v>
      </c>
      <c r="K50" s="46" t="s">
        <v>163</v>
      </c>
      <c r="L50" s="46" t="str">
        <f>IF(14.16*811.41=0," ",TEXT(,ROUND((14.16*811.41*4.7),2)))</f>
        <v>54000,96</v>
      </c>
      <c r="M50" s="46" t="s">
        <v>164</v>
      </c>
      <c r="N50" s="46" t="s">
        <v>165</v>
      </c>
      <c r="O50" s="48"/>
      <c r="P50" s="48"/>
      <c r="Q50" s="48"/>
      <c r="R50" s="48"/>
      <c r="S50" s="48"/>
      <c r="T50" s="49"/>
      <c r="U50" s="49"/>
      <c r="V50" s="49"/>
      <c r="W50" s="49"/>
      <c r="X50" s="49"/>
      <c r="Y50" s="49"/>
      <c r="Z50" s="49"/>
      <c r="AA50" s="49" t="s">
        <v>147</v>
      </c>
      <c r="AB50" s="49" t="s">
        <v>148</v>
      </c>
      <c r="AC50" s="49">
        <v>12967</v>
      </c>
      <c r="AD50" s="49">
        <v>7529</v>
      </c>
      <c r="AE50" s="50" t="s">
        <v>36</v>
      </c>
      <c r="AF50" s="49" t="s">
        <v>166</v>
      </c>
      <c r="AG50" s="49" t="s">
        <v>167</v>
      </c>
      <c r="AH50" s="49"/>
      <c r="AI50" s="49">
        <f>12337+1606</f>
        <v>13943</v>
      </c>
    </row>
    <row r="51" spans="1:35" ht="92.4" x14ac:dyDescent="0.25">
      <c r="A51" s="43">
        <v>21</v>
      </c>
      <c r="B51" s="44" t="s">
        <v>168</v>
      </c>
      <c r="C51" s="45" t="str">
        <f t="shared" ca="1" si="1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1031 руб. НР 100% от ФОТ (1031 руб.)
722 руб.СП 70% от ФОТ (1031 руб.)
</v>
      </c>
      <c r="D51" s="43">
        <v>0.4</v>
      </c>
      <c r="E51" s="46" t="s">
        <v>169</v>
      </c>
      <c r="F51" s="46" t="s">
        <v>170</v>
      </c>
      <c r="G51" s="46">
        <v>105.45</v>
      </c>
      <c r="H51" s="62" t="s">
        <v>171</v>
      </c>
      <c r="I51" s="47">
        <v>1137</v>
      </c>
      <c r="J51" s="46">
        <v>1031</v>
      </c>
      <c r="K51" s="46">
        <v>48</v>
      </c>
      <c r="L51" s="46" t="str">
        <f>IF(0.4*105.45=0," ",TEXT(,ROUND((0.4*105.45*1.39),2)))</f>
        <v>58,63</v>
      </c>
      <c r="M51" s="46" t="s">
        <v>172</v>
      </c>
      <c r="N51" s="46" t="s">
        <v>173</v>
      </c>
      <c r="O51" s="48"/>
      <c r="P51" s="48"/>
      <c r="Q51" s="48"/>
      <c r="R51" s="48"/>
      <c r="S51" s="48"/>
      <c r="T51" s="49"/>
      <c r="U51" s="49"/>
      <c r="V51" s="49"/>
      <c r="W51" s="49"/>
      <c r="X51" s="49"/>
      <c r="Y51" s="49"/>
      <c r="Z51" s="49"/>
      <c r="AA51" s="49" t="s">
        <v>174</v>
      </c>
      <c r="AB51" s="49" t="s">
        <v>175</v>
      </c>
      <c r="AC51" s="49">
        <v>1031</v>
      </c>
      <c r="AD51" s="49">
        <v>722</v>
      </c>
      <c r="AE51" s="50" t="s">
        <v>36</v>
      </c>
      <c r="AF51" s="49" t="s">
        <v>176</v>
      </c>
      <c r="AG51" s="49" t="s">
        <v>177</v>
      </c>
      <c r="AH51" s="49"/>
      <c r="AI51" s="49">
        <f>1031+0</f>
        <v>1031</v>
      </c>
    </row>
    <row r="52" spans="1:35" ht="52.8" x14ac:dyDescent="0.25">
      <c r="A52" s="43">
        <v>22</v>
      </c>
      <c r="B52" s="44" t="s">
        <v>178</v>
      </c>
      <c r="C52" s="45" t="str">
        <f t="shared" ca="1" si="1"/>
        <v xml:space="preserve">Плиты теплоизоляционные: из экструзионного вспененного полистирола ПЕНОПЛЭКС-35
м3
</v>
      </c>
      <c r="D52" s="43" t="s">
        <v>179</v>
      </c>
      <c r="E52" s="46">
        <v>1208.43</v>
      </c>
      <c r="F52" s="46"/>
      <c r="G52" s="46">
        <v>1208.43</v>
      </c>
      <c r="H52" s="62" t="s">
        <v>180</v>
      </c>
      <c r="I52" s="47">
        <v>9650</v>
      </c>
      <c r="J52" s="46"/>
      <c r="K52" s="46"/>
      <c r="L52" s="46" t="str">
        <f>IF(2.06*1208.43=0," ",TEXT(,ROUND((2.06*1208.43*3.877),2)))</f>
        <v>9651,27</v>
      </c>
      <c r="M52" s="46"/>
      <c r="N52" s="46"/>
      <c r="O52" s="48"/>
      <c r="P52" s="48"/>
      <c r="Q52" s="48"/>
      <c r="R52" s="48"/>
      <c r="S52" s="48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 t="s">
        <v>181</v>
      </c>
      <c r="AG52" s="49" t="s">
        <v>140</v>
      </c>
      <c r="AH52" s="49"/>
      <c r="AI52" s="49">
        <f>0+0</f>
        <v>0</v>
      </c>
    </row>
    <row r="53" spans="1:35" ht="52.8" x14ac:dyDescent="0.25">
      <c r="A53" s="43">
        <v>23</v>
      </c>
      <c r="B53" s="44" t="s">
        <v>182</v>
      </c>
      <c r="C53" s="45" t="str">
        <f t="shared" ca="1" si="1"/>
        <v xml:space="preserve">Дюбель распорный с металлическим стержнем: 10х150 мм
10 шт.
</v>
      </c>
      <c r="D53" s="43">
        <v>64</v>
      </c>
      <c r="E53" s="46">
        <v>6.62</v>
      </c>
      <c r="F53" s="46"/>
      <c r="G53" s="46">
        <v>6.62</v>
      </c>
      <c r="H53" s="62" t="s">
        <v>183</v>
      </c>
      <c r="I53" s="47">
        <v>4396</v>
      </c>
      <c r="J53" s="46"/>
      <c r="K53" s="46"/>
      <c r="L53" s="46" t="str">
        <f>IF(64*6.62=0," ",TEXT(,ROUND((64*6.62*10.367),2)))</f>
        <v>4392,29</v>
      </c>
      <c r="M53" s="46"/>
      <c r="N53" s="46"/>
      <c r="O53" s="48"/>
      <c r="P53" s="48"/>
      <c r="Q53" s="48"/>
      <c r="R53" s="48"/>
      <c r="S53" s="48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 t="s">
        <v>184</v>
      </c>
      <c r="AG53" s="49" t="s">
        <v>185</v>
      </c>
      <c r="AH53" s="49"/>
      <c r="AI53" s="49">
        <f>0+0</f>
        <v>0</v>
      </c>
    </row>
    <row r="54" spans="1:35" ht="145.19999999999999" x14ac:dyDescent="0.25">
      <c r="A54" s="43">
        <v>24</v>
      </c>
      <c r="B54" s="44" t="s">
        <v>186</v>
      </c>
      <c r="C54" s="45" t="str">
        <f t="shared" ca="1" si="1"/>
        <v xml:space="preserve">Штукатурка по сетке без устройства каркаса: улучшенная стен
100 м2 оштукатуриваемой поверхности
(Всего толщ. 40 мм ПЗ=1,33 (ОЗП=1,33; ЭМ=1,33 к расх.; ЗПМ=1,33; МАТ=1,33 к расх.; ТЗ=1,33; ТЗМ=1,33)(КОЭФ.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12546 руб. НР 80%=105%*(0,85*0,9) от ФОТ (15683 руб.)
5803 руб.СП 37%=55%*(0,8*0,85) от ФОТ (15683 руб.)
</v>
      </c>
      <c r="D54" s="43">
        <v>0.5</v>
      </c>
      <c r="E54" s="46" t="s">
        <v>187</v>
      </c>
      <c r="F54" s="46" t="s">
        <v>188</v>
      </c>
      <c r="G54" s="46">
        <v>6341.83</v>
      </c>
      <c r="H54" s="62" t="s">
        <v>189</v>
      </c>
      <c r="I54" s="47">
        <v>42435</v>
      </c>
      <c r="J54" s="46">
        <v>15413</v>
      </c>
      <c r="K54" s="46" t="s">
        <v>190</v>
      </c>
      <c r="L54" s="46" t="str">
        <f>IF(0.5*6341.83=0," ",TEXT(,ROUND((0.5*6341.83*8.42),2)))</f>
        <v>26699,1</v>
      </c>
      <c r="M54" s="46" t="s">
        <v>191</v>
      </c>
      <c r="N54" s="46" t="s">
        <v>192</v>
      </c>
      <c r="O54" s="48"/>
      <c r="P54" s="48"/>
      <c r="Q54" s="48"/>
      <c r="R54" s="48"/>
      <c r="S54" s="48"/>
      <c r="T54" s="49"/>
      <c r="U54" s="49"/>
      <c r="V54" s="49"/>
      <c r="W54" s="49"/>
      <c r="X54" s="49"/>
      <c r="Y54" s="49"/>
      <c r="Z54" s="49"/>
      <c r="AA54" s="49" t="s">
        <v>133</v>
      </c>
      <c r="AB54" s="49" t="s">
        <v>193</v>
      </c>
      <c r="AC54" s="49">
        <v>12546</v>
      </c>
      <c r="AD54" s="49">
        <v>5803</v>
      </c>
      <c r="AE54" s="50" t="s">
        <v>194</v>
      </c>
      <c r="AF54" s="49" t="s">
        <v>195</v>
      </c>
      <c r="AG54" s="49" t="s">
        <v>196</v>
      </c>
      <c r="AH54" s="49"/>
      <c r="AI54" s="49">
        <f>15413+270</f>
        <v>15683</v>
      </c>
    </row>
    <row r="55" spans="1:35" ht="132" x14ac:dyDescent="0.25">
      <c r="A55" s="43">
        <v>25</v>
      </c>
      <c r="B55" s="44" t="s">
        <v>197</v>
      </c>
      <c r="C55" s="45" t="str">
        <f t="shared" ca="1" si="1"/>
        <v xml:space="preserve">Штукатурка по сетке без устройства каркаса: улучшенная стен
100 м2 оштукатуриваемой поверхности
(Всего толщ. 90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20942 руб. НР 80%=105%*(0,85*0,9) от ФОТ (26178 руб.)
9686 руб.СП 37%=55%*(0,8*0,85) от ФОТ (26178 руб.)
</v>
      </c>
      <c r="D55" s="43">
        <v>0.37</v>
      </c>
      <c r="E55" s="46" t="s">
        <v>198</v>
      </c>
      <c r="F55" s="46" t="s">
        <v>199</v>
      </c>
      <c r="G55" s="46">
        <v>14304.87</v>
      </c>
      <c r="H55" s="62" t="s">
        <v>189</v>
      </c>
      <c r="I55" s="47">
        <v>70847</v>
      </c>
      <c r="J55" s="46">
        <v>25739</v>
      </c>
      <c r="K55" s="46" t="s">
        <v>200</v>
      </c>
      <c r="L55" s="46" t="str">
        <f>IF(0.37*14304.87=0," ",TEXT(,ROUND((0.37*14304.87*8.42),2)))</f>
        <v>44565,39</v>
      </c>
      <c r="M55" s="46" t="s">
        <v>201</v>
      </c>
      <c r="N55" s="46" t="s">
        <v>202</v>
      </c>
      <c r="O55" s="48"/>
      <c r="P55" s="48"/>
      <c r="Q55" s="48"/>
      <c r="R55" s="48"/>
      <c r="S55" s="48"/>
      <c r="T55" s="49"/>
      <c r="U55" s="49"/>
      <c r="V55" s="49"/>
      <c r="W55" s="49"/>
      <c r="X55" s="49"/>
      <c r="Y55" s="49"/>
      <c r="Z55" s="49"/>
      <c r="AA55" s="49" t="s">
        <v>133</v>
      </c>
      <c r="AB55" s="49" t="s">
        <v>193</v>
      </c>
      <c r="AC55" s="49">
        <v>20942</v>
      </c>
      <c r="AD55" s="49">
        <v>9686</v>
      </c>
      <c r="AE55" s="50" t="s">
        <v>203</v>
      </c>
      <c r="AF55" s="49" t="s">
        <v>195</v>
      </c>
      <c r="AG55" s="49" t="s">
        <v>196</v>
      </c>
      <c r="AH55" s="49"/>
      <c r="AI55" s="49">
        <f>25739+439</f>
        <v>26178</v>
      </c>
    </row>
    <row r="56" spans="1:35" ht="92.4" x14ac:dyDescent="0.25">
      <c r="A56" s="43">
        <v>26</v>
      </c>
      <c r="B56" s="44" t="s">
        <v>204</v>
      </c>
      <c r="C56" s="45" t="str">
        <f t="shared" ca="1" si="1"/>
        <v xml:space="preserve">Устройство мелких покрытий (брандмауэры, парапеты, свесы и т.п.) из листовой оцинкованной стали
100 м2 покрытия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9126 руб. НР 120% от ФОТ (7605 руб.)
4943 руб.СП 65% от ФОТ (7605 руб.)
</v>
      </c>
      <c r="D56" s="43">
        <v>0.40500000000000003</v>
      </c>
      <c r="E56" s="46" t="s">
        <v>205</v>
      </c>
      <c r="F56" s="46" t="s">
        <v>206</v>
      </c>
      <c r="G56" s="46">
        <v>8890.58</v>
      </c>
      <c r="H56" s="62" t="s">
        <v>207</v>
      </c>
      <c r="I56" s="47">
        <v>20251</v>
      </c>
      <c r="J56" s="46">
        <v>7588</v>
      </c>
      <c r="K56" s="46" t="s">
        <v>208</v>
      </c>
      <c r="L56" s="46" t="str">
        <f>IF(0.405*8890.58=0," ",TEXT(,ROUND((0.405*8890.58*3.48),2)))</f>
        <v>12530,38</v>
      </c>
      <c r="M56" s="46" t="s">
        <v>209</v>
      </c>
      <c r="N56" s="46" t="s">
        <v>210</v>
      </c>
      <c r="O56" s="48"/>
      <c r="P56" s="48"/>
      <c r="Q56" s="48"/>
      <c r="R56" s="48"/>
      <c r="S56" s="48"/>
      <c r="T56" s="49"/>
      <c r="U56" s="49"/>
      <c r="V56" s="49"/>
      <c r="W56" s="49"/>
      <c r="X56" s="49"/>
      <c r="Y56" s="49"/>
      <c r="Z56" s="49"/>
      <c r="AA56" s="49" t="s">
        <v>211</v>
      </c>
      <c r="AB56" s="49" t="s">
        <v>212</v>
      </c>
      <c r="AC56" s="49">
        <v>9126</v>
      </c>
      <c r="AD56" s="49">
        <v>4943</v>
      </c>
      <c r="AE56" s="50" t="s">
        <v>36</v>
      </c>
      <c r="AF56" s="49" t="s">
        <v>213</v>
      </c>
      <c r="AG56" s="49" t="s">
        <v>214</v>
      </c>
      <c r="AH56" s="49"/>
      <c r="AI56" s="49">
        <f>7588+17</f>
        <v>7605</v>
      </c>
    </row>
    <row r="57" spans="1:35" ht="92.4" x14ac:dyDescent="0.25">
      <c r="A57" s="43">
        <v>27</v>
      </c>
      <c r="B57" s="44" t="s">
        <v>215</v>
      </c>
      <c r="C57" s="45" t="str">
        <f t="shared" ca="1" si="1"/>
        <v xml:space="preserve">Антисептирование древесины: водными растворами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27 руб. НР 78% от ФОТ (34 руб.)
17 руб.СП 50% от ФОТ (34 руб.)
</v>
      </c>
      <c r="D57" s="43">
        <v>0.05</v>
      </c>
      <c r="E57" s="46" t="s">
        <v>216</v>
      </c>
      <c r="F57" s="46">
        <v>1.74</v>
      </c>
      <c r="G57" s="46">
        <v>67.02</v>
      </c>
      <c r="H57" s="62" t="s">
        <v>217</v>
      </c>
      <c r="I57" s="47">
        <v>40</v>
      </c>
      <c r="J57" s="46">
        <v>34</v>
      </c>
      <c r="K57" s="46"/>
      <c r="L57" s="46" t="str">
        <f>IF(0.05*67.02=0," ",TEXT(,ROUND((0.05*67.02*1.64),2)))</f>
        <v>5,5</v>
      </c>
      <c r="M57" s="46">
        <v>2.5099999999999998</v>
      </c>
      <c r="N57" s="46">
        <v>0.13</v>
      </c>
      <c r="O57" s="48"/>
      <c r="P57" s="48"/>
      <c r="Q57" s="48"/>
      <c r="R57" s="48"/>
      <c r="S57" s="48"/>
      <c r="T57" s="49"/>
      <c r="U57" s="49"/>
      <c r="V57" s="49"/>
      <c r="W57" s="49"/>
      <c r="X57" s="49"/>
      <c r="Y57" s="49"/>
      <c r="Z57" s="49"/>
      <c r="AA57" s="49" t="s">
        <v>88</v>
      </c>
      <c r="AB57" s="49" t="s">
        <v>89</v>
      </c>
      <c r="AC57" s="49">
        <v>27</v>
      </c>
      <c r="AD57" s="49">
        <v>17</v>
      </c>
      <c r="AE57" s="50" t="s">
        <v>66</v>
      </c>
      <c r="AF57" s="49" t="s">
        <v>218</v>
      </c>
      <c r="AG57" s="49" t="s">
        <v>219</v>
      </c>
      <c r="AH57" s="49"/>
      <c r="AI57" s="49">
        <f>34+0</f>
        <v>34</v>
      </c>
    </row>
    <row r="58" spans="1:35" ht="79.2" x14ac:dyDescent="0.25">
      <c r="A58" s="43">
        <v>28</v>
      </c>
      <c r="B58" s="44" t="s">
        <v>220</v>
      </c>
      <c r="C58" s="45" t="str">
        <f t="shared" ca="1" si="1"/>
        <v xml:space="preserve">При обработке отдельных мест и штучных элементов добавлять: к расценке 69-10-1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27 руб. НР 78% от ФОТ (34 руб.)
17 руб.СП 50% от ФОТ (34 руб.)
</v>
      </c>
      <c r="D58" s="43">
        <v>0.05</v>
      </c>
      <c r="E58" s="46" t="s">
        <v>221</v>
      </c>
      <c r="F58" s="46"/>
      <c r="G58" s="46"/>
      <c r="H58" s="62" t="s">
        <v>217</v>
      </c>
      <c r="I58" s="47">
        <v>34</v>
      </c>
      <c r="J58" s="46">
        <v>34</v>
      </c>
      <c r="K58" s="46"/>
      <c r="L58" s="46" t="str">
        <f>IF(0.05*0=0," ",TEXT(,ROUND((0.05*0*1.64),2)))</f>
        <v xml:space="preserve"> </v>
      </c>
      <c r="M58" s="46">
        <v>1.74</v>
      </c>
      <c r="N58" s="46">
        <v>0.09</v>
      </c>
      <c r="O58" s="48"/>
      <c r="P58" s="48"/>
      <c r="Q58" s="48"/>
      <c r="R58" s="48"/>
      <c r="S58" s="48"/>
      <c r="T58" s="49"/>
      <c r="U58" s="49"/>
      <c r="V58" s="49"/>
      <c r="W58" s="49"/>
      <c r="X58" s="49"/>
      <c r="Y58" s="49"/>
      <c r="Z58" s="49"/>
      <c r="AA58" s="49" t="s">
        <v>88</v>
      </c>
      <c r="AB58" s="49" t="s">
        <v>89</v>
      </c>
      <c r="AC58" s="49">
        <v>27</v>
      </c>
      <c r="AD58" s="49">
        <v>17</v>
      </c>
      <c r="AE58" s="50" t="s">
        <v>66</v>
      </c>
      <c r="AF58" s="49" t="s">
        <v>222</v>
      </c>
      <c r="AG58" s="49" t="s">
        <v>219</v>
      </c>
      <c r="AH58" s="49"/>
      <c r="AI58" s="49">
        <f>34+0</f>
        <v>34</v>
      </c>
    </row>
    <row r="59" spans="1:35" ht="79.2" x14ac:dyDescent="0.25">
      <c r="A59" s="43">
        <v>29</v>
      </c>
      <c r="B59" s="44" t="s">
        <v>223</v>
      </c>
      <c r="C59" s="45" t="str">
        <f t="shared" ca="1" si="1"/>
        <v xml:space="preserve">При двухкратной обработке лесоматериалов с перерывом на просушку после первой обработки добавлять: к расценке 69-10-1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27 руб. НР 78% от ФОТ (34 руб.)
17 руб.СП 50% от ФОТ (34 руб.)
</v>
      </c>
      <c r="D59" s="43">
        <v>0.05</v>
      </c>
      <c r="E59" s="46" t="s">
        <v>224</v>
      </c>
      <c r="F59" s="46">
        <v>1.74</v>
      </c>
      <c r="G59" s="46">
        <v>67.02</v>
      </c>
      <c r="H59" s="62" t="s">
        <v>217</v>
      </c>
      <c r="I59" s="47">
        <v>39</v>
      </c>
      <c r="J59" s="46">
        <v>34</v>
      </c>
      <c r="K59" s="46"/>
      <c r="L59" s="46" t="str">
        <f>IF(0.05*67.02=0," ",TEXT(,ROUND((0.05*67.02*1.64),2)))</f>
        <v>5,5</v>
      </c>
      <c r="M59" s="46">
        <v>2.0699999999999998</v>
      </c>
      <c r="N59" s="46">
        <v>0.1</v>
      </c>
      <c r="O59" s="48"/>
      <c r="P59" s="48"/>
      <c r="Q59" s="48"/>
      <c r="R59" s="48"/>
      <c r="S59" s="48"/>
      <c r="T59" s="49"/>
      <c r="U59" s="49"/>
      <c r="V59" s="49"/>
      <c r="W59" s="49"/>
      <c r="X59" s="49"/>
      <c r="Y59" s="49"/>
      <c r="Z59" s="49"/>
      <c r="AA59" s="49" t="s">
        <v>88</v>
      </c>
      <c r="AB59" s="49" t="s">
        <v>89</v>
      </c>
      <c r="AC59" s="49">
        <v>27</v>
      </c>
      <c r="AD59" s="49">
        <v>17</v>
      </c>
      <c r="AE59" s="50" t="s">
        <v>66</v>
      </c>
      <c r="AF59" s="49" t="s">
        <v>225</v>
      </c>
      <c r="AG59" s="49" t="s">
        <v>219</v>
      </c>
      <c r="AH59" s="49"/>
      <c r="AI59" s="49">
        <f>34+0</f>
        <v>34</v>
      </c>
    </row>
    <row r="60" spans="1:35" ht="66" x14ac:dyDescent="0.25">
      <c r="A60" s="52">
        <v>30</v>
      </c>
      <c r="B60" s="53" t="s">
        <v>226</v>
      </c>
      <c r="C60" s="54" t="str">
        <f t="shared" ca="1" si="1"/>
        <v xml:space="preserve">Просечно-вытяжной прокат горячекатаный в листах мерных размеров из стали С235, шириной: 500 мм, толщиной 4 мм
т
</v>
      </c>
      <c r="D60" s="52">
        <v>4.3999999999999997E-2</v>
      </c>
      <c r="E60" s="55">
        <v>9039.08</v>
      </c>
      <c r="F60" s="55"/>
      <c r="G60" s="55">
        <v>9039.08</v>
      </c>
      <c r="H60" s="56" t="s">
        <v>227</v>
      </c>
      <c r="I60" s="57">
        <v>3255</v>
      </c>
      <c r="J60" s="55"/>
      <c r="K60" s="55"/>
      <c r="L60" s="55" t="str">
        <f>IF(0.044*9039.08=0," ",TEXT(,ROUND((0.044*9039.08*8.178),2)))</f>
        <v>3252,55</v>
      </c>
      <c r="M60" s="55"/>
      <c r="N60" s="55"/>
      <c r="O60" s="48"/>
      <c r="P60" s="48"/>
      <c r="Q60" s="48"/>
      <c r="R60" s="48"/>
      <c r="S60" s="48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 t="s">
        <v>228</v>
      </c>
      <c r="AG60" s="49" t="s">
        <v>158</v>
      </c>
      <c r="AH60" s="49"/>
      <c r="AI60" s="49">
        <f>0+0</f>
        <v>0</v>
      </c>
    </row>
    <row r="61" spans="1:35" ht="26.4" x14ac:dyDescent="0.25">
      <c r="A61" s="68" t="s">
        <v>107</v>
      </c>
      <c r="B61" s="65"/>
      <c r="C61" s="65"/>
      <c r="D61" s="65"/>
      <c r="E61" s="65"/>
      <c r="F61" s="65"/>
      <c r="G61" s="65"/>
      <c r="H61" s="65"/>
      <c r="I61" s="47">
        <v>72540</v>
      </c>
      <c r="J61" s="46">
        <v>4906</v>
      </c>
      <c r="K61" s="46" t="s">
        <v>229</v>
      </c>
      <c r="L61" s="46">
        <v>65756</v>
      </c>
      <c r="M61" s="46"/>
      <c r="N61" s="46" t="s">
        <v>230</v>
      </c>
      <c r="O61" s="17"/>
      <c r="P61" s="18"/>
      <c r="Q61" s="17"/>
      <c r="R61" s="17"/>
      <c r="S61" s="17"/>
    </row>
    <row r="62" spans="1:35" ht="26.4" x14ac:dyDescent="0.25">
      <c r="A62" s="68" t="s">
        <v>110</v>
      </c>
      <c r="B62" s="65"/>
      <c r="C62" s="65"/>
      <c r="D62" s="65"/>
      <c r="E62" s="65"/>
      <c r="F62" s="65"/>
      <c r="G62" s="65"/>
      <c r="H62" s="65"/>
      <c r="I62" s="47">
        <v>73747</v>
      </c>
      <c r="J62" s="46">
        <v>5644</v>
      </c>
      <c r="K62" s="46" t="s">
        <v>231</v>
      </c>
      <c r="L62" s="46">
        <v>65756</v>
      </c>
      <c r="M62" s="46"/>
      <c r="N62" s="46" t="s">
        <v>232</v>
      </c>
      <c r="O62" s="17"/>
      <c r="P62" s="18"/>
      <c r="Q62" s="17"/>
      <c r="R62" s="17"/>
      <c r="S62" s="17"/>
    </row>
    <row r="63" spans="1:35" x14ac:dyDescent="0.25">
      <c r="A63" s="68" t="s">
        <v>113</v>
      </c>
      <c r="B63" s="65"/>
      <c r="C63" s="65"/>
      <c r="D63" s="65"/>
      <c r="E63" s="65"/>
      <c r="F63" s="65"/>
      <c r="G63" s="65"/>
      <c r="H63" s="65"/>
      <c r="I63" s="47"/>
      <c r="J63" s="46"/>
      <c r="K63" s="46"/>
      <c r="L63" s="46"/>
      <c r="M63" s="46"/>
      <c r="N63" s="46"/>
      <c r="O63" s="17"/>
      <c r="P63" s="18"/>
      <c r="Q63" s="17"/>
      <c r="R63" s="17"/>
      <c r="S63" s="17"/>
    </row>
    <row r="64" spans="1:35" ht="27.9" customHeight="1" x14ac:dyDescent="0.25">
      <c r="A64" s="68" t="s">
        <v>233</v>
      </c>
      <c r="B64" s="65"/>
      <c r="C64" s="65"/>
      <c r="D64" s="65"/>
      <c r="E64" s="65"/>
      <c r="F64" s="65"/>
      <c r="G64" s="65"/>
      <c r="H64" s="65"/>
      <c r="I64" s="47">
        <v>1205</v>
      </c>
      <c r="J64" s="46">
        <v>735</v>
      </c>
      <c r="K64" s="46" t="s">
        <v>234</v>
      </c>
      <c r="L64" s="46"/>
      <c r="M64" s="46"/>
      <c r="N64" s="46" t="s">
        <v>235</v>
      </c>
      <c r="O64" s="17"/>
      <c r="P64" s="18"/>
      <c r="Q64" s="17"/>
      <c r="R64" s="17"/>
      <c r="S64" s="17"/>
    </row>
    <row r="65" spans="1:35" ht="27.9" customHeight="1" x14ac:dyDescent="0.25">
      <c r="A65" s="68" t="s">
        <v>236</v>
      </c>
      <c r="B65" s="65"/>
      <c r="C65" s="65"/>
      <c r="D65" s="65"/>
      <c r="E65" s="65"/>
      <c r="F65" s="65"/>
      <c r="G65" s="65"/>
      <c r="H65" s="65"/>
      <c r="I65" s="47">
        <v>2</v>
      </c>
      <c r="J65" s="46">
        <v>2</v>
      </c>
      <c r="K65" s="46"/>
      <c r="L65" s="46"/>
      <c r="M65" s="46"/>
      <c r="N65" s="46">
        <v>0.16</v>
      </c>
      <c r="O65" s="17"/>
      <c r="P65" s="18"/>
      <c r="Q65" s="17"/>
      <c r="R65" s="17"/>
      <c r="S65" s="17"/>
    </row>
    <row r="66" spans="1:35" ht="26.4" x14ac:dyDescent="0.25">
      <c r="A66" s="68" t="s">
        <v>120</v>
      </c>
      <c r="B66" s="65"/>
      <c r="C66" s="65"/>
      <c r="D66" s="65"/>
      <c r="E66" s="65"/>
      <c r="F66" s="65"/>
      <c r="G66" s="65"/>
      <c r="H66" s="65"/>
      <c r="I66" s="47">
        <v>486411</v>
      </c>
      <c r="J66" s="46">
        <v>95385</v>
      </c>
      <c r="K66" s="46" t="s">
        <v>237</v>
      </c>
      <c r="L66" s="46">
        <v>365454</v>
      </c>
      <c r="M66" s="46"/>
      <c r="N66" s="46" t="s">
        <v>232</v>
      </c>
      <c r="O66" s="17"/>
      <c r="P66" s="18"/>
      <c r="Q66" s="17"/>
      <c r="R66" s="17"/>
      <c r="S66" s="17"/>
    </row>
    <row r="67" spans="1:35" x14ac:dyDescent="0.25">
      <c r="A67" s="68" t="s">
        <v>122</v>
      </c>
      <c r="B67" s="65"/>
      <c r="C67" s="65"/>
      <c r="D67" s="65"/>
      <c r="E67" s="65"/>
      <c r="F67" s="65"/>
      <c r="G67" s="65"/>
      <c r="H67" s="65"/>
      <c r="I67" s="47">
        <v>86326</v>
      </c>
      <c r="J67" s="46"/>
      <c r="K67" s="46"/>
      <c r="L67" s="46"/>
      <c r="M67" s="46"/>
      <c r="N67" s="46"/>
      <c r="O67" s="17"/>
      <c r="P67" s="18"/>
      <c r="Q67" s="17"/>
      <c r="R67" s="17"/>
      <c r="S67" s="17"/>
    </row>
    <row r="68" spans="1:35" x14ac:dyDescent="0.25">
      <c r="A68" s="68" t="s">
        <v>123</v>
      </c>
      <c r="B68" s="65"/>
      <c r="C68" s="65"/>
      <c r="D68" s="65"/>
      <c r="E68" s="65"/>
      <c r="F68" s="65"/>
      <c r="G68" s="65"/>
      <c r="H68" s="65"/>
      <c r="I68" s="47">
        <v>45190</v>
      </c>
      <c r="J68" s="46"/>
      <c r="K68" s="46"/>
      <c r="L68" s="46"/>
      <c r="M68" s="46"/>
      <c r="N68" s="46"/>
      <c r="O68" s="17"/>
      <c r="P68" s="18"/>
      <c r="Q68" s="17"/>
      <c r="R68" s="17"/>
      <c r="S68" s="17"/>
    </row>
    <row r="69" spans="1:35" ht="26.4" x14ac:dyDescent="0.25">
      <c r="A69" s="69" t="s">
        <v>238</v>
      </c>
      <c r="B69" s="70"/>
      <c r="C69" s="70"/>
      <c r="D69" s="70"/>
      <c r="E69" s="70"/>
      <c r="F69" s="70"/>
      <c r="G69" s="70"/>
      <c r="H69" s="70"/>
      <c r="I69" s="58">
        <v>617927</v>
      </c>
      <c r="J69" s="59"/>
      <c r="K69" s="59"/>
      <c r="L69" s="59"/>
      <c r="M69" s="59"/>
      <c r="N69" s="59" t="s">
        <v>232</v>
      </c>
      <c r="O69" s="17"/>
      <c r="P69" s="18"/>
      <c r="Q69" s="17"/>
      <c r="R69" s="17"/>
      <c r="S69" s="17"/>
    </row>
    <row r="70" spans="1:35" ht="21" customHeight="1" x14ac:dyDescent="0.25">
      <c r="A70" s="71" t="s">
        <v>239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ht="92.4" x14ac:dyDescent="0.25">
      <c r="A71" s="43">
        <v>31</v>
      </c>
      <c r="B71" s="44" t="s">
        <v>240</v>
      </c>
      <c r="C71" s="45" t="str">
        <f t="shared" ref="C71:C77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Планировка площадей бульдозерами мощностью: 59 кВт (80 л.с.)
1000 м2 спланированной поверхности за 1 проход бульдозера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12 руб. НР 73%=95%*(0,85*0,9) от ФОТ (17 руб.)
6 руб.СП 34%=50%*(0,8*0,85) от ФОТ (17 руб.)
</v>
      </c>
      <c r="D71" s="43">
        <v>0.126</v>
      </c>
      <c r="E71" s="46">
        <v>22.6</v>
      </c>
      <c r="F71" s="46" t="s">
        <v>241</v>
      </c>
      <c r="G71" s="46"/>
      <c r="H71" s="62" t="s">
        <v>242</v>
      </c>
      <c r="I71" s="47">
        <v>61</v>
      </c>
      <c r="J71" s="46"/>
      <c r="K71" s="46" t="s">
        <v>243</v>
      </c>
      <c r="L71" s="46" t="str">
        <f>IF(0.126*0=0," ",TEXT(,ROUND((0.126*0*1),2)))</f>
        <v xml:space="preserve"> </v>
      </c>
      <c r="M71" s="46" t="s">
        <v>244</v>
      </c>
      <c r="N71" s="46" t="s">
        <v>245</v>
      </c>
      <c r="O71" s="48"/>
      <c r="P71" s="48"/>
      <c r="Q71" s="48"/>
      <c r="R71" s="48"/>
      <c r="S71" s="48"/>
      <c r="T71" s="49"/>
      <c r="U71" s="49"/>
      <c r="V71" s="49"/>
      <c r="W71" s="49"/>
      <c r="X71" s="49"/>
      <c r="Y71" s="49"/>
      <c r="Z71" s="49"/>
      <c r="AA71" s="49" t="s">
        <v>34</v>
      </c>
      <c r="AB71" s="49" t="s">
        <v>35</v>
      </c>
      <c r="AC71" s="49">
        <v>12</v>
      </c>
      <c r="AD71" s="49">
        <v>6</v>
      </c>
      <c r="AE71" s="50" t="s">
        <v>36</v>
      </c>
      <c r="AF71" s="49" t="s">
        <v>246</v>
      </c>
      <c r="AG71" s="49" t="s">
        <v>247</v>
      </c>
      <c r="AH71" s="49"/>
      <c r="AI71" s="49">
        <f>0+17</f>
        <v>17</v>
      </c>
    </row>
    <row r="72" spans="1:35" ht="92.4" x14ac:dyDescent="0.25">
      <c r="A72" s="43">
        <v>32</v>
      </c>
      <c r="B72" s="44" t="s">
        <v>248</v>
      </c>
      <c r="C72" s="45" t="str">
        <f t="shared" ca="1" si="2"/>
        <v xml:space="preserve">Устройство основания под фундаменты: гравийного
1 м3 основания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5172 руб. НР 93%=122%*(0,85*0,9) от ФОТ (5561 руб.)
3003 руб.СП 54%=80%*(0,8*0,85) от ФОТ (5561 руб.)
</v>
      </c>
      <c r="D72" s="43">
        <v>10.8</v>
      </c>
      <c r="E72" s="46" t="s">
        <v>249</v>
      </c>
      <c r="F72" s="46" t="s">
        <v>250</v>
      </c>
      <c r="G72" s="46">
        <v>221.81</v>
      </c>
      <c r="H72" s="62" t="s">
        <v>251</v>
      </c>
      <c r="I72" s="47">
        <v>21230</v>
      </c>
      <c r="J72" s="46">
        <v>4293</v>
      </c>
      <c r="K72" s="46" t="s">
        <v>252</v>
      </c>
      <c r="L72" s="46" t="str">
        <f>IF(10.8*221.81=0," ",TEXT(,ROUND((10.8*221.81*5.21),2)))</f>
        <v>12480,81</v>
      </c>
      <c r="M72" s="46" t="s">
        <v>253</v>
      </c>
      <c r="N72" s="46" t="s">
        <v>254</v>
      </c>
      <c r="O72" s="48"/>
      <c r="P72" s="48"/>
      <c r="Q72" s="48"/>
      <c r="R72" s="48"/>
      <c r="S72" s="48"/>
      <c r="T72" s="49"/>
      <c r="U72" s="49"/>
      <c r="V72" s="49"/>
      <c r="W72" s="49"/>
      <c r="X72" s="49"/>
      <c r="Y72" s="49"/>
      <c r="Z72" s="49"/>
      <c r="AA72" s="49" t="s">
        <v>147</v>
      </c>
      <c r="AB72" s="49" t="s">
        <v>148</v>
      </c>
      <c r="AC72" s="49">
        <v>5172</v>
      </c>
      <c r="AD72" s="49">
        <v>3003</v>
      </c>
      <c r="AE72" s="50" t="s">
        <v>36</v>
      </c>
      <c r="AF72" s="49" t="s">
        <v>255</v>
      </c>
      <c r="AG72" s="49" t="s">
        <v>256</v>
      </c>
      <c r="AH72" s="49"/>
      <c r="AI72" s="49">
        <f>4293+1268</f>
        <v>5561</v>
      </c>
    </row>
    <row r="73" spans="1:35" ht="52.8" x14ac:dyDescent="0.25">
      <c r="A73" s="43">
        <v>33</v>
      </c>
      <c r="B73" s="44" t="s">
        <v>257</v>
      </c>
      <c r="C73" s="45" t="str">
        <f t="shared" ca="1" si="2"/>
        <v xml:space="preserve">Гравий для строительных работ марка: Др.16, фракция 20-40 мм
м3
</v>
      </c>
      <c r="D73" s="43">
        <v>-13.82</v>
      </c>
      <c r="E73" s="46">
        <v>173</v>
      </c>
      <c r="F73" s="46"/>
      <c r="G73" s="46">
        <v>173</v>
      </c>
      <c r="H73" s="62" t="s">
        <v>258</v>
      </c>
      <c r="I73" s="47">
        <v>-12438</v>
      </c>
      <c r="J73" s="46"/>
      <c r="K73" s="46"/>
      <c r="L73" s="46" t="str">
        <f>IF(-13.82*173=0," ",TEXT(,ROUND((-13.82*173*5.202),2)))</f>
        <v>-12437,25</v>
      </c>
      <c r="M73" s="46"/>
      <c r="N73" s="46"/>
      <c r="O73" s="48"/>
      <c r="P73" s="48"/>
      <c r="Q73" s="48"/>
      <c r="R73" s="48"/>
      <c r="S73" s="48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 t="s">
        <v>259</v>
      </c>
      <c r="AG73" s="49" t="s">
        <v>140</v>
      </c>
      <c r="AH73" s="49"/>
      <c r="AI73" s="49">
        <f>0+0</f>
        <v>0</v>
      </c>
    </row>
    <row r="74" spans="1:35" ht="52.8" x14ac:dyDescent="0.25">
      <c r="A74" s="43">
        <v>34</v>
      </c>
      <c r="B74" s="44" t="s">
        <v>260</v>
      </c>
      <c r="C74" s="45" t="str">
        <f t="shared" ca="1" si="2"/>
        <v xml:space="preserve">Смесь песчано-гравийная природная
м3
</v>
      </c>
      <c r="D74" s="43">
        <v>13.391999999999999</v>
      </c>
      <c r="E74" s="46">
        <v>60</v>
      </c>
      <c r="F74" s="46"/>
      <c r="G74" s="46">
        <v>60</v>
      </c>
      <c r="H74" s="62" t="s">
        <v>261</v>
      </c>
      <c r="I74" s="47">
        <v>8765</v>
      </c>
      <c r="J74" s="46"/>
      <c r="K74" s="46"/>
      <c r="L74" s="46" t="str">
        <f>IF(13.392*60=0," ",TEXT(,ROUND((13.392*60*10.902),2)))</f>
        <v>8759,98</v>
      </c>
      <c r="M74" s="46"/>
      <c r="N74" s="46"/>
      <c r="O74" s="48"/>
      <c r="P74" s="48"/>
      <c r="Q74" s="48"/>
      <c r="R74" s="48"/>
      <c r="S74" s="48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 t="s">
        <v>262</v>
      </c>
      <c r="AG74" s="49" t="s">
        <v>140</v>
      </c>
      <c r="AH74" s="49"/>
      <c r="AI74" s="49">
        <f>0+0</f>
        <v>0</v>
      </c>
    </row>
    <row r="75" spans="1:35" ht="92.4" x14ac:dyDescent="0.25">
      <c r="A75" s="43">
        <v>35</v>
      </c>
      <c r="B75" s="44" t="s">
        <v>263</v>
      </c>
      <c r="C75" s="45" t="str">
        <f t="shared" ca="1" si="2"/>
        <v xml:space="preserve">Устройство бетонной подготовки
100 м3 бетона, бутобетона и железобетона в деле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2813 руб. НР 80%=105%*(0,85*0,9) от ФОТ (3516 руб.)
1547 руб.СП 44%=65%*(0,8*0,85) от ФОТ (3516 руб.)
</v>
      </c>
      <c r="D75" s="43">
        <v>0.108</v>
      </c>
      <c r="E75" s="46" t="s">
        <v>264</v>
      </c>
      <c r="F75" s="46" t="s">
        <v>265</v>
      </c>
      <c r="G75" s="46">
        <v>55590.49</v>
      </c>
      <c r="H75" s="62" t="s">
        <v>266</v>
      </c>
      <c r="I75" s="47">
        <v>35698</v>
      </c>
      <c r="J75" s="46">
        <v>2958</v>
      </c>
      <c r="K75" s="46" t="s">
        <v>267</v>
      </c>
      <c r="L75" s="46" t="str">
        <f>IF(0.108*55590.49=0," ",TEXT(,ROUND((0.108*55590.49*5.02),2)))</f>
        <v>30138,94</v>
      </c>
      <c r="M75" s="46" t="s">
        <v>268</v>
      </c>
      <c r="N75" s="46" t="s">
        <v>269</v>
      </c>
      <c r="O75" s="48"/>
      <c r="P75" s="48"/>
      <c r="Q75" s="48"/>
      <c r="R75" s="48"/>
      <c r="S75" s="48"/>
      <c r="T75" s="49"/>
      <c r="U75" s="49"/>
      <c r="V75" s="49"/>
      <c r="W75" s="49"/>
      <c r="X75" s="49"/>
      <c r="Y75" s="49"/>
      <c r="Z75" s="49"/>
      <c r="AA75" s="49" t="s">
        <v>133</v>
      </c>
      <c r="AB75" s="49" t="s">
        <v>134</v>
      </c>
      <c r="AC75" s="49">
        <v>2813</v>
      </c>
      <c r="AD75" s="49">
        <v>1547</v>
      </c>
      <c r="AE75" s="50" t="s">
        <v>36</v>
      </c>
      <c r="AF75" s="49" t="s">
        <v>270</v>
      </c>
      <c r="AG75" s="49" t="s">
        <v>271</v>
      </c>
      <c r="AH75" s="49"/>
      <c r="AI75" s="49">
        <f>2958+558</f>
        <v>3516</v>
      </c>
    </row>
    <row r="76" spans="1:35" ht="52.8" x14ac:dyDescent="0.25">
      <c r="A76" s="43">
        <v>36</v>
      </c>
      <c r="B76" s="44" t="s">
        <v>272</v>
      </c>
      <c r="C76" s="45" t="str">
        <f t="shared" ca="1" si="2"/>
        <v xml:space="preserve">Бетон тяжелый, крупность заполнителя: 20 мм, класс В3,5 (М50)
м3
</v>
      </c>
      <c r="D76" s="43">
        <v>-11.02</v>
      </c>
      <c r="E76" s="46">
        <v>520</v>
      </c>
      <c r="F76" s="46"/>
      <c r="G76" s="46">
        <v>520</v>
      </c>
      <c r="H76" s="62" t="s">
        <v>273</v>
      </c>
      <c r="I76" s="47">
        <v>-29177</v>
      </c>
      <c r="J76" s="46"/>
      <c r="K76" s="46"/>
      <c r="L76" s="46" t="str">
        <f>IF(-11.02*520=0," ",TEXT(,ROUND((-11.02*520*5.092),2)))</f>
        <v>-29179,2</v>
      </c>
      <c r="M76" s="46"/>
      <c r="N76" s="46"/>
      <c r="O76" s="48"/>
      <c r="P76" s="48"/>
      <c r="Q76" s="48"/>
      <c r="R76" s="48"/>
      <c r="S76" s="48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 t="s">
        <v>274</v>
      </c>
      <c r="AG76" s="49" t="s">
        <v>140</v>
      </c>
      <c r="AH76" s="49"/>
      <c r="AI76" s="49">
        <f>0+0</f>
        <v>0</v>
      </c>
    </row>
    <row r="77" spans="1:35" ht="52.8" x14ac:dyDescent="0.25">
      <c r="A77" s="52">
        <v>37</v>
      </c>
      <c r="B77" s="53" t="s">
        <v>275</v>
      </c>
      <c r="C77" s="54" t="str">
        <f t="shared" ca="1" si="2"/>
        <v xml:space="preserve">Бетон тяжелый, крупность заполнителя: 20 мм, класс В7,5 (М100)
м3
</v>
      </c>
      <c r="D77" s="52">
        <v>11.02</v>
      </c>
      <c r="E77" s="55">
        <v>535.46</v>
      </c>
      <c r="F77" s="55"/>
      <c r="G77" s="55">
        <v>535.46</v>
      </c>
      <c r="H77" s="56" t="s">
        <v>276</v>
      </c>
      <c r="I77" s="57">
        <v>31865</v>
      </c>
      <c r="J77" s="55"/>
      <c r="K77" s="55"/>
      <c r="L77" s="55" t="str">
        <f>IF(11.02*535.46=0," ",TEXT(,ROUND((11.02*535.46*5.4),2)))</f>
        <v>31864,15</v>
      </c>
      <c r="M77" s="55"/>
      <c r="N77" s="55"/>
      <c r="O77" s="48"/>
      <c r="P77" s="48"/>
      <c r="Q77" s="48"/>
      <c r="R77" s="48"/>
      <c r="S77" s="48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 t="s">
        <v>277</v>
      </c>
      <c r="AG77" s="49" t="s">
        <v>140</v>
      </c>
      <c r="AH77" s="49"/>
      <c r="AI77" s="49">
        <f>0+0</f>
        <v>0</v>
      </c>
    </row>
    <row r="78" spans="1:35" ht="26.4" x14ac:dyDescent="0.25">
      <c r="A78" s="68" t="s">
        <v>107</v>
      </c>
      <c r="B78" s="65"/>
      <c r="C78" s="65"/>
      <c r="D78" s="65"/>
      <c r="E78" s="65"/>
      <c r="F78" s="65"/>
      <c r="G78" s="65"/>
      <c r="H78" s="65"/>
      <c r="I78" s="47">
        <v>8061</v>
      </c>
      <c r="J78" s="46">
        <v>373</v>
      </c>
      <c r="K78" s="46" t="s">
        <v>278</v>
      </c>
      <c r="L78" s="46">
        <v>6984</v>
      </c>
      <c r="M78" s="46"/>
      <c r="N78" s="46" t="s">
        <v>279</v>
      </c>
      <c r="O78" s="17"/>
      <c r="P78" s="18"/>
      <c r="Q78" s="17"/>
      <c r="R78" s="17"/>
      <c r="S78" s="17"/>
    </row>
    <row r="79" spans="1:35" ht="26.4" x14ac:dyDescent="0.25">
      <c r="A79" s="68" t="s">
        <v>110</v>
      </c>
      <c r="B79" s="65"/>
      <c r="C79" s="65"/>
      <c r="D79" s="65"/>
      <c r="E79" s="65"/>
      <c r="F79" s="65"/>
      <c r="G79" s="65"/>
      <c r="H79" s="65"/>
      <c r="I79" s="47">
        <v>8294</v>
      </c>
      <c r="J79" s="46">
        <v>429</v>
      </c>
      <c r="K79" s="46" t="s">
        <v>280</v>
      </c>
      <c r="L79" s="46">
        <v>6984</v>
      </c>
      <c r="M79" s="46"/>
      <c r="N79" s="46" t="s">
        <v>281</v>
      </c>
      <c r="O79" s="17"/>
      <c r="P79" s="18"/>
      <c r="Q79" s="17"/>
      <c r="R79" s="17"/>
      <c r="S79" s="17"/>
    </row>
    <row r="80" spans="1:35" x14ac:dyDescent="0.25">
      <c r="A80" s="68" t="s">
        <v>113</v>
      </c>
      <c r="B80" s="65"/>
      <c r="C80" s="65"/>
      <c r="D80" s="65"/>
      <c r="E80" s="65"/>
      <c r="F80" s="65"/>
      <c r="G80" s="65"/>
      <c r="H80" s="65"/>
      <c r="I80" s="47"/>
      <c r="J80" s="46"/>
      <c r="K80" s="46"/>
      <c r="L80" s="46"/>
      <c r="M80" s="46"/>
      <c r="N80" s="46"/>
      <c r="O80" s="17"/>
      <c r="P80" s="18"/>
      <c r="Q80" s="17"/>
      <c r="R80" s="17"/>
      <c r="S80" s="17"/>
    </row>
    <row r="81" spans="1:19" ht="27.9" customHeight="1" x14ac:dyDescent="0.25">
      <c r="A81" s="68" t="s">
        <v>282</v>
      </c>
      <c r="B81" s="65"/>
      <c r="C81" s="65"/>
      <c r="D81" s="65"/>
      <c r="E81" s="65"/>
      <c r="F81" s="65"/>
      <c r="G81" s="65"/>
      <c r="H81" s="65"/>
      <c r="I81" s="47">
        <v>233</v>
      </c>
      <c r="J81" s="46">
        <v>56</v>
      </c>
      <c r="K81" s="46" t="s">
        <v>283</v>
      </c>
      <c r="L81" s="46"/>
      <c r="M81" s="46"/>
      <c r="N81" s="46" t="s">
        <v>284</v>
      </c>
      <c r="O81" s="17"/>
      <c r="P81" s="18"/>
      <c r="Q81" s="17"/>
      <c r="R81" s="17"/>
      <c r="S81" s="17"/>
    </row>
    <row r="82" spans="1:19" ht="26.4" x14ac:dyDescent="0.25">
      <c r="A82" s="68" t="s">
        <v>120</v>
      </c>
      <c r="B82" s="65"/>
      <c r="C82" s="65"/>
      <c r="D82" s="65"/>
      <c r="E82" s="65"/>
      <c r="F82" s="65"/>
      <c r="G82" s="65"/>
      <c r="H82" s="65"/>
      <c r="I82" s="47">
        <v>56004</v>
      </c>
      <c r="J82" s="46">
        <v>7251</v>
      </c>
      <c r="K82" s="46" t="s">
        <v>285</v>
      </c>
      <c r="L82" s="46">
        <v>41638</v>
      </c>
      <c r="M82" s="46"/>
      <c r="N82" s="46" t="s">
        <v>281</v>
      </c>
      <c r="O82" s="17"/>
      <c r="P82" s="18"/>
      <c r="Q82" s="17"/>
      <c r="R82" s="17"/>
      <c r="S82" s="17"/>
    </row>
    <row r="83" spans="1:19" x14ac:dyDescent="0.25">
      <c r="A83" s="68" t="s">
        <v>122</v>
      </c>
      <c r="B83" s="65"/>
      <c r="C83" s="65"/>
      <c r="D83" s="65"/>
      <c r="E83" s="65"/>
      <c r="F83" s="65"/>
      <c r="G83" s="65"/>
      <c r="H83" s="65"/>
      <c r="I83" s="47">
        <v>7997</v>
      </c>
      <c r="J83" s="46"/>
      <c r="K83" s="46"/>
      <c r="L83" s="46"/>
      <c r="M83" s="46"/>
      <c r="N83" s="46"/>
      <c r="O83" s="17"/>
      <c r="P83" s="18"/>
      <c r="Q83" s="17"/>
      <c r="R83" s="17"/>
      <c r="S83" s="17"/>
    </row>
    <row r="84" spans="1:19" x14ac:dyDescent="0.25">
      <c r="A84" s="68" t="s">
        <v>123</v>
      </c>
      <c r="B84" s="65"/>
      <c r="C84" s="65"/>
      <c r="D84" s="65"/>
      <c r="E84" s="65"/>
      <c r="F84" s="65"/>
      <c r="G84" s="65"/>
      <c r="H84" s="65"/>
      <c r="I84" s="47">
        <v>4556</v>
      </c>
      <c r="J84" s="46"/>
      <c r="K84" s="46"/>
      <c r="L84" s="46"/>
      <c r="M84" s="46"/>
      <c r="N84" s="46"/>
      <c r="O84" s="17"/>
      <c r="P84" s="18"/>
      <c r="Q84" s="17"/>
      <c r="R84" s="17"/>
      <c r="S84" s="17"/>
    </row>
    <row r="85" spans="1:19" ht="26.4" x14ac:dyDescent="0.25">
      <c r="A85" s="69" t="s">
        <v>286</v>
      </c>
      <c r="B85" s="70"/>
      <c r="C85" s="70"/>
      <c r="D85" s="70"/>
      <c r="E85" s="70"/>
      <c r="F85" s="70"/>
      <c r="G85" s="70"/>
      <c r="H85" s="70"/>
      <c r="I85" s="58">
        <v>68557</v>
      </c>
      <c r="J85" s="59"/>
      <c r="K85" s="59"/>
      <c r="L85" s="59"/>
      <c r="M85" s="59"/>
      <c r="N85" s="59" t="s">
        <v>281</v>
      </c>
      <c r="O85" s="17"/>
      <c r="P85" s="18"/>
      <c r="Q85" s="17"/>
      <c r="R85" s="17"/>
      <c r="S85" s="17"/>
    </row>
    <row r="86" spans="1:19" ht="26.4" x14ac:dyDescent="0.25">
      <c r="A86" s="64" t="s">
        <v>287</v>
      </c>
      <c r="B86" s="65"/>
      <c r="C86" s="65"/>
      <c r="D86" s="65"/>
      <c r="E86" s="65"/>
      <c r="F86" s="65"/>
      <c r="G86" s="65"/>
      <c r="H86" s="65"/>
      <c r="I86" s="60">
        <v>85906</v>
      </c>
      <c r="J86" s="60">
        <v>7694</v>
      </c>
      <c r="K86" s="60" t="s">
        <v>288</v>
      </c>
      <c r="L86" s="60">
        <v>72740</v>
      </c>
      <c r="M86" s="60"/>
      <c r="N86" s="60" t="s">
        <v>289</v>
      </c>
      <c r="O86" s="17"/>
      <c r="P86" s="18"/>
      <c r="Q86" s="17"/>
      <c r="R86" s="17"/>
      <c r="S86" s="17"/>
    </row>
    <row r="87" spans="1:19" ht="26.4" x14ac:dyDescent="0.25">
      <c r="A87" s="64" t="s">
        <v>290</v>
      </c>
      <c r="B87" s="65"/>
      <c r="C87" s="65"/>
      <c r="D87" s="65"/>
      <c r="E87" s="65"/>
      <c r="F87" s="65"/>
      <c r="G87" s="65"/>
      <c r="H87" s="65"/>
      <c r="I87" s="60">
        <v>88687</v>
      </c>
      <c r="J87" s="60">
        <v>9239</v>
      </c>
      <c r="K87" s="60" t="s">
        <v>291</v>
      </c>
      <c r="L87" s="60">
        <v>72740</v>
      </c>
      <c r="M87" s="60"/>
      <c r="N87" s="60" t="s">
        <v>292</v>
      </c>
      <c r="O87" s="17"/>
      <c r="P87" s="18"/>
      <c r="Q87" s="17"/>
      <c r="R87" s="17"/>
      <c r="S87" s="17"/>
    </row>
    <row r="88" spans="1:19" ht="26.4" x14ac:dyDescent="0.25">
      <c r="A88" s="64" t="s">
        <v>293</v>
      </c>
      <c r="B88" s="65"/>
      <c r="C88" s="65"/>
      <c r="D88" s="65"/>
      <c r="E88" s="65"/>
      <c r="F88" s="65"/>
      <c r="G88" s="65"/>
      <c r="H88" s="65"/>
      <c r="I88" s="60">
        <v>631670</v>
      </c>
      <c r="J88" s="60">
        <v>156141</v>
      </c>
      <c r="K88" s="60" t="s">
        <v>294</v>
      </c>
      <c r="L88" s="60">
        <v>407092</v>
      </c>
      <c r="M88" s="60"/>
      <c r="N88" s="60" t="s">
        <v>292</v>
      </c>
      <c r="O88" s="17"/>
      <c r="P88" s="18"/>
      <c r="Q88" s="17"/>
      <c r="R88" s="17"/>
      <c r="S88" s="17"/>
    </row>
    <row r="89" spans="1:19" x14ac:dyDescent="0.25">
      <c r="A89" s="64" t="s">
        <v>122</v>
      </c>
      <c r="B89" s="65"/>
      <c r="C89" s="65"/>
      <c r="D89" s="65"/>
      <c r="E89" s="65"/>
      <c r="F89" s="65"/>
      <c r="G89" s="65"/>
      <c r="H89" s="65"/>
      <c r="I89" s="60">
        <v>139803</v>
      </c>
      <c r="J89" s="60"/>
      <c r="K89" s="60"/>
      <c r="L89" s="60"/>
      <c r="M89" s="60"/>
      <c r="N89" s="60"/>
      <c r="O89" s="17"/>
      <c r="P89" s="18"/>
      <c r="Q89" s="17"/>
      <c r="R89" s="17"/>
      <c r="S89" s="17"/>
    </row>
    <row r="90" spans="1:19" x14ac:dyDescent="0.25">
      <c r="A90" s="64" t="s">
        <v>123</v>
      </c>
      <c r="B90" s="65"/>
      <c r="C90" s="65"/>
      <c r="D90" s="65"/>
      <c r="E90" s="65"/>
      <c r="F90" s="65"/>
      <c r="G90" s="65"/>
      <c r="H90" s="65"/>
      <c r="I90" s="60">
        <v>78217</v>
      </c>
      <c r="J90" s="60"/>
      <c r="K90" s="60"/>
      <c r="L90" s="60"/>
      <c r="M90" s="60"/>
      <c r="N90" s="60"/>
      <c r="O90" s="17"/>
      <c r="P90" s="18"/>
      <c r="Q90" s="17"/>
      <c r="R90" s="17"/>
      <c r="S90" s="17"/>
    </row>
    <row r="91" spans="1:19" x14ac:dyDescent="0.25">
      <c r="A91" s="66" t="s">
        <v>295</v>
      </c>
      <c r="B91" s="67"/>
      <c r="C91" s="67"/>
      <c r="D91" s="67"/>
      <c r="E91" s="67"/>
      <c r="F91" s="67"/>
      <c r="G91" s="67"/>
      <c r="H91" s="67"/>
      <c r="I91" s="61"/>
      <c r="J91" s="61"/>
      <c r="K91" s="61"/>
      <c r="L91" s="61"/>
      <c r="M91" s="61"/>
      <c r="N91" s="61"/>
      <c r="O91" s="17"/>
      <c r="P91" s="18"/>
      <c r="Q91" s="17"/>
      <c r="R91" s="17"/>
      <c r="S91" s="17"/>
    </row>
    <row r="92" spans="1:19" ht="26.4" x14ac:dyDescent="0.25">
      <c r="A92" s="64" t="s">
        <v>296</v>
      </c>
      <c r="B92" s="65"/>
      <c r="C92" s="65"/>
      <c r="D92" s="65"/>
      <c r="E92" s="65"/>
      <c r="F92" s="65"/>
      <c r="G92" s="65"/>
      <c r="H92" s="65"/>
      <c r="I92" s="60">
        <v>15152</v>
      </c>
      <c r="J92" s="60"/>
      <c r="K92" s="60"/>
      <c r="L92" s="60"/>
      <c r="M92" s="60"/>
      <c r="N92" s="60" t="s">
        <v>297</v>
      </c>
      <c r="O92" s="17"/>
      <c r="P92" s="18"/>
      <c r="Q92" s="17"/>
      <c r="R92" s="17"/>
      <c r="S92" s="17"/>
    </row>
    <row r="93" spans="1:19" x14ac:dyDescent="0.25">
      <c r="A93" s="64" t="s">
        <v>298</v>
      </c>
      <c r="B93" s="65"/>
      <c r="C93" s="65"/>
      <c r="D93" s="65"/>
      <c r="E93" s="65"/>
      <c r="F93" s="65"/>
      <c r="G93" s="65"/>
      <c r="H93" s="65"/>
      <c r="I93" s="60">
        <v>57114</v>
      </c>
      <c r="J93" s="60"/>
      <c r="K93" s="60"/>
      <c r="L93" s="60"/>
      <c r="M93" s="60"/>
      <c r="N93" s="60">
        <v>195.14</v>
      </c>
      <c r="O93" s="17"/>
      <c r="P93" s="18"/>
      <c r="Q93" s="17"/>
      <c r="R93" s="17"/>
      <c r="S93" s="17"/>
    </row>
    <row r="94" spans="1:19" ht="27.9" customHeight="1" x14ac:dyDescent="0.25">
      <c r="A94" s="64" t="s">
        <v>299</v>
      </c>
      <c r="B94" s="65"/>
      <c r="C94" s="65"/>
      <c r="D94" s="65"/>
      <c r="E94" s="65"/>
      <c r="F94" s="65"/>
      <c r="G94" s="65"/>
      <c r="H94" s="65"/>
      <c r="I94" s="60">
        <v>23826</v>
      </c>
      <c r="J94" s="60"/>
      <c r="K94" s="60"/>
      <c r="L94" s="60"/>
      <c r="M94" s="60"/>
      <c r="N94" s="60" t="s">
        <v>300</v>
      </c>
      <c r="O94" s="17"/>
      <c r="P94" s="18"/>
      <c r="Q94" s="17"/>
      <c r="R94" s="17"/>
      <c r="S94" s="17"/>
    </row>
    <row r="95" spans="1:19" ht="26.4" x14ac:dyDescent="0.25">
      <c r="A95" s="64" t="s">
        <v>301</v>
      </c>
      <c r="B95" s="65"/>
      <c r="C95" s="65"/>
      <c r="D95" s="65"/>
      <c r="E95" s="65"/>
      <c r="F95" s="65"/>
      <c r="G95" s="65"/>
      <c r="H95" s="65"/>
      <c r="I95" s="60">
        <v>47229</v>
      </c>
      <c r="J95" s="60"/>
      <c r="K95" s="60"/>
      <c r="L95" s="60"/>
      <c r="M95" s="60"/>
      <c r="N95" s="60" t="s">
        <v>302</v>
      </c>
      <c r="O95" s="17"/>
      <c r="P95" s="18"/>
      <c r="Q95" s="17"/>
      <c r="R95" s="17"/>
      <c r="S95" s="17"/>
    </row>
    <row r="96" spans="1:19" x14ac:dyDescent="0.25">
      <c r="A96" s="64" t="s">
        <v>303</v>
      </c>
      <c r="B96" s="65"/>
      <c r="C96" s="65"/>
      <c r="D96" s="65"/>
      <c r="E96" s="65"/>
      <c r="F96" s="65"/>
      <c r="G96" s="65"/>
      <c r="H96" s="65"/>
      <c r="I96" s="60">
        <v>6236</v>
      </c>
      <c r="J96" s="60"/>
      <c r="K96" s="60"/>
      <c r="L96" s="60"/>
      <c r="M96" s="60"/>
      <c r="N96" s="60">
        <v>17.72</v>
      </c>
      <c r="O96" s="17"/>
      <c r="P96" s="18"/>
      <c r="Q96" s="17"/>
      <c r="R96" s="17"/>
      <c r="S96" s="17"/>
    </row>
    <row r="97" spans="1:19" x14ac:dyDescent="0.25">
      <c r="A97" s="64" t="s">
        <v>304</v>
      </c>
      <c r="B97" s="65"/>
      <c r="C97" s="65"/>
      <c r="D97" s="65"/>
      <c r="E97" s="65"/>
      <c r="F97" s="65"/>
      <c r="G97" s="65"/>
      <c r="H97" s="65"/>
      <c r="I97" s="60">
        <v>7733</v>
      </c>
      <c r="J97" s="60"/>
      <c r="K97" s="60"/>
      <c r="L97" s="60"/>
      <c r="M97" s="60"/>
      <c r="N97" s="60"/>
      <c r="O97" s="17"/>
      <c r="P97" s="18"/>
      <c r="Q97" s="17"/>
      <c r="R97" s="17"/>
      <c r="S97" s="17"/>
    </row>
    <row r="98" spans="1:19" x14ac:dyDescent="0.25">
      <c r="A98" s="64" t="s">
        <v>305</v>
      </c>
      <c r="B98" s="65"/>
      <c r="C98" s="65"/>
      <c r="D98" s="65"/>
      <c r="E98" s="65"/>
      <c r="F98" s="65"/>
      <c r="G98" s="65"/>
      <c r="H98" s="65"/>
      <c r="I98" s="60">
        <v>6199</v>
      </c>
      <c r="J98" s="60"/>
      <c r="K98" s="60"/>
      <c r="L98" s="60"/>
      <c r="M98" s="60"/>
      <c r="N98" s="60"/>
      <c r="O98" s="17"/>
      <c r="P98" s="18"/>
      <c r="Q98" s="17"/>
      <c r="R98" s="17"/>
      <c r="S98" s="17"/>
    </row>
    <row r="99" spans="1:19" ht="26.4" x14ac:dyDescent="0.25">
      <c r="A99" s="64" t="s">
        <v>306</v>
      </c>
      <c r="B99" s="65"/>
      <c r="C99" s="65"/>
      <c r="D99" s="65"/>
      <c r="E99" s="65"/>
      <c r="F99" s="65"/>
      <c r="G99" s="65"/>
      <c r="H99" s="65"/>
      <c r="I99" s="60">
        <v>278184</v>
      </c>
      <c r="J99" s="60"/>
      <c r="K99" s="60"/>
      <c r="L99" s="60"/>
      <c r="M99" s="60"/>
      <c r="N99" s="60" t="s">
        <v>307</v>
      </c>
      <c r="O99" s="17"/>
      <c r="P99" s="18"/>
      <c r="Q99" s="17"/>
      <c r="R99" s="17"/>
      <c r="S99" s="17"/>
    </row>
    <row r="100" spans="1:19" x14ac:dyDescent="0.25">
      <c r="A100" s="64" t="s">
        <v>308</v>
      </c>
      <c r="B100" s="65"/>
      <c r="C100" s="65"/>
      <c r="D100" s="65"/>
      <c r="E100" s="65"/>
      <c r="F100" s="65"/>
      <c r="G100" s="65"/>
      <c r="H100" s="65"/>
      <c r="I100" s="60">
        <v>32488</v>
      </c>
      <c r="J100" s="60"/>
      <c r="K100" s="60"/>
      <c r="L100" s="60"/>
      <c r="M100" s="60"/>
      <c r="N100" s="60"/>
      <c r="O100" s="17"/>
      <c r="P100" s="18"/>
      <c r="Q100" s="17"/>
      <c r="R100" s="17"/>
      <c r="S100" s="17"/>
    </row>
    <row r="101" spans="1:19" ht="26.4" x14ac:dyDescent="0.25">
      <c r="A101" s="64" t="s">
        <v>309</v>
      </c>
      <c r="B101" s="65"/>
      <c r="C101" s="65"/>
      <c r="D101" s="65"/>
      <c r="E101" s="65"/>
      <c r="F101" s="65"/>
      <c r="G101" s="65"/>
      <c r="H101" s="65"/>
      <c r="I101" s="60">
        <v>176039</v>
      </c>
      <c r="J101" s="60"/>
      <c r="K101" s="60"/>
      <c r="L101" s="60"/>
      <c r="M101" s="60"/>
      <c r="N101" s="60" t="s">
        <v>310</v>
      </c>
      <c r="O101" s="17"/>
      <c r="P101" s="18"/>
      <c r="Q101" s="17"/>
      <c r="R101" s="17"/>
      <c r="S101" s="17"/>
    </row>
    <row r="102" spans="1:19" ht="26.4" x14ac:dyDescent="0.25">
      <c r="A102" s="64" t="s">
        <v>311</v>
      </c>
      <c r="B102" s="65"/>
      <c r="C102" s="65"/>
      <c r="D102" s="65"/>
      <c r="E102" s="65"/>
      <c r="F102" s="65"/>
      <c r="G102" s="65"/>
      <c r="H102" s="65"/>
      <c r="I102" s="60">
        <v>2890</v>
      </c>
      <c r="J102" s="60"/>
      <c r="K102" s="60"/>
      <c r="L102" s="60"/>
      <c r="M102" s="60"/>
      <c r="N102" s="60" t="s">
        <v>312</v>
      </c>
      <c r="O102" s="17"/>
      <c r="P102" s="18"/>
      <c r="Q102" s="17"/>
      <c r="R102" s="17"/>
      <c r="S102" s="17"/>
    </row>
    <row r="103" spans="1:19" ht="26.4" x14ac:dyDescent="0.25">
      <c r="A103" s="64" t="s">
        <v>313</v>
      </c>
      <c r="B103" s="65"/>
      <c r="C103" s="65"/>
      <c r="D103" s="65"/>
      <c r="E103" s="65"/>
      <c r="F103" s="65"/>
      <c r="G103" s="65"/>
      <c r="H103" s="65"/>
      <c r="I103" s="60">
        <v>162280</v>
      </c>
      <c r="J103" s="60"/>
      <c r="K103" s="60"/>
      <c r="L103" s="60"/>
      <c r="M103" s="60"/>
      <c r="N103" s="60" t="s">
        <v>314</v>
      </c>
      <c r="O103" s="17"/>
      <c r="P103" s="18"/>
      <c r="Q103" s="17"/>
      <c r="R103" s="17"/>
      <c r="S103" s="17"/>
    </row>
    <row r="104" spans="1:19" ht="26.4" x14ac:dyDescent="0.25">
      <c r="A104" s="64" t="s">
        <v>315</v>
      </c>
      <c r="B104" s="65"/>
      <c r="C104" s="65"/>
      <c r="D104" s="65"/>
      <c r="E104" s="65"/>
      <c r="F104" s="65"/>
      <c r="G104" s="65"/>
      <c r="H104" s="65"/>
      <c r="I104" s="60">
        <v>34320</v>
      </c>
      <c r="J104" s="60"/>
      <c r="K104" s="60"/>
      <c r="L104" s="60"/>
      <c r="M104" s="60"/>
      <c r="N104" s="60" t="s">
        <v>316</v>
      </c>
      <c r="O104" s="17"/>
      <c r="P104" s="18"/>
      <c r="Q104" s="17"/>
      <c r="R104" s="17"/>
      <c r="S104" s="17"/>
    </row>
    <row r="105" spans="1:19" ht="26.4" x14ac:dyDescent="0.25">
      <c r="A105" s="64" t="s">
        <v>317</v>
      </c>
      <c r="B105" s="65"/>
      <c r="C105" s="65"/>
      <c r="D105" s="65"/>
      <c r="E105" s="65"/>
      <c r="F105" s="65"/>
      <c r="G105" s="65"/>
      <c r="H105" s="65"/>
      <c r="I105" s="60">
        <v>849690</v>
      </c>
      <c r="J105" s="60"/>
      <c r="K105" s="60"/>
      <c r="L105" s="60"/>
      <c r="M105" s="60"/>
      <c r="N105" s="60" t="s">
        <v>292</v>
      </c>
      <c r="O105" s="17"/>
      <c r="P105" s="18"/>
      <c r="Q105" s="17"/>
      <c r="R105" s="17"/>
      <c r="S105" s="17"/>
    </row>
    <row r="106" spans="1:19" x14ac:dyDescent="0.25">
      <c r="A106" s="64" t="s">
        <v>318</v>
      </c>
      <c r="B106" s="65"/>
      <c r="C106" s="65"/>
      <c r="D106" s="65"/>
      <c r="E106" s="65"/>
      <c r="F106" s="65"/>
      <c r="G106" s="65"/>
      <c r="H106" s="65"/>
      <c r="I106" s="60"/>
      <c r="J106" s="60"/>
      <c r="K106" s="60"/>
      <c r="L106" s="60"/>
      <c r="M106" s="60"/>
      <c r="N106" s="60"/>
      <c r="O106" s="17"/>
      <c r="P106" s="18"/>
      <c r="Q106" s="17"/>
      <c r="R106" s="17"/>
      <c r="S106" s="17"/>
    </row>
    <row r="107" spans="1:19" x14ac:dyDescent="0.25">
      <c r="A107" s="64" t="s">
        <v>319</v>
      </c>
      <c r="B107" s="65"/>
      <c r="C107" s="65"/>
      <c r="D107" s="65"/>
      <c r="E107" s="65"/>
      <c r="F107" s="65"/>
      <c r="G107" s="65"/>
      <c r="H107" s="65"/>
      <c r="I107" s="60">
        <v>407092</v>
      </c>
      <c r="J107" s="60"/>
      <c r="K107" s="60"/>
      <c r="L107" s="60"/>
      <c r="M107" s="60"/>
      <c r="N107" s="60"/>
      <c r="O107" s="17"/>
      <c r="P107" s="18"/>
      <c r="Q107" s="17"/>
      <c r="R107" s="17"/>
      <c r="S107" s="17"/>
    </row>
    <row r="108" spans="1:19" x14ac:dyDescent="0.25">
      <c r="A108" s="64" t="s">
        <v>320</v>
      </c>
      <c r="B108" s="65"/>
      <c r="C108" s="65"/>
      <c r="D108" s="65"/>
      <c r="E108" s="65"/>
      <c r="F108" s="65"/>
      <c r="G108" s="65"/>
      <c r="H108" s="65"/>
      <c r="I108" s="60">
        <v>68438</v>
      </c>
      <c r="J108" s="60"/>
      <c r="K108" s="60"/>
      <c r="L108" s="60"/>
      <c r="M108" s="60"/>
      <c r="N108" s="60"/>
      <c r="O108" s="17"/>
      <c r="P108" s="18"/>
      <c r="Q108" s="17"/>
      <c r="R108" s="17"/>
      <c r="S108" s="17"/>
    </row>
    <row r="109" spans="1:19" x14ac:dyDescent="0.25">
      <c r="A109" s="64" t="s">
        <v>321</v>
      </c>
      <c r="B109" s="65"/>
      <c r="C109" s="65"/>
      <c r="D109" s="65"/>
      <c r="E109" s="65"/>
      <c r="F109" s="65"/>
      <c r="G109" s="65"/>
      <c r="H109" s="65"/>
      <c r="I109" s="60">
        <v>168193</v>
      </c>
      <c r="J109" s="60"/>
      <c r="K109" s="60"/>
      <c r="L109" s="60"/>
      <c r="M109" s="60"/>
      <c r="N109" s="60"/>
      <c r="O109" s="17"/>
      <c r="P109" s="18"/>
      <c r="Q109" s="17"/>
      <c r="R109" s="17"/>
      <c r="S109" s="17"/>
    </row>
    <row r="110" spans="1:19" x14ac:dyDescent="0.25">
      <c r="A110" s="64" t="s">
        <v>322</v>
      </c>
      <c r="B110" s="65"/>
      <c r="C110" s="65"/>
      <c r="D110" s="65"/>
      <c r="E110" s="65"/>
      <c r="F110" s="65"/>
      <c r="G110" s="65"/>
      <c r="H110" s="65"/>
      <c r="I110" s="60">
        <v>139803</v>
      </c>
      <c r="J110" s="60"/>
      <c r="K110" s="60"/>
      <c r="L110" s="60"/>
      <c r="M110" s="60"/>
      <c r="N110" s="60"/>
      <c r="O110" s="17"/>
      <c r="P110" s="18"/>
      <c r="Q110" s="17"/>
      <c r="R110" s="17"/>
      <c r="S110" s="17"/>
    </row>
    <row r="111" spans="1:19" x14ac:dyDescent="0.25">
      <c r="A111" s="64" t="s">
        <v>323</v>
      </c>
      <c r="B111" s="65"/>
      <c r="C111" s="65"/>
      <c r="D111" s="65"/>
      <c r="E111" s="65"/>
      <c r="F111" s="65"/>
      <c r="G111" s="65"/>
      <c r="H111" s="65"/>
      <c r="I111" s="60">
        <v>78217</v>
      </c>
      <c r="J111" s="60"/>
      <c r="K111" s="60"/>
      <c r="L111" s="60"/>
      <c r="M111" s="60"/>
      <c r="N111" s="60"/>
      <c r="O111" s="17"/>
      <c r="P111" s="18"/>
      <c r="Q111" s="17"/>
      <c r="R111" s="17"/>
      <c r="S111" s="17"/>
    </row>
    <row r="112" spans="1:19" ht="26.4" x14ac:dyDescent="0.25">
      <c r="A112" s="66" t="s">
        <v>324</v>
      </c>
      <c r="B112" s="67"/>
      <c r="C112" s="67"/>
      <c r="D112" s="67"/>
      <c r="E112" s="67"/>
      <c r="F112" s="67"/>
      <c r="G112" s="67"/>
      <c r="H112" s="67"/>
      <c r="I112" s="61">
        <v>849690</v>
      </c>
      <c r="J112" s="61"/>
      <c r="K112" s="61"/>
      <c r="L112" s="61"/>
      <c r="M112" s="61"/>
      <c r="N112" s="61" t="s">
        <v>292</v>
      </c>
      <c r="O112" s="17"/>
      <c r="P112" s="18"/>
      <c r="Q112" s="17"/>
      <c r="R112" s="17"/>
      <c r="S112" s="17"/>
    </row>
    <row r="113" spans="1:19" x14ac:dyDescent="0.25">
      <c r="A113" s="16"/>
      <c r="B113" s="36"/>
      <c r="C113" s="36"/>
      <c r="D113" s="16"/>
      <c r="E113" s="33"/>
      <c r="F113" s="33"/>
      <c r="G113" s="33"/>
      <c r="H113" s="33"/>
      <c r="I113" s="37"/>
      <c r="J113" s="33"/>
      <c r="K113" s="33"/>
      <c r="L113" s="33"/>
      <c r="M113" s="33"/>
      <c r="O113" s="63"/>
      <c r="P113" s="63"/>
      <c r="Q113" s="63"/>
      <c r="R113" s="63"/>
      <c r="S113" s="63"/>
    </row>
    <row r="114" spans="1:19" x14ac:dyDescent="0.25">
      <c r="A114" s="16"/>
      <c r="B114" s="36"/>
      <c r="C114" s="36"/>
      <c r="D114" s="16"/>
      <c r="E114" s="33"/>
      <c r="F114" s="33"/>
      <c r="G114" s="33"/>
      <c r="H114" s="33"/>
      <c r="I114" s="37"/>
      <c r="J114" s="33"/>
      <c r="K114" s="33"/>
      <c r="L114" s="33"/>
      <c r="M114" s="33"/>
    </row>
    <row r="115" spans="1:19" x14ac:dyDescent="0.25">
      <c r="A115" s="16"/>
      <c r="B115" s="36"/>
      <c r="C115" s="38" t="s">
        <v>330</v>
      </c>
      <c r="D115" s="16"/>
      <c r="E115" s="33"/>
      <c r="F115" s="38" t="s">
        <v>26</v>
      </c>
      <c r="G115" s="38"/>
      <c r="H115" s="38"/>
      <c r="I115" s="33"/>
      <c r="J115" s="33"/>
      <c r="K115" s="33"/>
      <c r="L115" s="33"/>
      <c r="M115" s="33"/>
    </row>
  </sheetData>
  <sheetProtection algorithmName="SHA-512" hashValue="8TYows89KydgY0+JoPwzcIkEkrajtwN/wxP1nmQQmaoNO0L0OOnbSf4yK6i7uOUM3wnzMP/zpULA4jT3Dd7kEw==" saltValue="z4Dt1jjzuGeNZWjFJgsDJQ==" spinCount="100000" sheet="1" objects="1" scenarios="1" selectLockedCells="1" selectUnlockedCells="1"/>
  <mergeCells count="76">
    <mergeCell ref="J11:N13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61:H61"/>
    <mergeCell ref="A20:AI20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AI43"/>
    <mergeCell ref="A80:H80"/>
    <mergeCell ref="A62:H62"/>
    <mergeCell ref="A63:H63"/>
    <mergeCell ref="A64:H64"/>
    <mergeCell ref="A65:H65"/>
    <mergeCell ref="A66:H66"/>
    <mergeCell ref="A67:H67"/>
    <mergeCell ref="A68:H68"/>
    <mergeCell ref="A69:H69"/>
    <mergeCell ref="A70:AI70"/>
    <mergeCell ref="A78:H78"/>
    <mergeCell ref="A79:H79"/>
    <mergeCell ref="A92:H92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104:H104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1:H111"/>
    <mergeCell ref="A112:H112"/>
    <mergeCell ref="A105:H105"/>
    <mergeCell ref="A106:H106"/>
    <mergeCell ref="A107:H107"/>
    <mergeCell ref="A108:H108"/>
    <mergeCell ref="A109:H109"/>
    <mergeCell ref="A110:H110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2016-02-01T03:53:06Z</cp:lastPrinted>
  <dcterms:created xsi:type="dcterms:W3CDTF">2003-01-28T12:33:10Z</dcterms:created>
  <dcterms:modified xsi:type="dcterms:W3CDTF">2016-04-21T05:27:05Z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