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8" tabRatio="463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Норматив НР % : &lt;Нормы НР 2001г. по позиции&gt;%&lt;Пустой идентификатор&gt; *&lt;К-ты к НР по позиции для БИМ&gt;
Норматив СП % : &lt;Нормы СП 2001г. по позиции&gt;%&lt;Пустой идентификатор&gt; *&lt;К-ты к СП по позиции для БИМ&gt;
&lt;Формула расчета стоимости единицы&gt;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161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161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161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161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161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161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C193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193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<sst xmlns="http://schemas.openxmlformats.org/spreadsheetml/2006/main" count="881" uniqueCount="680">
  <si>
    <t>Устройство пароизоляции: обмазочной в один слой праймером №1, 100 м2 изолируемой поверхности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120%  *(0.9*0.85)
Норматив СП % : 65%  *(0.85*0.8)</t>
  </si>
  <si>
    <t>1158,21
91,86</t>
  </si>
  <si>
    <t>34,36
0,95</t>
  </si>
  <si>
    <t>12.40. Устройство пароизоляции: обмазочной: ОЗП=15,9; ЭМ=6,99; ЗПМ=15,9; МАТ=11,25</t>
  </si>
  <si>
    <t>5372,16
337,88</t>
  </si>
  <si>
    <t>10,51
0,07</t>
  </si>
  <si>
    <t>163,54
1,09</t>
  </si>
  <si>
    <t>ФССЦ-101-0078</t>
  </si>
  <si>
    <t>Битумы нефтяные строительные кровельные марки: БНК-45/190, БНК-45/180, т
Норматив НР % : 120%  *(0.9*0.85)
Норматив СП % : 65%  *(0.85*0.8)</t>
  </si>
  <si>
    <t>Битумы нефтяные строительные кровельные марки: БНК-45/190, БНК-45/180; МАТ=13,273</t>
  </si>
  <si>
    <t>ФССЦ-101-0322</t>
  </si>
  <si>
    <t>Керосин для технических целей марок КТ-1, КТ-2, т
Норматив НР % : 120%  *(0.9*0.85)
Норматив СП % : 65%  *(0.85*0.8)</t>
  </si>
  <si>
    <t>Керосин для технических целей марок KT-1, KT-2; МАТ=22,429</t>
  </si>
  <si>
    <t>ФССЦ-101-0594</t>
  </si>
  <si>
    <t>Мастика битумная кровельная горячая, т
Норматив НР % : 120%  *(0.9*0.85)
Норматив СП % : 65%  *(0.85*0.8)</t>
  </si>
  <si>
    <t>Мастика битумная кровельная горячая; МАТ=10,164</t>
  </si>
  <si>
    <t>ФССЦ-113-2230</t>
  </si>
  <si>
    <t>Праймер битумный ТЕХНОНИКОЛЬ №01, л
Норматив НР % : 120%  *(0.9*0.85)
Норматив СП % : 65%  *(0.85*0.8)</t>
  </si>
  <si>
    <t>Праймер битумный производства «Техно-Николь»; МАТ=5,489</t>
  </si>
  <si>
    <t>Устройство пароизоляции: обмазочной в один слой праймером №41, 100 м2 изолируемой поверхности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120%  *(0.9*0.85)
Норматив СП % : 65%  *(0.85*0.8)</t>
  </si>
  <si>
    <t>555,84
34,98</t>
  </si>
  <si>
    <t>16,92
0,11</t>
  </si>
  <si>
    <t>цена поставщ.</t>
  </si>
  <si>
    <t xml:space="preserve">Битумный  праймер  №41 прим (1899:1,18:20:5,63=14,29), кг% % </t>
  </si>
  <si>
    <t>Общеотраслевое строительство: ОЗП=15,9; ЭМ=9,05; ЗПМ=15,9; МАТ=5,63</t>
  </si>
  <si>
    <t>ФЕР12-01-014-02
ОЗП=1,15*1,15
ЭМ=1,25*1,15
ЗПМ=1,25*1,15
ТЗ=1,15*1,15
ТЗМ=1,25*1,15</t>
  </si>
  <si>
    <t>Утепление покрытий: керамзитом, 1 м3 утеплителя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120%  *(0.9*0.85)
Норматив СП % : 65%  *(0.85*0.8)</t>
  </si>
  <si>
    <t>225,58
23,71</t>
  </si>
  <si>
    <t>30,17
3,83</t>
  </si>
  <si>
    <t>36982,89
8176,1</t>
  </si>
  <si>
    <t>3,04
0,34</t>
  </si>
  <si>
    <t>283,94
31,76</t>
  </si>
  <si>
    <t>ФЕР26-01-039-01
ОЗП=1,15*1,15
ЭМ=1,25*1,15
ЗПМ=1,25*1,15
ТЗ=1,15*1,15
ТЗМ=1,25*1,15</t>
  </si>
  <si>
    <t>Изоляция покрытий и перекрытий изделиями из волокнистых и зернистых материалов насухо, 1 м3 изоляции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100%  *(0.9*0.85)
Норматив СП % : 70%  *(0.85*0.8)</t>
  </si>
  <si>
    <t>1722,72
98,29</t>
  </si>
  <si>
    <t>26.47 Изоляция покрытий и перекрытий изделиями из волокнистых и зернистых материалов насухо: ОЗП=15,9; ЭМ=10,83; ЗПМ=15,9; МАТ=20,38</t>
  </si>
  <si>
    <t>ФССЦ-104-0143</t>
  </si>
  <si>
    <t xml:space="preserve">Плиты теплоизоляционные: перлитоцементные, м3% % </t>
  </si>
  <si>
    <t>Плиты теплоизоляционные перлитоцементные; МАТ=20,383</t>
  </si>
  <si>
    <t xml:space="preserve">Пеноплекс толщ.50мм (5191:1,18:5,63=781,38), м3% % </t>
  </si>
  <si>
    <t>ФЕР12-01-002-09
ОЗП=1,15*1,15
ЭМ=1,25*1,15
ЗПМ=1,25*1,15
ТЗ=1,15*1,15
ТЗМ=1,25*1,15</t>
  </si>
  <si>
    <t>Устройство кровель плоских из наплавляемых материалов: в два слоя, 100 м2 кровли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120%  *(0.9*0.85)
Норматив СП % : 65%  *(0.85*0.8)</t>
  </si>
  <si>
    <t>9969,33
134,98</t>
  </si>
  <si>
    <t>42,5
2,7</t>
  </si>
  <si>
    <t>12.7. Устройство кровель плоских из наплавляемых материалов: ОЗП=15,9; ЭМ=10,07; ЗПМ=15,9; МАТ=3,73</t>
  </si>
  <si>
    <t>4786,37
480,18</t>
  </si>
  <si>
    <t>14,36
0,2</t>
  </si>
  <si>
    <t>111,72
1,56</t>
  </si>
  <si>
    <t>ФССЦ-101-1961</t>
  </si>
  <si>
    <t xml:space="preserve">Изопласт: К ЭКП-4,5, м2% % </t>
  </si>
  <si>
    <t>Изопласт К ЭКП-4,5; МАТ=3,635</t>
  </si>
  <si>
    <t>ФССЦ-101-1962</t>
  </si>
  <si>
    <t xml:space="preserve">Изопласт: П ЭПП-4,0, м2% % </t>
  </si>
  <si>
    <t>Изопласт П ЭПП-4,0; МАТ=3,727</t>
  </si>
  <si>
    <t>ФССЦ-101-4702</t>
  </si>
  <si>
    <t xml:space="preserve">Техноэласт: ЭПП, м2% % </t>
  </si>
  <si>
    <t>Техноэласт ЭПП; МАТ=6,477</t>
  </si>
  <si>
    <t>ФССЦ-101-4703</t>
  </si>
  <si>
    <t xml:space="preserve">Техноэласт: ЭКП, м2% % </t>
  </si>
  <si>
    <t>Техноэласт ЭКП; МАТ=6,279</t>
  </si>
  <si>
    <t>ФЕР12-01-004-04
ОЗП=1,15*1,15
ЭМ=1,25*1,15
ЗПМ=1,25*1,15
ТЗ=1,15*1,15
ТЗМ=1,25*1,15</t>
  </si>
  <si>
    <t>Устройство примыканий кровель из наплавляемых материалов к стенам и парапетам высотой: до 600 мм без фартуков, 100 м примыканий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120%  *(0.9*0.85)
Норматив СП % : 65%  *(0.85*0.8)</t>
  </si>
  <si>
    <t>12274,64
325,89</t>
  </si>
  <si>
    <t>95,39
9,59</t>
  </si>
  <si>
    <t>12.13. Устройство примыканий кровель из наплавляемых материалов к стенам и парапетам высотой: до 600 мм без фартуков: ОЗП=15,9; ЭМ=10,96; ЗПМ=15,9; МАТ=3,74</t>
  </si>
  <si>
    <t>2385,01
347,89</t>
  </si>
  <si>
    <t>35,5
0,71</t>
  </si>
  <si>
    <t>56,34
1,13</t>
  </si>
  <si>
    <t>ФЕР12-01-002-10
ОЗП=1,15*1,15
ЭМ=1,25*1,15
ЗПМ=1,25*1,15
ТЗ=1,15*1,15
ТЗМ=1,25*1,15</t>
  </si>
  <si>
    <t>Устройство кровель плоских из наплавляемых материалов: в один слой, 100 м2 кровли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120%  *(0.9*0.85)
Норматив СП % : 65%  *(0.85*0.8)</t>
  </si>
  <si>
    <t>5437,04
79,34</t>
  </si>
  <si>
    <t>23,03
1,49</t>
  </si>
  <si>
    <t>853,53
86,97</t>
  </si>
  <si>
    <t>8,44
0,11</t>
  </si>
  <si>
    <t>21,61
0,28</t>
  </si>
  <si>
    <t>773,48
79,18</t>
  </si>
  <si>
    <t>19,58
0,26</t>
  </si>
  <si>
    <t>ФЕР12-01-004-05
ОЗП=1,15*1,15
ЭМ=1,25*1,15
ЗПМ=1,25*1,15
ТЗ=1,15*1,15
ТЗМ=1,25*1,15</t>
  </si>
  <si>
    <t>Устройство примыканий кровель из наплавляемых материалов к стенам и парапетам высотой: более 600 мм с одним фартуком, 100 м примыканий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120%  *(0.9*0.85)
Норматив СП % : 65%  *(0.85*0.8)</t>
  </si>
  <si>
    <t>12417,18
479,29</t>
  </si>
  <si>
    <t>92,65
9,05</t>
  </si>
  <si>
    <t>12.14. Устройство примыканий кровель из наплавляемых материалов к стенам и парапетам высотой: более 600 мм с фартуком: ОЗП=15,9; ЭМ=11,13; ЗПМ=15,9; МАТ=3,63</t>
  </si>
  <si>
    <t>1096,97
153,28</t>
  </si>
  <si>
    <t>52,21
0,67</t>
  </si>
  <si>
    <t>38,64
0,5</t>
  </si>
  <si>
    <t>ФЕР16-07-002-03
ОЗП=1,15*1,15
ЭМ=1,25*1,15
ЗПМ=1,25*1,15
ТЗ=1,15*1,15
ТЗМ=1,25*1,15</t>
  </si>
  <si>
    <t>Установка воронок сливных диаметром: 100 мм, 1 воронка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128%  *(0.9*0.85)
Норматив СП % : 83%  *(0.85*0.8)</t>
  </si>
  <si>
    <t>59,23
7,35</t>
  </si>
  <si>
    <t>ФЕР12-01-011-01
ОЗП=1,15*1,15
ЭМ=1,25*1,15
ЗПМ=1,25*1,15
ТЗ=1,15*1,15
ТЗМ=1,25*1,15</t>
  </si>
  <si>
    <t>Устройство колпаков над шахтами в два канала, 1 колпак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120%  *(0.9*0.85)
Норматив СП % : 65%  *(0.85*0.8)</t>
  </si>
  <si>
    <t>444,13
16,46</t>
  </si>
  <si>
    <t>12.28. Устройство колпаков над шахтами: ОЗП=15,9; ЭМ=11,6; ЗПМ=15,9; МАТ=3,43</t>
  </si>
  <si>
    <t>166,14
25,6</t>
  </si>
  <si>
    <t>46,79
0,08</t>
  </si>
  <si>
    <t>1009,03
207,34</t>
  </si>
  <si>
    <t>11,3
0,81</t>
  </si>
  <si>
    <t>493,28
113,05</t>
  </si>
  <si>
    <t>14,53
0,44</t>
  </si>
  <si>
    <t>78,07
6,36</t>
  </si>
  <si>
    <t>1,62
0,02</t>
  </si>
  <si>
    <t>138,36
14,31</t>
  </si>
  <si>
    <t>3,5
0,05</t>
  </si>
  <si>
    <t>ФЕР10-01-039-05
ОЗП=1,15*1,15
ЭМ=1,25*1,15
ЗПМ=1,25*1,15
ТЗ=1,15*1,15
ТЗМ=1,25*1,15</t>
  </si>
  <si>
    <t>Установка люков в перекрытиях, площадь проема до 2 м2, 100 м2 проемов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118%  *(0.9*0.85)
Норматив СП % : 63%  *(0.85*0.8)</t>
  </si>
  <si>
    <t>52094,82
1029,33</t>
  </si>
  <si>
    <t>1005,2
130,82</t>
  </si>
  <si>
    <t>493,91
85,7</t>
  </si>
  <si>
    <t>121,67
9,69</t>
  </si>
  <si>
    <t>3,49
0,28</t>
  </si>
  <si>
    <t>ФССЦ-101-0889
ОЗП=1,15*1,15
ЭМ=1,25*1,15
ЗПМ=1,25*1,15
ТЗ=1,15*1,15
ТЗМ=1,25*1,15</t>
  </si>
  <si>
    <t xml:space="preserve">Скобяные изделия для блоков входных дверей в: помещение однопольных, компл.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ТЗМ=1,15% % </t>
  </si>
  <si>
    <t>Скобяные изделия для блоков входных дверей в помещение: однопольных; МАТ=2,629</t>
  </si>
  <si>
    <t>ФЕР12-01-012-01
ОЗП=1,15*1,15
ЭМ=1,25*1,15
ЗПМ=1,25*1,15
ТЗ=1,15*1,15
ТЗМ=1,25*1,15</t>
  </si>
  <si>
    <t>Ограждение кровель перилами, 100 м ограждения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120%  *(0.9*0.85)
Норматив СП % : 65%  *(0.85*0.8)</t>
  </si>
  <si>
    <t>3147,39
59,1</t>
  </si>
  <si>
    <t>55,38
3,92</t>
  </si>
  <si>
    <t>12.29. Ограждение кровель перилами: ОЗП=15,9; ЭМ=10,13; ЗПМ=15,9; МАТ=7,27</t>
  </si>
  <si>
    <t>1308,8
145,33</t>
  </si>
  <si>
    <t>6,67
0,29</t>
  </si>
  <si>
    <t>10,83
0,47</t>
  </si>
  <si>
    <t>ФССЦ-201-0777
ОЗП=1,15*1,15
ЭМ=1,25*1,15
ЗПМ=1,25*1,15
ТЗ=1,15*1,15
ТЗМ=1,25*1,15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</si>
  <si>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ТЗМ=1,15% % </t>
  </si>
  <si>
    <t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МАТ=7,282</t>
  </si>
  <si>
    <t>ФЕР13-03-004-26
ОЗП=1,15*1,15
ЭМ=1,25*1,15
ЗПМ=1,25*1,15
ТЗ=1,15*1,15
ТЗМ=1,25*1,15</t>
  </si>
  <si>
    <t>Окраска металлических огрунтованных поверхностей: эмалью ПФ-115, 100 м2 окрашиваемой поверхности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90%  *(0.9*0.85)
Норматив СП % : 70%  *(0.85*0.8)</t>
  </si>
  <si>
    <t>322,24
34,74</t>
  </si>
  <si>
    <t>6,22
0,1</t>
  </si>
  <si>
    <t>13.100 Окраска металлических огрунтованных поверхностей: эмалью ПФ-115: ОЗП=15,9; ЭМ=10,87; ЗПМ=15,9; МАТ=6,04</t>
  </si>
  <si>
    <t>243,92
5,72</t>
  </si>
  <si>
    <t>3,83
0,01</t>
  </si>
  <si>
    <t>9,61
0,03</t>
  </si>
  <si>
    <t>9850,01
961,84</t>
  </si>
  <si>
    <t>2716,65
83,29</t>
  </si>
  <si>
    <t>14147,71
1382,66</t>
  </si>
  <si>
    <t>3586,7
119,75</t>
  </si>
  <si>
    <t>131639,96
21984,31</t>
  </si>
  <si>
    <t>Итоги по разделу 2 Монтажные работы :</t>
  </si>
  <si>
    <t xml:space="preserve">  Конструкции из кирпича и блоков (МДС81-33.2004 Прил.4 п.8, Прим.п.1; Письмо №АП-5536/06 Прил.1 п.8, Прим.п.1; Письмо №3757-КК/08 от 21.02.11)</t>
  </si>
  <si>
    <t>41,42
3,34</t>
  </si>
  <si>
    <t xml:space="preserve">  Отделочные работы (МДС81-33.2004 Прил.4 п.15, Прим.п.1; Письмо №АП-5536/06 Прил.1 п.15, Прим.п.1; Письмо №3757-КК/08 от 21.02.11)</t>
  </si>
  <si>
    <t>624,39
2,83</t>
  </si>
  <si>
    <t>2252,4
112,58</t>
  </si>
  <si>
    <t xml:space="preserve">  Бетонные и железобетонные монолитные конструкции в промышленном строительстве (МДС81-33.2004 Прил.4 п.6.1, Прим.п.1 и Письмо №ВБ-338/02 от 08.02.08; Письмо №АП-5536/06 Прил.1 п.6.1, Прим.п.1; Письмо №3757-КК/08 от 21.02.11)</t>
  </si>
  <si>
    <t>39,93
0,55</t>
  </si>
  <si>
    <t xml:space="preserve">  Материалы для строительных работ</t>
  </si>
  <si>
    <t xml:space="preserve">  Теплоизоляционные работы (МДС81-33.2004 Прил.4 п.20, Прим.п.1; Письмо №АП-5536/06 Прил.1 п.20, Прим.п.1; Письмо №3757-КК/08 от 21.02.11)</t>
  </si>
  <si>
    <t xml:space="preserve">  Материалы</t>
  </si>
  <si>
    <t>4,61
0,4</t>
  </si>
  <si>
    <t xml:space="preserve">  Защита строительных конструкций и оборудования от коррозии (МДС81-33.2004 Прил.4 п.13, Прим.п.1; Письмо №АП-5536/06 Прил.1 п.13, Прим.п.1; Письмо №3757-КК/08 от 21.02.11)</t>
  </si>
  <si>
    <t>12,71
0,05</t>
  </si>
  <si>
    <t xml:space="preserve">      Материалы</t>
  </si>
  <si>
    <t xml:space="preserve">  Итого по разделу 2 Монтажные работы</t>
  </si>
  <si>
    <t xml:space="preserve">                           Раздел 3. Разные работы</t>
  </si>
  <si>
    <t>ФССЦпг01-01-01-043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</si>
  <si>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груза% % </t>
  </si>
  <si>
    <t>Мусор строительный, экскаваторами емк,ковша 0,5 м3: погрузка; ЭМ=11,52</t>
  </si>
  <si>
    <t>ФССЦпг03-21-01-015</t>
  </si>
  <si>
    <t xml:space="preserve">Перевозка грузов автомобилями-самосвалами грузоподъемностью 10 т, работающих вне карьера, на расстояние: до 15 км I класс груза, 1 т груза% % </t>
  </si>
  <si>
    <t>Перевозка грузов автомобилями-самосвалами грузоподъемностью 10 т, работающих вне карьера, на расстояние: до 15 км.: I класс груза; ЭМ=9,82</t>
  </si>
  <si>
    <t>ФЕРр69-15-1</t>
  </si>
  <si>
    <t>Затаривание строительного мусора в мешки, 1 т
Норматив НР % : 78%  *0.85
Норматив СП % : 50%  *0.8</t>
  </si>
  <si>
    <t>23,81
7,41</t>
  </si>
  <si>
    <t>94.26 Затаривание строительного мусора в мешки: ОЗП=15,9; МАТ=6,33</t>
  </si>
  <si>
    <t>Итоги по разделу 3 Разные работы :</t>
  </si>
  <si>
    <t xml:space="preserve">  Погрузо-разгрузочные работы</t>
  </si>
  <si>
    <t xml:space="preserve">  Перевозка грузов автотранспортом</t>
  </si>
  <si>
    <t xml:space="preserve">  Итого по разделу 3 Разные работы</t>
  </si>
  <si>
    <t>Итого прямые затраты по смете в ценах 2001г.</t>
  </si>
  <si>
    <t>19539,18
1748,33</t>
  </si>
  <si>
    <t>3779,23
157,12</t>
  </si>
  <si>
    <t>Итого прямые затраты по смете с учетом коэффициентов к итогам</t>
  </si>
  <si>
    <t>24222,87
2218,82</t>
  </si>
  <si>
    <t>4729,94
197,86</t>
  </si>
  <si>
    <t>Итого прямые затраты по смете с учетом индексов, в текущих ценах</t>
  </si>
  <si>
    <t>208283,87
35279,26</t>
  </si>
  <si>
    <t>Итоги по смете:</t>
  </si>
  <si>
    <t>312,33
3,6</t>
  </si>
  <si>
    <t>2513,4
141,58</t>
  </si>
  <si>
    <t>7,82
0,65</t>
  </si>
  <si>
    <t xml:space="preserve">  ВСЕГО по смете</t>
  </si>
  <si>
    <t>Составлен(а) в текущих ценах по состоянию на 2 кв. 2016 года</t>
  </si>
  <si>
    <t>Капитальный ремонт общего имущества многоквартиного дома по адресу: г.Томск, ул.Студенческая,15</t>
  </si>
  <si>
    <t>ЛОКАЛЬНЫЙ СМЕТНЫЙ РАСЧЕТ №  02-01-01</t>
  </si>
  <si>
    <t>на   Капитальный ремонт общего имущества многоквартиного дома по адресу: г.Томск, ул.Студенческая,15</t>
  </si>
  <si>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</si>
  <si>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</si>
  <si>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</si>
  <si>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</si>
  <si>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</si>
  <si>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</si>
  <si>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</si>
  <si>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</si>
  <si>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</si>
  <si>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</si>
  <si>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</si>
  <si>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</si>
  <si>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</si>
  <si>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</si>
  <si>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</si>
  <si>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</si>
  <si>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</si>
  <si>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</si>
  <si>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</si>
  <si>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</si>
  <si>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</si>
  <si>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</si>
  <si>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</si>
  <si>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</si>
  <si>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</si>
  <si>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</si>
  <si>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</si>
  <si>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</si>
  <si>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</si>
  <si>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</si>
  <si>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</si>
  <si>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</si>
  <si>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</si>
  <si>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</si>
  <si>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</si>
  <si>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</si>
  <si>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</si>
  <si>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</si>
  <si>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</si>
  <si>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</si>
  <si>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</si>
  <si>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</si>
  <si>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</si>
  <si>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</si>
  <si>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</si>
  <si>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</si>
  <si>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</si>
  <si>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</si>
  <si>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</si>
  <si>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</si>
  <si>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</si>
  <si>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</si>
  <si>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</si>
  <si>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</si>
  <si>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</si>
  <si>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</si>
  <si>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</si>
  <si>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</si>
  <si>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</si>
  <si>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</si>
  <si>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</si>
  <si>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</si>
  <si>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</si>
  <si>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</si>
  <si>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</si>
  <si>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</si>
  <si>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</si>
  <si>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</si>
  <si>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</si>
  <si>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</si>
  <si>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</si>
  <si>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</si>
  <si>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</si>
  <si>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</si>
  <si>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</si>
  <si>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</si>
  <si>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</si>
  <si>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</si>
  <si>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</si>
  <si>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</si>
  <si>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</si>
  <si>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</si>
  <si>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</si>
  <si>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</si>
  <si>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</si>
  <si>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</si>
  <si>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</si>
  <si>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</si>
  <si>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</si>
  <si>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</si>
  <si>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</si>
  <si>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</si>
  <si>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</si>
  <si>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</si>
  <si>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</si>
  <si>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</si>
  <si>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</si>
  <si>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</si>
  <si>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</si>
  <si>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</si>
  <si>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</si>
  <si>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</si>
  <si>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</si>
  <si>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</si>
  <si>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</si>
  <si>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</si>
  <si>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</si>
  <si>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</si>
  <si>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</si>
  <si>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</si>
  <si>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</si>
  <si>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</si>
  <si>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</si>
  <si>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</si>
  <si>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</si>
  <si>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</si>
  <si>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</si>
  <si>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</si>
  <si>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</si>
  <si>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</si>
  <si>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</si>
  <si>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</si>
  <si>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</si>
  <si>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</si>
  <si>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</si>
  <si>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</si>
  <si>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</si>
  <si>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</si>
  <si>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</si>
  <si>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</si>
  <si>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</si>
  <si>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</si>
  <si>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</si>
  <si>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</si>
  <si>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</si>
  <si>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</si>
  <si>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</si>
  <si>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</si>
  <si>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</si>
  <si>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</si>
  <si>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</si>
  <si>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</si>
  <si>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</si>
  <si>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</si>
  <si>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</si>
  <si>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</si>
  <si>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</si>
  <si>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</si>
  <si>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</si>
  <si>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</si>
  <si>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</si>
  <si>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</si>
  <si>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</si>
  <si>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</si>
  <si>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</si>
  <si>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</si>
  <si>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</si>
  <si>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</si>
  <si>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</si>
  <si>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</si>
  <si>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</si>
  <si>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</si>
  <si>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</si>
  <si>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</si>
  <si>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</si>
  <si>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</si>
  <si>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</si>
  <si>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</si>
  <si>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</si>
  <si>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</si>
  <si>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</si>
  <si>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</si>
  <si>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</si>
  <si>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</si>
  <si>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</si>
  <si>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</si>
  <si>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</si>
  <si>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</si>
  <si>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</si>
  <si>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</si>
  <si>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</si>
  <si>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</si>
  <si>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</si>
  <si>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</si>
  <si>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</si>
  <si>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</si>
  <si>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</si>
  <si>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</si>
  <si>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</si>
  <si>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</si>
  <si>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</si>
  <si>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</si>
  <si>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</si>
  <si>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</si>
  <si>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</si>
  <si>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</si>
  <si>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</si>
  <si>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</si>
  <si>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</si>
  <si>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</si>
  <si>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</si>
  <si>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</si>
  <si>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</si>
  <si>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</si>
  <si>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</si>
  <si>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</si>
  <si>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</si>
  <si>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</si>
  <si>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</si>
  <si>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</si>
  <si>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</si>
  <si>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</si>
  <si>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</si>
  <si>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</si>
  <si>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</si>
  <si>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</si>
  <si>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</si>
  <si>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</si>
  <si>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</si>
  <si>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</si>
  <si>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</si>
  <si>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</si>
  <si>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</si>
  <si>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</si>
  <si>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</si>
  <si>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</si>
  <si>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</si>
  <si>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</si>
  <si>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</si>
  <si>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</si>
  <si>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</si>
  <si>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</si>
  <si>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</si>
  <si>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</si>
  <si>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</si>
  <si>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</si>
  <si>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</si>
  <si>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</si>
  <si>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</si>
  <si>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</si>
  <si>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</si>
  <si>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</si>
  <si>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</si>
  <si>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</si>
  <si>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</si>
  <si>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</si>
  <si>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</si>
  <si>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</si>
  <si>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</si>
  <si>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</si>
  <si>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</si>
  <si>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</si>
  <si>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</si>
  <si>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</si>
  <si>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</si>
  <si>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</si>
  <si>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</si>
  <si>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</si>
  <si>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</si>
  <si>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</si>
  <si>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</si>
  <si>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</si>
  <si>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</si>
  <si>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</si>
  <si>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</si>
  <si>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</si>
  <si>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</si>
  <si>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</si>
  <si>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</si>
  <si>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</si>
  <si>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</si>
  <si>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</si>
  <si>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</si>
  <si>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</si>
  <si>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</si>
  <si>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</si>
  <si>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</si>
  <si>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</si>
  <si>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</si>
  <si>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</si>
  <si>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</si>
  <si>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</si>
  <si>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</si>
  <si>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</si>
  <si>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</si>
  <si>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</si>
  <si>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</si>
  <si>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</si>
  <si>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</si>
  <si>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</si>
  <si>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</si>
  <si>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</si>
  <si>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</si>
  <si>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</si>
  <si>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</si>
  <si>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</si>
  <si>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</si>
  <si>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</si>
  <si>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</si>
  <si>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</si>
  <si>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</si>
  <si>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</si>
  <si>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</si>
  <si>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</si>
  <si>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</si>
  <si>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</si>
  <si>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</si>
  <si>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</si>
  <si>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</si>
  <si>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</si>
  <si>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</si>
  <si>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</si>
  <si>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</si>
  <si>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</si>
  <si>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</si>
  <si>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</si>
  <si>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</si>
  <si>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t>Проверил:____________________________</t>
  </si>
  <si>
    <t xml:space="preserve">                           Раздел 1. Демонтажные работы</t>
  </si>
  <si>
    <t>ФЕР46-04-008-01</t>
  </si>
  <si>
    <t>Разборка покрытий кровель: из рулонных материалов, 100 м2 покрытия
Норматив НР % : 110%  *(0.9*0.85)
Норматив СП % : 70%  *(0.85*0.8)</t>
  </si>
  <si>
    <t>153,59
112,16</t>
  </si>
  <si>
    <t>46.73 Разборка покрытий кровель: ОЗП=15,9; ЭМ=3,01; ЗПМ=15,9</t>
  </si>
  <si>
    <t>ФЕР46-04-010-01</t>
  </si>
  <si>
    <t>Разборка стяжки прим., 100 м2 покрытия
Норматив НР % : 110%  *(0.9*0.85)
Норматив СП % : 70%  *(0.85*0.8)</t>
  </si>
  <si>
    <t>656,61
218,3</t>
  </si>
  <si>
    <t>438,31
47,38</t>
  </si>
  <si>
    <t>46.75 Разборка покрытий полов: асфальтовых и асфальтобетонных: ОЗП=15,9; ЭМ=5,15; ЗПМ=15,9</t>
  </si>
  <si>
    <t>17561,81
5861,06</t>
  </si>
  <si>
    <t>23,78
4,71</t>
  </si>
  <si>
    <t>185,01
36,64</t>
  </si>
  <si>
    <t>ФЕРр58-3-1
ОЗП=1,15
ЭМ=1,15
ЗПМ=1,15
ТЗ=1,15
ТЗМ=1,15</t>
  </si>
  <si>
    <t>Разборка мелких покрытий и обделок из листовой стали: поясков, сандриков, желобов, отливов, свесов и т.п., 100 м труб и покрытий
КОЭФ. УЧТЁННЫЕ В ИТОГАХ: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83%  *0.85
Норматив СП % : 65%  *0.8</t>
  </si>
  <si>
    <t>71,18
70,98</t>
  </si>
  <si>
    <t>84.3 Разборка мелких покрытий и обделок из листовой стали: ОЗП=15,9; ЭМ=4,8; ЗПМ=15,9</t>
  </si>
  <si>
    <t>ФЕР46-04-008-04</t>
  </si>
  <si>
    <t>Разборка покрытий кровель: из волнистых и полуволнистых асбестоцементных листов, 100 м2 покрытия
Норматив НР % : 110%  *(0.9*0.85)
Норматив СП % : 70%  *(0.85*0.8)</t>
  </si>
  <si>
    <t>154,66
124,02</t>
  </si>
  <si>
    <t>936,79
312,59</t>
  </si>
  <si>
    <t>9,87
1,95</t>
  </si>
  <si>
    <t>ФЕР07-05-011-05
ОЗП=0,8*1,15
ЭМ=0,8*1,15
ЗПМ=0,8*1,15
МАТ=0
ТЗ=0,8*1,15
ТЗМ=0,8*1,15</t>
  </si>
  <si>
    <t>Установка панелей перекрытий с опиранием: на 2 стороны площадью до 5 м2, 100 шт. сборных конструкций
КОЭФ. К ПОЗИЦИИ:
Демонтаж (разборка) сборных бетонных и железобетонных конструкций ОЗП=0,8; ЭМ=0,8 к расх.; ЗПМ=0,8; МАТ=0 к расх.; ТЗ=0,8; ТЗМ=0,8
КОЭФ. УЧТЁННЫЕ В ИТОГАХ: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155%  *(0.9*0.85)
Норматив СП % : 100%  *(0.85*0.8)</t>
  </si>
  <si>
    <t>3497,69
1538,87</t>
  </si>
  <si>
    <t>1958,82
281,99</t>
  </si>
  <si>
    <t>7.61. Установка панелей перекрытий: ОЗП=15,9; ЭМ=11,81; ЗПМ=15,9; МАТ=6,14</t>
  </si>
  <si>
    <t>3990,48
773,54</t>
  </si>
  <si>
    <t>165,65
20,89</t>
  </si>
  <si>
    <t>24,85
3,13</t>
  </si>
  <si>
    <t>ФЕР46-04-001-04</t>
  </si>
  <si>
    <t>Разборка: кирпичных стен, 1 м3
Норматив НР % : 110%  *(0.9*0.85)
Норматив СП % : 70%  *(0.85*0.8)</t>
  </si>
  <si>
    <t>180,03
73,01</t>
  </si>
  <si>
    <t>107,02
11,57</t>
  </si>
  <si>
    <t>46.62 Разборка: кирпичных и мелкоблочных стен: ОЗП=15,9; ЭМ=5,15; ЗПМ=15,9</t>
  </si>
  <si>
    <t>2204,61
735,85</t>
  </si>
  <si>
    <t>8,24
1,15</t>
  </si>
  <si>
    <t>32,96
4,6</t>
  </si>
  <si>
    <t>992,04
331,2</t>
  </si>
  <si>
    <t>14,83
2,07</t>
  </si>
  <si>
    <t>ФЕР12-01-014-02
ОЗП=0,8*1,15
ЭМ=0,8*1,15
ЗПМ=0,8*1,15
МАТ=0
ТЗ=0,8*1,15
ТЗМ=0,8*1,15</t>
  </si>
  <si>
    <t>Утепление покрытий: керамзитом, 1 м3 утеплителя
КОЭФ. К ПОЗИЦИИ:
Демонтаж (разборка) сборных деревянных конструкций ОЗП=0,8; ЭМ=0,8 к расх.; ЗПМ=0,8; МАТ=0 к расх.; ТЗ=0,8; ТЗМ=0,8
КОЭФ. УЧТЁННЫЕ В ИТОГАХ: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120%  *(0.9*0.85)
Норматив СП % : 65%  *(0.85*0.8)</t>
  </si>
  <si>
    <t>43,1
18,97</t>
  </si>
  <si>
    <t>24,14
3,06</t>
  </si>
  <si>
    <t>12.34. Утепление покрытий: керамзитом: ОЗП=15,9; ЭМ=9,13; ЗПМ=15,9; МАТ=11,14</t>
  </si>
  <si>
    <t>23663,13
5225,85</t>
  </si>
  <si>
    <t>2,43
0,27</t>
  </si>
  <si>
    <t>226,96
25,22</t>
  </si>
  <si>
    <t>ФЕР16-07-002-03
ОЗП=0,4*1,15
ЭМ=0,4*1,15
ЗПМ=0,4*1,15
МАТ=0
ТЗ=0,4*1,15
ТЗМ=0,4*1,15</t>
  </si>
  <si>
    <t>Установка воронок сливных диаметром: 100 мм, 1 воронка
КОЭФ. К ПОЗИЦИИ:
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
КОЭФ. УЧТЁННЫЕ В ИТОГАХ: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128%  *(0.9*0.85)
Норматив СП % : 83%  *(0.85*0.8)</t>
  </si>
  <si>
    <t>2,94
2,94</t>
  </si>
  <si>
    <t>16.183 Установка воронок сливных: ОЗП=15,9; МАТ=5,67</t>
  </si>
  <si>
    <t>ФЕРр58-17-2
ОЗП=1,15
ЭМ=1,15
ЗПМ=1,15
ТЗ=1,15
ТЗМ=1,15</t>
  </si>
  <si>
    <t>Разборка теплоизоляции на кровле из: ваты минеральной толщиной 100 мм, 100 м2 покрытия кровли
КОЭФ. УЧТЁННЫЕ В ИТОГАХ: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83%  *0.85
Норматив СП % : 65%  *0.8</t>
  </si>
  <si>
    <t>101,56
99,67</t>
  </si>
  <si>
    <t>84.45 Разборка покрытий кровель: ОЗП=15,9; ЭМ=4,67; ЗПМ=15,9</t>
  </si>
  <si>
    <t>ФЕР10-01-039-05
ОЗП=0,8*1,15
ЭМ=0,8*1,15
ЗПМ=0,8*1,15
МАТ=0
ТЗ=0,8*1,15
ТЗМ=0,8*1,15</t>
  </si>
  <si>
    <t>Демонтаж  люков в перекрытиях, площадь проема до 2 м2, 100 м2 проемов
КОЭФ. К ПОЗИЦИИ:
Демонтаж (разборка) сборных деревянных конструкций ОЗП=0,8; ЭМ=0,8 к расх.; ЗПМ=0,8; МАТ=0 к расх.; ТЗ=0,8; ТЗМ=0,8
КОЭФ. УЧТЁННЫЕ В ИТОГАХ: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118%  *(0.9*0.85)
Норматив СП % : 63%  *(0.85*0.8)</t>
  </si>
  <si>
    <t>1627,62
823,46</t>
  </si>
  <si>
    <t>804,16
104,66</t>
  </si>
  <si>
    <t>10.95. Установка люков в перекрытиях: ОЗП=15,9; ЭМ=11,91; ЗПМ=15,9; МАТ=5,87</t>
  </si>
  <si>
    <t>316,09
54,86</t>
  </si>
  <si>
    <t>97,34
7,75</t>
  </si>
  <si>
    <t>2,79
0,22</t>
  </si>
  <si>
    <t>ФЕРр69-9-1
ОЗП=1,15
ЭМ=1,15
ЗПМ=1,15
ТЗ=1,15
ТЗМ=1,15</t>
  </si>
  <si>
    <t>Очистка помещений от строительного мусора   153,12-37,4=115,72т,, 100 т мусора
КОЭФ. УЧТЁННЫЕ В ИТОГАХ: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78%  *0.85
Норматив СП % : 50%  *0.8</t>
  </si>
  <si>
    <t>1553,82
1553,82</t>
  </si>
  <si>
    <t>94.16 Очистка помещений от строительного мусора: ОЗП=15,9</t>
  </si>
  <si>
    <t>Итого прямые затраты по разделу в ценах 2001г.</t>
  </si>
  <si>
    <t>7138,19
786,49</t>
  </si>
  <si>
    <t>904,87
73,83</t>
  </si>
  <si>
    <t>Итого прямые затраты по разделу с учетом коэффициентов к итогам</t>
  </si>
  <si>
    <t>7524,18
836,16</t>
  </si>
  <si>
    <t>985,53
78,11</t>
  </si>
  <si>
    <t>Итого прямые затраты по разделу с учетом индексов, в текущих ценах</t>
  </si>
  <si>
    <t>50739,48
13294,95</t>
  </si>
  <si>
    <t>Накладные расходы</t>
  </si>
  <si>
    <t>Сметная прибыль</t>
  </si>
  <si>
    <t>Итоги по разделу 1 Демонтажные работы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</si>
  <si>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 (МДС81-33.2004 Прил.4 п.49, Прим.п.1; Письмо №АП-5536/06 Прил.1 п.49, Прим.п.1; Письмо №3757-КК/08 от 21.02.11)</t>
  </si>
  <si>
    <t>367,12
45,26</t>
  </si>
  <si>
    <t xml:space="preserve">  Крыши, кровли (ремонтно-строительные) (МДС81-33.2004 Прил.5 п.8; Письмо №АП-5536/06 Прил.2 п.8; Письмо №3757-КК/08 от 21.02.11)</t>
  </si>
  <si>
    <t xml:space="preserve">  Бетонные и железобетонные сборные конструкции в жилищно-гражданском строительстве (МДС81-33.2004 Прил.4 п.7.2, Прим.п.1; Письмо №АП-5536/06 Прил.1 п.7.2, Прим.п.1; Письмо №3757-КК/08 от 21.02.11)</t>
  </si>
  <si>
    <t>28,58
3,6</t>
  </si>
  <si>
    <t xml:space="preserve">  Кровли (МДС81-33.2004 Прил.4 п.12, Прим.п.1; Письмо №АП-5536/06 Прил.1 п.12, Прим.п.1; Письмо №3757-КК/08 от 21.02.11)</t>
  </si>
  <si>
    <t>261
29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</si>
  <si>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 (МДС81-33.2004 Прил.4 п.16, Прим.п.1; Письмо №АП-5536/06 Прил.1 п.16, Прим.п.1; Письмо №3757-КК/08 от 21.02.11)</t>
  </si>
  <si>
    <t xml:space="preserve">  Деревянные конструкции (МДС81-33.2004 Прил.4 п.10, Прим.п.1; Письмо №АП-5536/06 Прил.1 п.10, Прим.п.1; Письмо №3757-КК/08 от 21.02.11)</t>
  </si>
  <si>
    <t>3,21
0,25</t>
  </si>
  <si>
    <t xml:space="preserve">  Прочие ремонтно-строительные работы (МДС81-33.2004 Прил.5 п.19 и Письмо №ВБ-338/02 от 08.02.08; Письмо №АП-5536/06 Прил.2 п.19; Письмо №3757-КК/08 от 21.02.11)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</si>
  <si>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</si>
  <si>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</si>
  <si>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</si>
  <si>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</si>
  <si>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</si>
  <si>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</si>
  <si>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</si>
  <si>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Монтажные работы</t>
  </si>
  <si>
    <t>ФЕР08-02-001-01
ОЗП=1,15*1,15
ЭМ=1,25*1,15
ЗПМ=1,25*1,15
ТЗ=1,15*1,15
ТЗМ=1,25*1,15</t>
  </si>
  <si>
    <t>Кладка стен кирпичных наружных: простых при высоте этажа до 4 м, 1 м3 кладки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122%  *(0.9*0.85)
Норматив СП % : 80%  *(0.85*0.8)</t>
  </si>
  <si>
    <t>890,84
44,87</t>
  </si>
  <si>
    <t>34,56
5,4</t>
  </si>
  <si>
    <t>8.14. Кладка стен из кирпича: ОЗП=15,9; ЭМ=12,03; ЗПМ=15,9; МАТ=4,68</t>
  </si>
  <si>
    <t>2390,6
493,7</t>
  </si>
  <si>
    <t>5,4
0,4</t>
  </si>
  <si>
    <t>21,6
1,6</t>
  </si>
  <si>
    <t>1075,72
222,12</t>
  </si>
  <si>
    <t>9,72
0,72</t>
  </si>
  <si>
    <t>ФЕР15-02-036-06
ОЗП=1,15*1,15
ЭМ=1,25*1,15
ЗПМ=1,25*1,15
ТЗ=1,15*1,15
ТЗМ=1,25*1,15</t>
  </si>
  <si>
    <t>Штукатурка по сетке без устройства каркаса: карнизов и тяг, 100 м2 оштукатуриваемой поверхности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105%  *(0.9*0.85)
Норматив СП % : 55%  *(0.85*0.8)</t>
  </si>
  <si>
    <t>11896,41
3672,39</t>
  </si>
  <si>
    <t>122,55
41,11</t>
  </si>
  <si>
    <t>15.109 Штукатурка по сетке без устройства каркаса: карнизов и тяг: ОЗП=15,9; ЭМ=7,2; ЗПМ=15,9; МАТ=7,57</t>
  </si>
  <si>
    <t>793,15
587,66</t>
  </si>
  <si>
    <t>354,82
3,15</t>
  </si>
  <si>
    <t>221,87
1,97</t>
  </si>
  <si>
    <t>ФЕР15-02-001-06
ОЗП=1,15*1,15
ЭМ=1,25*1,15
ЗПМ=1,25*1,15
ТЗ=1,15*1,15
ТЗМ=1,25*1,15</t>
  </si>
  <si>
    <t>Улучшенная штукатурка фасадов цементно-известковым раствором по камню: карнизов, тяг и наличников прямолинейных, 100 м2 оштукатуриваемой поверхности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105%  *(0.9*0.85)
Норматив СП % : 55%  *(0.85*0.8)</t>
  </si>
  <si>
    <t>8979,95
3892,59</t>
  </si>
  <si>
    <t>15.81 Улучшенная штукатурка цементно-известковым раствором по камню: ОЗП=15,9; ЭМ=7,64; ЗПМ=15,9; МАТ=5,75</t>
  </si>
  <si>
    <t>ФЕР12-01-010-01
ОЗП=1,15*1,15
ЭМ=1,25*1,15
ЗПМ=1,25*1,15
ТЗ=1,15*1,15
ТЗМ=1,25*1,15</t>
  </si>
  <si>
    <t>Устройство мелких покрытий (брандмауэры, парапеты, свесы и т.п.) из листовой оцинкованной стали, 100 м2 покрытия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120%  *(0.9*0.85)
Норматив СП % : 65%  *(0.85*0.8)</t>
  </si>
  <si>
    <t>9875,72
961,76</t>
  </si>
  <si>
    <t>23,38
2,7</t>
  </si>
  <si>
    <t>12.27. Устройство мелких покрытий (брандмауэры, парапеты, свесы и т.п.) из листовой оцинкованной стали: ОЗП=15,9; ЭМ=11,91; ЗПМ=15,9; МАТ=3,44</t>
  </si>
  <si>
    <t>441,74
68,21</t>
  </si>
  <si>
    <t>112,75
0,2</t>
  </si>
  <si>
    <t>124,41
0,22</t>
  </si>
  <si>
    <t>55,98
8,75</t>
  </si>
  <si>
    <t>15,79
0,03</t>
  </si>
  <si>
    <t>ФЕР12-01-017-01
ОЗП=1,15*1,15
ЭМ=1,25*1,15
ЗПМ=1,25*1,15
ТЗ=1,15*1,15
ТЗМ=1,25*1,15</t>
  </si>
  <si>
    <t>Устройство выравнивающих стяжек: цементно-песчаных толщиной 15 мм, 100 м2 стяжки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120%  *(0.9*0.85)
Норматив СП % : 65%  *(0.85*0.8)</t>
  </si>
  <si>
    <t>1257,63
235,18</t>
  </si>
  <si>
    <t>190,48
21,86</t>
  </si>
  <si>
    <t>12.43. Устройство выравнивающих стяжек: цементно-песчаных: ОЗП=15,9; ЭМ=8,88; ЗПМ=15,9; МАТ=5,78</t>
  </si>
  <si>
    <t>18916,8
3887,23</t>
  </si>
  <si>
    <t>27,22
1,94</t>
  </si>
  <si>
    <t>211,77
15,09</t>
  </si>
  <si>
    <t>ФЕР12-01-017-02
ПЗ=35
ОЗП=35*1,15*1,15
ЭМ=35*1,25*1,15
ЗПМ=35*1,25*1,15
МАТ=35
ТЗ=35*1,15*1,15
ТЗМ=35*1,25*1,15</t>
  </si>
  <si>
    <t>Устройство выравнивающих стяжек: на каждый 1 мм изменения толщины добавлять или исключать к расценке 12-01-017-01, 100 м2 стяжки
КОЭФ. К ПОЗИЦИИ:
к=35 ПЗ=35 (ОЗП=35; ЭМ=35 к расх.; ЗПМ=35; МАТ=35 к расх.; ТЗ=35; ТЗМ=35)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120%  *(0.9*0.85)
Норматив СП % : 65%  *(0.85*0.8)</t>
  </si>
  <si>
    <t>2251,2
302,4</t>
  </si>
  <si>
    <t>93,1
11,9</t>
  </si>
  <si>
    <t>9245,94
2116,13</t>
  </si>
  <si>
    <t>35
1,05</t>
  </si>
  <si>
    <t>272,3
8,17</t>
  </si>
  <si>
    <t>ФЕР06-01-015-10
ОЗП=1,15*1,15
ЭМ=1,25*1,15
ЗПМ=1,25*1,15
ТЗ=1,15*1,15
ТЗМ=1,25*1,15</t>
  </si>
  <si>
    <t>Армирование подстилающих слоев и набетонок, 1 т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105%  *(0.9*0.85)
Норматив СП % : 65%  *(0.85*0.8)</t>
  </si>
  <si>
    <t>6084,69
111,99</t>
  </si>
  <si>
    <t>37,1
2,16</t>
  </si>
  <si>
    <t>6.21. Армирование подстилающих слоев и набетонок: ОЗП=15,9; ЭМ=11,43; ЗПМ=15,9; МАТ=3,87</t>
  </si>
  <si>
    <t>1377,66
111,62</t>
  </si>
  <si>
    <t>12,64
0,16</t>
  </si>
  <si>
    <t>28,57
0,36</t>
  </si>
  <si>
    <t>ФЕР07-05-039-15
ОЗП=1,15*1,15
ЭМ=1,25*1,15
ЗПМ=1,25*1,15
ТЗ=1,15*1,15
ТЗМ=1,25*1,15</t>
  </si>
  <si>
    <t>Устройство промазки и расшивки швов панелей перекрытий раствором снизу, 100 м шва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155%  *(0.9*0.85)
Норматив СП % : 100%  *(0.85*0.8)</t>
  </si>
  <si>
    <t>320,57
286,68</t>
  </si>
  <si>
    <t>7.88. Устройство промазки и расшивки швов панелей перекрытий раствором снизу: ОЗП=15,9; ЭМ=11,58; ЗПМ=15,9; МАТ=5,98</t>
  </si>
  <si>
    <t>ФЕР12-01-017-02
ПЗ=5
ОЗП=5*1,15*1,15
ЭМ=5*1,25*1,15
ЗПМ=5*1,25*1,15
МАТ=5
ТЗ=5*1,15*1,15
ТЗМ=5*1,25*1,15</t>
  </si>
  <si>
    <t>Устройство выравнивающих стяжек: на каждый 1 мм изменения толщины добавлять или исключать к расценке 12-01-017-01, 100 м2 стяжки
КОЭФ. К ПОЗИЦИИ:
к=5 ПЗ=5 (ОЗП=5; ЭМ=5 к расх.; ЗПМ=5; МАТ=5 к расх.; ТЗ=5; ТЗМ=5)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120%  *(0.9*0.85)
Норматив СП % : 65%  *(0.85*0.8)</t>
  </si>
  <si>
    <t>321,6
43,2</t>
  </si>
  <si>
    <t>13,3
1,7</t>
  </si>
  <si>
    <t>1320,81
302,42</t>
  </si>
  <si>
    <t>5
0,15</t>
  </si>
  <si>
    <t>38,9
1,17</t>
  </si>
  <si>
    <t>ФЕРр58-13-1
ОЗП=1,15
ЭМ=1,15
ЗПМ=1,15
ТЗ=1,15
ТЗМ=1,15</t>
  </si>
  <si>
    <t>Устройство покрытия из рулонных материалов: насухо без промазки кромок, 100 м2 кровли
КОЭФ. УЧТЁННЫЕ В ИТОГАХ:
7. Ремонт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ТЗ=1,15; ТЗМ=1,15
Норматив НР % : 83%  *0.85
Норматив СП % : 65%  *0.8</t>
  </si>
  <si>
    <t>924,81
36,25</t>
  </si>
  <si>
    <t>84.34 Устройство покрытия из рулонных материалов: насухо без промазки кромок: ОЗП=15,9; ЭМ=11,58; ЗПМ=15,9; МАТ=5,21</t>
  </si>
  <si>
    <t>ФССЦ-101-0852</t>
  </si>
  <si>
    <t>Рубероид кровельный с крупнозернистой посыпкой марки: РКК-350б, м2
Норматив НР % : 120%  *(0.9*0.85)
Норматив СП % : 65%  *(0.85*0.8)</t>
  </si>
  <si>
    <t>Рубероид кровельный с крупнозернистой посыпкой марки: РКК-350б; МАТ=5,235</t>
  </si>
  <si>
    <t>ФССЦ-101-7194</t>
  </si>
  <si>
    <t xml:space="preserve">ИЗОСПАН: А, 10 м2% % </t>
  </si>
  <si>
    <t>ИЗОСПАН: А; МАТ=5,199</t>
  </si>
  <si>
    <t>ФЕР12-01-015-04
ОЗП=1,15*1,15
ЭМ=1,25*1,15
ЗПМ=1,25*1,15
ТЗ=1,15*1,15
ТЗМ=1,25*1,15</t>
  </si>
  <si>
    <t>Проведена проверка достоверности определения сметной стоимости</t>
  </si>
  <si>
    <r>
      <t>Составил:____</t>
    </r>
    <r>
      <rPr>
        <u val="single"/>
        <sz val="9"/>
        <rFont val="Times New Roman"/>
        <family val="1"/>
      </rPr>
      <t xml:space="preserve">                           </t>
    </r>
  </si>
  <si>
    <t xml:space="preserve">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</si>
</sst>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61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6" fillId="0" borderId="1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2" applyNumberFormat="0" applyAlignment="0" applyProtection="0"/>
    <xf numFmtId="0" fontId="6" fillId="0" borderId="1">
      <alignment horizontal="center"/>
      <protection/>
    </xf>
    <xf numFmtId="0" fontId="44" fillId="27" borderId="3" applyNumberFormat="0" applyAlignment="0" applyProtection="0"/>
    <xf numFmtId="0" fontId="45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50" fillId="28" borderId="8" applyNumberFormat="0" applyAlignment="0" applyProtection="0"/>
    <xf numFmtId="0" fontId="6" fillId="0" borderId="1">
      <alignment horizontal="center" wrapText="1"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1">
      <alignment horizontal="center"/>
      <protection/>
    </xf>
    <xf numFmtId="0" fontId="1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5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6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4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3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4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10" fillId="0" borderId="16" xfId="0" applyFont="1" applyBorder="1" applyAlignment="1">
      <alignment wrapText="1"/>
    </xf>
    <xf numFmtId="0" fontId="6" fillId="0" borderId="15" xfId="74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3" fillId="0" borderId="16" xfId="0" applyNumberFormat="1" applyFont="1" applyBorder="1" applyAlignment="1">
      <alignment wrapText="1"/>
    </xf>
    <xf numFmtId="0" fontId="6" fillId="0" borderId="18" xfId="74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6" fillId="0" borderId="0" xfId="54" applyFont="1" applyBorder="1" applyAlignment="1">
      <alignment horizontal="center" wrapText="1"/>
      <protection/>
    </xf>
    <xf numFmtId="0" fontId="15" fillId="0" borderId="0" xfId="0" applyFont="1" applyAlignment="1">
      <alignment horizontal="center" vertical="top"/>
    </xf>
    <xf numFmtId="0" fontId="15" fillId="0" borderId="0" xfId="68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74" applyFont="1" applyAlignment="1">
      <alignment horizontal="left" vertical="top"/>
      <protection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 vertical="top" wrapText="1"/>
    </xf>
    <xf numFmtId="0" fontId="1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 quotePrefix="1">
      <alignment horizontal="right" vertical="top"/>
    </xf>
    <xf numFmtId="0" fontId="15" fillId="0" borderId="1" xfId="0" applyFont="1" applyBorder="1" applyAlignment="1" quotePrefix="1">
      <alignment horizontal="center" vertical="center" wrapText="1"/>
    </xf>
    <xf numFmtId="0" fontId="6" fillId="0" borderId="20" xfId="0" applyFont="1" applyBorder="1" applyAlignment="1">
      <alignment horizontal="right" vertical="top"/>
    </xf>
    <xf numFmtId="0" fontId="6" fillId="0" borderId="0" xfId="0" applyFont="1" applyFill="1" applyBorder="1" applyAlignment="1" quotePrefix="1">
      <alignment horizontal="left" vertical="top"/>
    </xf>
    <xf numFmtId="0" fontId="6" fillId="0" borderId="0" xfId="0" applyFont="1" applyBorder="1" applyAlignment="1" quotePrefix="1">
      <alignment horizontal="left" vertical="top"/>
    </xf>
    <xf numFmtId="0" fontId="6" fillId="0" borderId="0" xfId="68" applyAlignment="1" quotePrefix="1">
      <alignment horizontal="left"/>
    </xf>
    <xf numFmtId="0" fontId="6" fillId="0" borderId="0" xfId="68" applyFont="1" applyAlignment="1" quotePrefix="1">
      <alignment horizontal="left"/>
    </xf>
    <xf numFmtId="0" fontId="15" fillId="0" borderId="21" xfId="54" applyFont="1" applyBorder="1" applyAlignment="1">
      <alignment horizontal="center" wrapText="1"/>
      <protection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15" fillId="0" borderId="1" xfId="0" applyNumberFormat="1" applyFont="1" applyBorder="1" applyAlignment="1">
      <alignment horizontal="right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1" xfId="0" applyFont="1" applyBorder="1" applyAlignment="1">
      <alignment vertical="top" wrapText="1"/>
    </xf>
    <xf numFmtId="0" fontId="15" fillId="0" borderId="21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 wrapText="1"/>
    </xf>
    <xf numFmtId="0" fontId="15" fillId="0" borderId="21" xfId="0" applyNumberFormat="1" applyFont="1" applyBorder="1" applyAlignment="1">
      <alignment horizontal="right" vertical="top" wrapText="1"/>
    </xf>
    <xf numFmtId="0" fontId="15" fillId="0" borderId="1" xfId="52" applyFont="1" applyBorder="1" applyAlignment="1">
      <alignment horizontal="right" vertical="top" wrapText="1"/>
      <protection/>
    </xf>
    <xf numFmtId="43" fontId="6" fillId="0" borderId="20" xfId="70" applyFont="1" applyBorder="1" applyAlignment="1">
      <alignment horizontal="right" vertical="top"/>
    </xf>
    <xf numFmtId="0" fontId="15" fillId="0" borderId="0" xfId="0" applyFont="1" applyBorder="1" applyAlignment="1">
      <alignment horizontal="left"/>
    </xf>
    <xf numFmtId="0" fontId="20" fillId="0" borderId="0" xfId="68" applyFont="1" applyAlignment="1">
      <alignment horizontal="center"/>
    </xf>
    <xf numFmtId="0" fontId="15" fillId="0" borderId="20" xfId="0" applyFont="1" applyBorder="1" applyAlignment="1">
      <alignment horizontal="right"/>
    </xf>
    <xf numFmtId="0" fontId="15" fillId="0" borderId="20" xfId="68" applyFont="1" applyBorder="1" applyAlignment="1">
      <alignment/>
    </xf>
    <xf numFmtId="0" fontId="21" fillId="0" borderId="0" xfId="74" applyFont="1" applyAlignment="1">
      <alignment horizontal="left" vertical="top"/>
      <protection/>
    </xf>
    <xf numFmtId="0" fontId="15" fillId="0" borderId="1" xfId="52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58" fillId="0" borderId="0" xfId="0" applyFont="1" applyAlignment="1">
      <alignment horizontal="right" vertical="top" wrapText="1"/>
    </xf>
    <xf numFmtId="0" fontId="59" fillId="0" borderId="0" xfId="0" applyFont="1" applyAlignment="1">
      <alignment horizontal="right" vertical="top" wrapText="1"/>
    </xf>
    <xf numFmtId="0" fontId="19" fillId="0" borderId="1" xfId="52" applyFont="1" applyBorder="1" applyAlignment="1">
      <alignment horizontal="left" vertical="top" wrapText="1"/>
      <protection/>
    </xf>
    <xf numFmtId="0" fontId="1" fillId="0" borderId="1" xfId="0" applyFont="1" applyBorder="1" applyAlignment="1">
      <alignment horizontal="left" vertical="top" wrapText="1"/>
    </xf>
    <xf numFmtId="0" fontId="15" fillId="0" borderId="20" xfId="68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5" fillId="0" borderId="21" xfId="0" applyFont="1" applyBorder="1" applyAlignment="1" quotePrefix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0" xfId="74" applyFont="1" applyAlignment="1">
      <alignment horizontal="center" vertical="top"/>
      <protection/>
    </xf>
    <xf numFmtId="0" fontId="6" fillId="0" borderId="0" xfId="68" applyAlignment="1" quotePrefix="1">
      <alignment horizontal="left"/>
    </xf>
    <xf numFmtId="0" fontId="6" fillId="0" borderId="0" xfId="68" applyAlignment="1">
      <alignment horizontal="left"/>
    </xf>
    <xf numFmtId="43" fontId="6" fillId="0" borderId="20" xfId="70" applyFont="1" applyBorder="1" applyAlignment="1">
      <alignment horizontal="right" indent="1"/>
    </xf>
    <xf numFmtId="43" fontId="6" fillId="0" borderId="22" xfId="70" applyFont="1" applyBorder="1" applyAlignment="1">
      <alignment horizontal="right" indent="1"/>
    </xf>
    <xf numFmtId="0" fontId="15" fillId="0" borderId="23" xfId="0" applyFont="1" applyBorder="1" applyAlignment="1" quotePrefix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/>
    </xf>
    <xf numFmtId="0" fontId="18" fillId="0" borderId="24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5" fillId="0" borderId="2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Финансовый 2" xfId="72"/>
    <cellStyle name="Финансовый 3" xfId="73"/>
    <cellStyle name="Хвост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49550" y="461391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49550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801975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63925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49550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801975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63925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7"/>
  <sheetViews>
    <sheetView showGridLines="0" tabSelected="1" zoomScale="117" zoomScaleNormal="117" zoomScalePageLayoutView="0" workbookViewId="0" topLeftCell="A58">
      <selection activeCell="C77" sqref="C77"/>
    </sheetView>
  </sheetViews>
  <sheetFormatPr defaultColWidth="9.125" defaultRowHeight="12.75"/>
  <cols>
    <col min="1" max="1" width="3.50390625" style="49" customWidth="1"/>
    <col min="2" max="2" width="14.875" style="49" customWidth="1"/>
    <col min="3" max="3" width="28.875" style="49" customWidth="1"/>
    <col min="4" max="4" width="6.875" style="49" customWidth="1"/>
    <col min="5" max="5" width="10.50390625" style="50" customWidth="1"/>
    <col min="6" max="6" width="9.50390625" style="50" customWidth="1"/>
    <col min="7" max="7" width="8.875" style="50" customWidth="1"/>
    <col min="8" max="8" width="20.375" style="50" customWidth="1"/>
    <col min="9" max="9" width="10.125" style="50" customWidth="1"/>
    <col min="10" max="10" width="8.125" style="50" customWidth="1"/>
    <col min="11" max="11" width="8.625" style="50" customWidth="1"/>
    <col min="12" max="12" width="8.50390625" style="50" customWidth="1"/>
    <col min="13" max="13" width="6.875" style="50" customWidth="1"/>
    <col min="14" max="14" width="6.375" style="48" customWidth="1"/>
    <col min="15" max="15" width="9.125" style="48" customWidth="1"/>
    <col min="16" max="16" width="19.625" style="48" customWidth="1"/>
    <col min="17" max="16384" width="9.125" style="48" customWidth="1"/>
  </cols>
  <sheetData>
    <row r="1" spans="1:14" s="12" customFormat="1" ht="12.75">
      <c r="A1" s="53"/>
      <c r="B1" s="54"/>
      <c r="C1" s="106" t="s">
        <v>181</v>
      </c>
      <c r="D1" s="106"/>
      <c r="E1" s="106"/>
      <c r="F1" s="106"/>
      <c r="G1" s="106"/>
      <c r="H1" s="106"/>
      <c r="I1" s="106"/>
      <c r="J1" s="53"/>
      <c r="K1" s="53"/>
      <c r="L1" s="53"/>
      <c r="M1" s="53"/>
      <c r="N1" s="56"/>
    </row>
    <row r="2" spans="1:14" s="12" customFormat="1" ht="12.75">
      <c r="A2" s="57" t="s">
        <v>480</v>
      </c>
      <c r="B2" s="54"/>
      <c r="C2" s="56"/>
      <c r="D2" s="55"/>
      <c r="F2" s="58" t="s">
        <v>265</v>
      </c>
      <c r="G2" s="58"/>
      <c r="H2" s="56"/>
      <c r="I2" s="59"/>
      <c r="J2" s="57"/>
      <c r="K2" s="57" t="s">
        <v>481</v>
      </c>
      <c r="L2" s="57"/>
      <c r="M2" s="53"/>
      <c r="N2" s="56"/>
    </row>
    <row r="3" spans="1:14" s="12" customFormat="1" ht="12.75">
      <c r="A3" s="57" t="s">
        <v>482</v>
      </c>
      <c r="B3" s="56"/>
      <c r="C3" s="56"/>
      <c r="D3" s="56"/>
      <c r="E3" s="53"/>
      <c r="F3" s="53"/>
      <c r="G3" s="53"/>
      <c r="H3" s="53"/>
      <c r="I3" s="53"/>
      <c r="J3" s="57"/>
      <c r="K3" s="57" t="s">
        <v>190</v>
      </c>
      <c r="L3" s="57"/>
      <c r="M3" s="53"/>
      <c r="N3" s="56"/>
    </row>
    <row r="4" spans="1:14" s="12" customFormat="1" ht="12.75">
      <c r="A4" s="53"/>
      <c r="B4" s="53"/>
      <c r="C4" s="53"/>
      <c r="D4" s="56"/>
      <c r="F4" s="96" t="s">
        <v>182</v>
      </c>
      <c r="G4" s="53"/>
      <c r="H4" s="56"/>
      <c r="I4" s="53"/>
      <c r="J4" s="53"/>
      <c r="K4" s="53"/>
      <c r="L4" s="53"/>
      <c r="M4" s="53"/>
      <c r="N4" s="56"/>
    </row>
    <row r="5" spans="1:14" s="12" customFormat="1" ht="12.75">
      <c r="A5" s="53"/>
      <c r="B5" s="53"/>
      <c r="C5" s="53"/>
      <c r="D5" s="56"/>
      <c r="F5" s="53" t="s">
        <v>266</v>
      </c>
      <c r="G5" s="53"/>
      <c r="H5" s="56"/>
      <c r="I5" s="53"/>
      <c r="J5" s="53"/>
      <c r="K5" s="53"/>
      <c r="L5" s="53"/>
      <c r="M5" s="53"/>
      <c r="N5" s="56"/>
    </row>
    <row r="6" spans="1:14" s="12" customFormat="1" ht="12.75">
      <c r="A6" s="53"/>
      <c r="B6" s="53"/>
      <c r="C6" s="53"/>
      <c r="D6" s="56"/>
      <c r="E6" s="53"/>
      <c r="F6" s="53"/>
      <c r="G6" s="53"/>
      <c r="H6" s="53"/>
      <c r="I6" s="53"/>
      <c r="J6" s="53"/>
      <c r="K6" s="53"/>
      <c r="L6" s="53"/>
      <c r="M6" s="53"/>
      <c r="N6" s="56"/>
    </row>
    <row r="7" spans="1:14" s="12" customFormat="1" ht="12.75">
      <c r="A7" s="53"/>
      <c r="B7" s="53"/>
      <c r="C7" s="97"/>
      <c r="D7" s="98" t="s">
        <v>183</v>
      </c>
      <c r="E7" s="98"/>
      <c r="F7" s="98"/>
      <c r="G7" s="98"/>
      <c r="H7" s="98"/>
      <c r="I7" s="98"/>
      <c r="J7" s="98"/>
      <c r="K7" s="98"/>
      <c r="L7" s="59"/>
      <c r="M7" s="53"/>
      <c r="N7" s="56"/>
    </row>
    <row r="8" spans="1:14" s="12" customFormat="1" ht="12.75">
      <c r="A8" s="53"/>
      <c r="B8" s="53"/>
      <c r="C8" s="53"/>
      <c r="D8" s="95" t="s">
        <v>498</v>
      </c>
      <c r="E8" s="58"/>
      <c r="F8" s="58"/>
      <c r="G8" s="58"/>
      <c r="H8" s="56"/>
      <c r="I8" s="59"/>
      <c r="J8" s="59"/>
      <c r="K8" s="59"/>
      <c r="L8" s="59"/>
      <c r="M8" s="53"/>
      <c r="N8" s="56"/>
    </row>
    <row r="9" spans="1:14" s="12" customFormat="1" ht="7.5" customHeight="1">
      <c r="A9" s="60"/>
      <c r="B9" s="60"/>
      <c r="C9" s="53"/>
      <c r="D9" s="56"/>
      <c r="E9" s="53"/>
      <c r="F9" s="53"/>
      <c r="G9" s="53"/>
      <c r="H9" s="53"/>
      <c r="I9" s="53"/>
      <c r="J9" s="53"/>
      <c r="K9" s="56"/>
      <c r="L9" s="56"/>
      <c r="M9" s="53"/>
      <c r="N9" s="56"/>
    </row>
    <row r="10" spans="1:14" ht="12.75">
      <c r="A10" s="117" t="s">
        <v>497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3" ht="12.75">
      <c r="A11" s="80" t="s">
        <v>486</v>
      </c>
      <c r="B11" s="72"/>
      <c r="C11" s="119">
        <v>3230253.27</v>
      </c>
      <c r="D11" s="119"/>
      <c r="E11" s="119"/>
      <c r="F11" s="71" t="s">
        <v>484</v>
      </c>
      <c r="G11" s="73"/>
      <c r="H11" s="73"/>
      <c r="J11" s="102" t="s">
        <v>677</v>
      </c>
      <c r="K11" s="103"/>
      <c r="L11" s="103"/>
      <c r="M11" s="103"/>
    </row>
    <row r="12" spans="1:13" ht="12.75">
      <c r="A12" s="81" t="s">
        <v>496</v>
      </c>
      <c r="B12" s="72"/>
      <c r="C12" s="94"/>
      <c r="D12" s="120">
        <v>697884.41</v>
      </c>
      <c r="E12" s="120"/>
      <c r="F12" s="71" t="s">
        <v>484</v>
      </c>
      <c r="G12" s="73"/>
      <c r="H12" s="73"/>
      <c r="I12" s="73"/>
      <c r="J12" s="103"/>
      <c r="K12" s="103"/>
      <c r="L12" s="103"/>
      <c r="M12" s="103"/>
    </row>
    <row r="13" spans="1:13" ht="12.75">
      <c r="A13" s="81" t="s">
        <v>180</v>
      </c>
      <c r="B13" s="48"/>
      <c r="C13" s="74"/>
      <c r="D13" s="75"/>
      <c r="E13" s="78"/>
      <c r="F13" s="11"/>
      <c r="G13" s="79"/>
      <c r="H13" s="79"/>
      <c r="I13" s="73"/>
      <c r="J13" s="103"/>
      <c r="K13" s="103"/>
      <c r="L13" s="103"/>
      <c r="M13" s="103"/>
    </row>
    <row r="14" spans="1:14" ht="11.25" customHeight="1">
      <c r="A14" s="70"/>
      <c r="B14" s="71"/>
      <c r="C14" s="71"/>
      <c r="D14" s="70"/>
      <c r="E14" s="73"/>
      <c r="F14" s="73"/>
      <c r="G14" s="73"/>
      <c r="H14" s="77"/>
      <c r="I14" s="73"/>
      <c r="J14" s="73"/>
      <c r="K14" s="73"/>
      <c r="L14" s="73"/>
      <c r="M14" s="73"/>
      <c r="N14" s="48" t="s">
        <v>484</v>
      </c>
    </row>
    <row r="15" spans="1:14" ht="12.75" customHeight="1">
      <c r="A15" s="114" t="s">
        <v>267</v>
      </c>
      <c r="B15" s="114" t="s">
        <v>493</v>
      </c>
      <c r="C15" s="112" t="s">
        <v>499</v>
      </c>
      <c r="D15" s="112" t="s">
        <v>494</v>
      </c>
      <c r="E15" s="125" t="s">
        <v>500</v>
      </c>
      <c r="F15" s="126"/>
      <c r="G15" s="127"/>
      <c r="H15" s="112" t="s">
        <v>479</v>
      </c>
      <c r="I15" s="125" t="s">
        <v>485</v>
      </c>
      <c r="J15" s="131"/>
      <c r="K15" s="131"/>
      <c r="L15" s="132"/>
      <c r="M15" s="121" t="s">
        <v>495</v>
      </c>
      <c r="N15" s="122"/>
    </row>
    <row r="16" spans="1:14" s="51" customFormat="1" ht="38.25" customHeight="1">
      <c r="A16" s="115"/>
      <c r="B16" s="115"/>
      <c r="C16" s="115"/>
      <c r="D16" s="115"/>
      <c r="E16" s="128"/>
      <c r="F16" s="129"/>
      <c r="G16" s="130"/>
      <c r="H16" s="115"/>
      <c r="I16" s="123"/>
      <c r="J16" s="133"/>
      <c r="K16" s="133"/>
      <c r="L16" s="134"/>
      <c r="M16" s="123"/>
      <c r="N16" s="124"/>
    </row>
    <row r="17" spans="1:14" s="51" customFormat="1" ht="12.75" customHeight="1">
      <c r="A17" s="115"/>
      <c r="B17" s="115"/>
      <c r="C17" s="115"/>
      <c r="D17" s="115"/>
      <c r="E17" s="76" t="s">
        <v>488</v>
      </c>
      <c r="F17" s="76" t="s">
        <v>490</v>
      </c>
      <c r="G17" s="112" t="s">
        <v>492</v>
      </c>
      <c r="H17" s="115"/>
      <c r="I17" s="112" t="s">
        <v>488</v>
      </c>
      <c r="J17" s="112" t="s">
        <v>491</v>
      </c>
      <c r="K17" s="76" t="s">
        <v>490</v>
      </c>
      <c r="L17" s="112" t="s">
        <v>492</v>
      </c>
      <c r="M17" s="114" t="s">
        <v>483</v>
      </c>
      <c r="N17" s="112" t="s">
        <v>488</v>
      </c>
    </row>
    <row r="18" spans="1:14" s="51" customFormat="1" ht="11.25" customHeight="1">
      <c r="A18" s="113"/>
      <c r="B18" s="113"/>
      <c r="C18" s="113"/>
      <c r="D18" s="113"/>
      <c r="E18" s="69" t="s">
        <v>487</v>
      </c>
      <c r="F18" s="76" t="s">
        <v>489</v>
      </c>
      <c r="G18" s="113"/>
      <c r="H18" s="113"/>
      <c r="I18" s="113"/>
      <c r="J18" s="113"/>
      <c r="K18" s="76" t="s">
        <v>489</v>
      </c>
      <c r="L18" s="113"/>
      <c r="M18" s="113"/>
      <c r="N18" s="113"/>
    </row>
    <row r="19" spans="1:20" ht="12.75">
      <c r="A19" s="82">
        <v>1</v>
      </c>
      <c r="B19" s="82">
        <v>2</v>
      </c>
      <c r="C19" s="82">
        <v>3</v>
      </c>
      <c r="D19" s="82">
        <v>4</v>
      </c>
      <c r="E19" s="82">
        <v>5</v>
      </c>
      <c r="F19" s="82">
        <v>6</v>
      </c>
      <c r="G19" s="82">
        <v>7</v>
      </c>
      <c r="H19" s="82">
        <v>8</v>
      </c>
      <c r="I19" s="82">
        <v>9</v>
      </c>
      <c r="J19" s="82">
        <v>10</v>
      </c>
      <c r="K19" s="82">
        <v>11</v>
      </c>
      <c r="L19" s="82">
        <v>12</v>
      </c>
      <c r="M19" s="82">
        <v>13</v>
      </c>
      <c r="N19" s="82">
        <v>14</v>
      </c>
      <c r="O19" s="52"/>
      <c r="P19" s="52"/>
      <c r="Q19" s="52"/>
      <c r="R19" s="52"/>
      <c r="S19" s="52"/>
      <c r="T19" s="52"/>
    </row>
    <row r="20" spans="1:14" ht="17.25" customHeight="1">
      <c r="A20" s="111" t="s">
        <v>502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59.25" customHeight="1">
      <c r="A21" s="83">
        <v>1</v>
      </c>
      <c r="B21" s="84" t="s">
        <v>503</v>
      </c>
      <c r="C21" s="84" t="s">
        <v>504</v>
      </c>
      <c r="D21" s="83">
        <v>7.78</v>
      </c>
      <c r="E21" s="85" t="s">
        <v>505</v>
      </c>
      <c r="F21" s="85">
        <v>41.43</v>
      </c>
      <c r="G21" s="85"/>
      <c r="H21" s="86" t="s">
        <v>506</v>
      </c>
      <c r="I21" s="87">
        <v>14844.55</v>
      </c>
      <c r="J21" s="85">
        <v>13874.34</v>
      </c>
      <c r="K21" s="85">
        <v>970.21</v>
      </c>
      <c r="L21" s="85" t="str">
        <f>IF(7.78*0=0," ",TEXT(,ROUND((7.78*0*1),2)))</f>
        <v> </v>
      </c>
      <c r="M21" s="85">
        <v>14.38</v>
      </c>
      <c r="N21" s="85">
        <v>111.88</v>
      </c>
    </row>
    <row r="22" spans="1:14" ht="48">
      <c r="A22" s="83">
        <v>2</v>
      </c>
      <c r="B22" s="84" t="s">
        <v>507</v>
      </c>
      <c r="C22" s="84" t="s">
        <v>508</v>
      </c>
      <c r="D22" s="83">
        <v>7.78</v>
      </c>
      <c r="E22" s="85" t="s">
        <v>509</v>
      </c>
      <c r="F22" s="85" t="s">
        <v>510</v>
      </c>
      <c r="G22" s="85"/>
      <c r="H22" s="86" t="s">
        <v>511</v>
      </c>
      <c r="I22" s="87">
        <v>44565.89</v>
      </c>
      <c r="J22" s="85">
        <v>27004.08</v>
      </c>
      <c r="K22" s="85" t="s">
        <v>512</v>
      </c>
      <c r="L22" s="85" t="str">
        <f>IF(7.78*0=0," ",TEXT(,ROUND((7.78*0*1),2)))</f>
        <v> </v>
      </c>
      <c r="M22" s="85" t="s">
        <v>513</v>
      </c>
      <c r="N22" s="85" t="s">
        <v>514</v>
      </c>
    </row>
    <row r="23" spans="1:14" ht="156">
      <c r="A23" s="83">
        <v>3</v>
      </c>
      <c r="B23" s="84" t="s">
        <v>515</v>
      </c>
      <c r="C23" s="84" t="s">
        <v>516</v>
      </c>
      <c r="D23" s="83">
        <v>1.623</v>
      </c>
      <c r="E23" s="85" t="s">
        <v>517</v>
      </c>
      <c r="F23" s="85">
        <v>0.2</v>
      </c>
      <c r="G23" s="85"/>
      <c r="H23" s="86" t="s">
        <v>518</v>
      </c>
      <c r="I23" s="87">
        <v>2108.37</v>
      </c>
      <c r="J23" s="85">
        <v>2106.59</v>
      </c>
      <c r="K23" s="85">
        <v>1.78</v>
      </c>
      <c r="L23" s="85" t="str">
        <f>IF(1.623*0=0," ",TEXT(,ROUND((1.623*0*1),2)))</f>
        <v> </v>
      </c>
      <c r="M23" s="85">
        <v>9.1</v>
      </c>
      <c r="N23" s="85">
        <v>14.77</v>
      </c>
    </row>
    <row r="24" spans="1:14" ht="156">
      <c r="A24" s="83">
        <v>4</v>
      </c>
      <c r="B24" s="84" t="s">
        <v>515</v>
      </c>
      <c r="C24" s="84" t="s">
        <v>516</v>
      </c>
      <c r="D24" s="83">
        <v>0.415</v>
      </c>
      <c r="E24" s="85" t="s">
        <v>517</v>
      </c>
      <c r="F24" s="85">
        <v>0.2</v>
      </c>
      <c r="G24" s="85"/>
      <c r="H24" s="86" t="s">
        <v>518</v>
      </c>
      <c r="I24" s="87">
        <v>539.12</v>
      </c>
      <c r="J24" s="85">
        <v>538.69</v>
      </c>
      <c r="K24" s="85">
        <v>0.43</v>
      </c>
      <c r="L24" s="85" t="str">
        <f>IF(0.415*0=0," ",TEXT(,ROUND((0.415*0*1),2)))</f>
        <v> </v>
      </c>
      <c r="M24" s="85">
        <v>9.1</v>
      </c>
      <c r="N24" s="85">
        <v>3.78</v>
      </c>
    </row>
    <row r="25" spans="1:14" ht="62.25" customHeight="1">
      <c r="A25" s="83">
        <v>5</v>
      </c>
      <c r="B25" s="84" t="s">
        <v>503</v>
      </c>
      <c r="C25" s="84" t="s">
        <v>504</v>
      </c>
      <c r="D25" s="83">
        <v>0.415</v>
      </c>
      <c r="E25" s="85" t="s">
        <v>505</v>
      </c>
      <c r="F25" s="85">
        <v>41.43</v>
      </c>
      <c r="G25" s="85"/>
      <c r="H25" s="86" t="s">
        <v>506</v>
      </c>
      <c r="I25" s="87">
        <v>791.89</v>
      </c>
      <c r="J25" s="85">
        <v>740.15</v>
      </c>
      <c r="K25" s="85">
        <v>51.74</v>
      </c>
      <c r="L25" s="85" t="str">
        <f>IF(0.415*0=0," ",TEXT(,ROUND((0.415*0*1),2)))</f>
        <v> </v>
      </c>
      <c r="M25" s="85">
        <v>14.38</v>
      </c>
      <c r="N25" s="85">
        <v>5.97</v>
      </c>
    </row>
    <row r="26" spans="1:14" ht="60">
      <c r="A26" s="83">
        <v>6</v>
      </c>
      <c r="B26" s="84" t="s">
        <v>519</v>
      </c>
      <c r="C26" s="84" t="s">
        <v>520</v>
      </c>
      <c r="D26" s="83">
        <v>0.415</v>
      </c>
      <c r="E26" s="85" t="s">
        <v>521</v>
      </c>
      <c r="F26" s="85">
        <v>30.64</v>
      </c>
      <c r="G26" s="85"/>
      <c r="H26" s="86" t="s">
        <v>506</v>
      </c>
      <c r="I26" s="87">
        <v>856.63</v>
      </c>
      <c r="J26" s="85">
        <v>818.37</v>
      </c>
      <c r="K26" s="85">
        <v>38.26</v>
      </c>
      <c r="L26" s="85" t="str">
        <f>IF(0.415*0=0," ",TEXT(,ROUND((0.415*0*1),2)))</f>
        <v> </v>
      </c>
      <c r="M26" s="85">
        <v>15.9</v>
      </c>
      <c r="N26" s="85">
        <v>6.6</v>
      </c>
    </row>
    <row r="27" spans="1:14" ht="48">
      <c r="A27" s="83">
        <v>7</v>
      </c>
      <c r="B27" s="84" t="s">
        <v>507</v>
      </c>
      <c r="C27" s="84" t="s">
        <v>508</v>
      </c>
      <c r="D27" s="83">
        <v>0.415</v>
      </c>
      <c r="E27" s="85" t="s">
        <v>509</v>
      </c>
      <c r="F27" s="85" t="s">
        <v>510</v>
      </c>
      <c r="G27" s="85"/>
      <c r="H27" s="86" t="s">
        <v>511</v>
      </c>
      <c r="I27" s="87">
        <v>2377.17</v>
      </c>
      <c r="J27" s="85">
        <v>1440.38</v>
      </c>
      <c r="K27" s="85" t="s">
        <v>522</v>
      </c>
      <c r="L27" s="85" t="str">
        <f>IF(0.415*0=0," ",TEXT(,ROUND((0.415*0*1),2)))</f>
        <v> </v>
      </c>
      <c r="M27" s="85" t="s">
        <v>513</v>
      </c>
      <c r="N27" s="85" t="s">
        <v>523</v>
      </c>
    </row>
    <row r="28" spans="1:14" ht="228">
      <c r="A28" s="83">
        <v>8</v>
      </c>
      <c r="B28" s="84" t="s">
        <v>524</v>
      </c>
      <c r="C28" s="84" t="s">
        <v>525</v>
      </c>
      <c r="D28" s="83">
        <v>0.15</v>
      </c>
      <c r="E28" s="85" t="s">
        <v>526</v>
      </c>
      <c r="F28" s="85" t="s">
        <v>527</v>
      </c>
      <c r="G28" s="85"/>
      <c r="H28" s="86" t="s">
        <v>528</v>
      </c>
      <c r="I28" s="87">
        <v>8211.14</v>
      </c>
      <c r="J28" s="85">
        <v>4220.66</v>
      </c>
      <c r="K28" s="85" t="s">
        <v>529</v>
      </c>
      <c r="L28" s="85" t="str">
        <f>IF(0.15*0=0," ",TEXT(,ROUND((0.15*0*6.14),2)))</f>
        <v> </v>
      </c>
      <c r="M28" s="85" t="s">
        <v>530</v>
      </c>
      <c r="N28" s="85" t="s">
        <v>531</v>
      </c>
    </row>
    <row r="29" spans="1:14" ht="45">
      <c r="A29" s="83">
        <v>9</v>
      </c>
      <c r="B29" s="84" t="s">
        <v>532</v>
      </c>
      <c r="C29" s="84" t="s">
        <v>533</v>
      </c>
      <c r="D29" s="83">
        <v>4</v>
      </c>
      <c r="E29" s="85" t="s">
        <v>534</v>
      </c>
      <c r="F29" s="85" t="s">
        <v>535</v>
      </c>
      <c r="G29" s="85"/>
      <c r="H29" s="86" t="s">
        <v>536</v>
      </c>
      <c r="I29" s="87">
        <v>6848.05</v>
      </c>
      <c r="J29" s="85">
        <v>4643.44</v>
      </c>
      <c r="K29" s="85" t="s">
        <v>537</v>
      </c>
      <c r="L29" s="85" t="str">
        <f>IF(4*0=0," ",TEXT(,ROUND((4*0*1),2)))</f>
        <v> </v>
      </c>
      <c r="M29" s="85" t="s">
        <v>538</v>
      </c>
      <c r="N29" s="85" t="s">
        <v>539</v>
      </c>
    </row>
    <row r="30" spans="1:14" ht="45">
      <c r="A30" s="83">
        <v>10</v>
      </c>
      <c r="B30" s="84" t="s">
        <v>532</v>
      </c>
      <c r="C30" s="84" t="s">
        <v>533</v>
      </c>
      <c r="D30" s="83">
        <v>1.8</v>
      </c>
      <c r="E30" s="85" t="s">
        <v>534</v>
      </c>
      <c r="F30" s="85" t="s">
        <v>535</v>
      </c>
      <c r="G30" s="85"/>
      <c r="H30" s="86" t="s">
        <v>536</v>
      </c>
      <c r="I30" s="87">
        <v>3081.62</v>
      </c>
      <c r="J30" s="85">
        <v>2089.58</v>
      </c>
      <c r="K30" s="85" t="s">
        <v>540</v>
      </c>
      <c r="L30" s="85" t="str">
        <f>IF(1.8*0=0," ",TEXT(,ROUND((1.8*0*1),2)))</f>
        <v> </v>
      </c>
      <c r="M30" s="85" t="s">
        <v>538</v>
      </c>
      <c r="N30" s="85" t="s">
        <v>541</v>
      </c>
    </row>
    <row r="31" spans="1:14" ht="192">
      <c r="A31" s="83">
        <v>11</v>
      </c>
      <c r="B31" s="84" t="s">
        <v>542</v>
      </c>
      <c r="C31" s="84" t="s">
        <v>543</v>
      </c>
      <c r="D31" s="83">
        <v>93.4</v>
      </c>
      <c r="E31" s="85" t="s">
        <v>544</v>
      </c>
      <c r="F31" s="85" t="s">
        <v>545</v>
      </c>
      <c r="G31" s="85"/>
      <c r="H31" s="86" t="s">
        <v>546</v>
      </c>
      <c r="I31" s="87">
        <v>56060.49</v>
      </c>
      <c r="J31" s="85">
        <v>32397.36</v>
      </c>
      <c r="K31" s="85" t="s">
        <v>547</v>
      </c>
      <c r="L31" s="85" t="str">
        <f>IF(93.4*0=0," ",TEXT(,ROUND((93.4*0*11.14),2)))</f>
        <v> </v>
      </c>
      <c r="M31" s="85" t="s">
        <v>548</v>
      </c>
      <c r="N31" s="85" t="s">
        <v>549</v>
      </c>
    </row>
    <row r="32" spans="1:14" ht="228">
      <c r="A32" s="83">
        <v>12</v>
      </c>
      <c r="B32" s="84" t="s">
        <v>550</v>
      </c>
      <c r="C32" s="84" t="s">
        <v>551</v>
      </c>
      <c r="D32" s="83">
        <v>3</v>
      </c>
      <c r="E32" s="85" t="s">
        <v>552</v>
      </c>
      <c r="F32" s="85"/>
      <c r="G32" s="85"/>
      <c r="H32" s="86" t="s">
        <v>553</v>
      </c>
      <c r="I32" s="87">
        <v>161.23</v>
      </c>
      <c r="J32" s="85">
        <v>161.23</v>
      </c>
      <c r="K32" s="85"/>
      <c r="L32" s="85" t="str">
        <f>IF(3*0=0," ",TEXT(,ROUND((3*0*5.67),2)))</f>
        <v> </v>
      </c>
      <c r="M32" s="85">
        <v>0.33</v>
      </c>
      <c r="N32" s="85">
        <v>0.99</v>
      </c>
    </row>
    <row r="33" spans="1:14" ht="144">
      <c r="A33" s="83">
        <v>13</v>
      </c>
      <c r="B33" s="84" t="s">
        <v>554</v>
      </c>
      <c r="C33" s="84" t="s">
        <v>555</v>
      </c>
      <c r="D33" s="83">
        <v>1.193</v>
      </c>
      <c r="E33" s="85" t="s">
        <v>556</v>
      </c>
      <c r="F33" s="85">
        <v>1.89</v>
      </c>
      <c r="G33" s="85"/>
      <c r="H33" s="86" t="s">
        <v>557</v>
      </c>
      <c r="I33" s="87">
        <v>2186.43</v>
      </c>
      <c r="J33" s="85">
        <v>2174.33</v>
      </c>
      <c r="K33" s="85">
        <v>12.1</v>
      </c>
      <c r="L33" s="85" t="str">
        <f>IF(1.193*0=0," ",TEXT(,ROUND((1.193*0*1),2)))</f>
        <v> </v>
      </c>
      <c r="M33" s="85">
        <v>13.08</v>
      </c>
      <c r="N33" s="85">
        <v>15.6</v>
      </c>
    </row>
    <row r="34" spans="1:14" ht="204">
      <c r="A34" s="83">
        <v>14</v>
      </c>
      <c r="B34" s="84" t="s">
        <v>558</v>
      </c>
      <c r="C34" s="84" t="s">
        <v>559</v>
      </c>
      <c r="D34" s="83">
        <v>0.0287</v>
      </c>
      <c r="E34" s="85" t="s">
        <v>560</v>
      </c>
      <c r="F34" s="85" t="s">
        <v>561</v>
      </c>
      <c r="G34" s="85"/>
      <c r="H34" s="86" t="s">
        <v>562</v>
      </c>
      <c r="I34" s="87">
        <v>748.09</v>
      </c>
      <c r="J34" s="85">
        <v>432</v>
      </c>
      <c r="K34" s="85" t="s">
        <v>563</v>
      </c>
      <c r="L34" s="85" t="str">
        <f>IF(0.0287*0=0," ",TEXT(,ROUND((0.0287*0*5.87),2)))</f>
        <v> </v>
      </c>
      <c r="M34" s="85" t="s">
        <v>564</v>
      </c>
      <c r="N34" s="85" t="s">
        <v>565</v>
      </c>
    </row>
    <row r="35" spans="1:14" ht="144">
      <c r="A35" s="88">
        <v>15</v>
      </c>
      <c r="B35" s="89" t="s">
        <v>566</v>
      </c>
      <c r="C35" s="89" t="s">
        <v>567</v>
      </c>
      <c r="D35" s="88">
        <v>1.1572</v>
      </c>
      <c r="E35" s="90" t="s">
        <v>568</v>
      </c>
      <c r="F35" s="90"/>
      <c r="G35" s="90"/>
      <c r="H35" s="91" t="s">
        <v>569</v>
      </c>
      <c r="I35" s="92">
        <v>32877.86</v>
      </c>
      <c r="J35" s="90">
        <v>32877.86</v>
      </c>
      <c r="K35" s="90"/>
      <c r="L35" s="90" t="str">
        <f>IF(1.1572*0=0," ",TEXT(,ROUND((1.1572*0*1),2)))</f>
        <v> </v>
      </c>
      <c r="M35" s="90">
        <v>214.32</v>
      </c>
      <c r="N35" s="90">
        <v>248.01</v>
      </c>
    </row>
    <row r="36" spans="1:14" ht="24">
      <c r="A36" s="107" t="s">
        <v>570</v>
      </c>
      <c r="B36" s="101"/>
      <c r="C36" s="101"/>
      <c r="D36" s="101"/>
      <c r="E36" s="101"/>
      <c r="F36" s="101"/>
      <c r="G36" s="101"/>
      <c r="H36" s="101"/>
      <c r="I36" s="87">
        <v>14417.97</v>
      </c>
      <c r="J36" s="85">
        <v>7279.78</v>
      </c>
      <c r="K36" s="85" t="s">
        <v>571</v>
      </c>
      <c r="L36" s="85"/>
      <c r="M36" s="85"/>
      <c r="N36" s="85" t="s">
        <v>572</v>
      </c>
    </row>
    <row r="37" spans="1:14" ht="24">
      <c r="A37" s="107" t="s">
        <v>573</v>
      </c>
      <c r="B37" s="101"/>
      <c r="C37" s="101"/>
      <c r="D37" s="101"/>
      <c r="E37" s="101"/>
      <c r="F37" s="101"/>
      <c r="G37" s="101"/>
      <c r="H37" s="101"/>
      <c r="I37" s="87">
        <v>15418.46</v>
      </c>
      <c r="J37" s="85">
        <v>7894.28</v>
      </c>
      <c r="K37" s="85" t="s">
        <v>574</v>
      </c>
      <c r="L37" s="85"/>
      <c r="M37" s="85"/>
      <c r="N37" s="85" t="s">
        <v>575</v>
      </c>
    </row>
    <row r="38" spans="1:14" ht="24">
      <c r="A38" s="107" t="s">
        <v>576</v>
      </c>
      <c r="B38" s="101"/>
      <c r="C38" s="101"/>
      <c r="D38" s="101"/>
      <c r="E38" s="101"/>
      <c r="F38" s="101"/>
      <c r="G38" s="101"/>
      <c r="H38" s="101"/>
      <c r="I38" s="87">
        <v>176258.53</v>
      </c>
      <c r="J38" s="85">
        <v>125519.05</v>
      </c>
      <c r="K38" s="85" t="s">
        <v>577</v>
      </c>
      <c r="L38" s="85"/>
      <c r="M38" s="85"/>
      <c r="N38" s="85" t="s">
        <v>575</v>
      </c>
    </row>
    <row r="39" spans="1:14" ht="12.75">
      <c r="A39" s="107" t="s">
        <v>578</v>
      </c>
      <c r="B39" s="101"/>
      <c r="C39" s="101"/>
      <c r="D39" s="101"/>
      <c r="E39" s="101"/>
      <c r="F39" s="101"/>
      <c r="G39" s="101"/>
      <c r="H39" s="101"/>
      <c r="I39" s="87">
        <v>114937.24</v>
      </c>
      <c r="J39" s="85"/>
      <c r="K39" s="85"/>
      <c r="L39" s="85"/>
      <c r="M39" s="85"/>
      <c r="N39" s="85"/>
    </row>
    <row r="40" spans="1:14" ht="12.75">
      <c r="A40" s="107" t="s">
        <v>579</v>
      </c>
      <c r="B40" s="101"/>
      <c r="C40" s="101"/>
      <c r="D40" s="101"/>
      <c r="E40" s="101"/>
      <c r="F40" s="101"/>
      <c r="G40" s="101"/>
      <c r="H40" s="101"/>
      <c r="I40" s="87">
        <v>63519.52</v>
      </c>
      <c r="J40" s="85"/>
      <c r="K40" s="85"/>
      <c r="L40" s="85"/>
      <c r="M40" s="85"/>
      <c r="N40" s="85"/>
    </row>
    <row r="41" spans="1:14" ht="12.75">
      <c r="A41" s="110" t="s">
        <v>580</v>
      </c>
      <c r="B41" s="105"/>
      <c r="C41" s="105"/>
      <c r="D41" s="105"/>
      <c r="E41" s="105"/>
      <c r="F41" s="105"/>
      <c r="G41" s="105"/>
      <c r="H41" s="105"/>
      <c r="I41" s="87"/>
      <c r="J41" s="85"/>
      <c r="K41" s="85"/>
      <c r="L41" s="85"/>
      <c r="M41" s="85"/>
      <c r="N41" s="85"/>
    </row>
    <row r="42" spans="1:14" ht="25.5" customHeight="1">
      <c r="A42" s="107" t="s">
        <v>581</v>
      </c>
      <c r="B42" s="101"/>
      <c r="C42" s="101"/>
      <c r="D42" s="101"/>
      <c r="E42" s="101"/>
      <c r="F42" s="101"/>
      <c r="G42" s="101"/>
      <c r="H42" s="101"/>
      <c r="I42" s="87">
        <v>149584.53</v>
      </c>
      <c r="J42" s="85"/>
      <c r="K42" s="85"/>
      <c r="L42" s="85"/>
      <c r="M42" s="85"/>
      <c r="N42" s="85" t="s">
        <v>582</v>
      </c>
    </row>
    <row r="43" spans="1:14" ht="12.75" customHeight="1">
      <c r="A43" s="107" t="s">
        <v>583</v>
      </c>
      <c r="B43" s="101"/>
      <c r="C43" s="101"/>
      <c r="D43" s="101"/>
      <c r="E43" s="101"/>
      <c r="F43" s="101"/>
      <c r="G43" s="101"/>
      <c r="H43" s="101"/>
      <c r="I43" s="87">
        <v>10740.35</v>
      </c>
      <c r="J43" s="85"/>
      <c r="K43" s="85"/>
      <c r="L43" s="85"/>
      <c r="M43" s="85"/>
      <c r="N43" s="85">
        <v>39.27</v>
      </c>
    </row>
    <row r="44" spans="1:14" ht="25.5" customHeight="1">
      <c r="A44" s="107" t="s">
        <v>584</v>
      </c>
      <c r="B44" s="101"/>
      <c r="C44" s="101"/>
      <c r="D44" s="101"/>
      <c r="E44" s="101"/>
      <c r="F44" s="101"/>
      <c r="G44" s="101"/>
      <c r="H44" s="101"/>
      <c r="I44" s="87">
        <v>17529.07</v>
      </c>
      <c r="J44" s="85"/>
      <c r="K44" s="85"/>
      <c r="L44" s="85"/>
      <c r="M44" s="85"/>
      <c r="N44" s="85" t="s">
        <v>585</v>
      </c>
    </row>
    <row r="45" spans="1:14" ht="24">
      <c r="A45" s="107" t="s">
        <v>586</v>
      </c>
      <c r="B45" s="101"/>
      <c r="C45" s="101"/>
      <c r="D45" s="101"/>
      <c r="E45" s="101"/>
      <c r="F45" s="101"/>
      <c r="G45" s="101"/>
      <c r="H45" s="101"/>
      <c r="I45" s="87">
        <v>107228.06</v>
      </c>
      <c r="J45" s="85"/>
      <c r="K45" s="85"/>
      <c r="L45" s="85"/>
      <c r="M45" s="85"/>
      <c r="N45" s="85" t="s">
        <v>587</v>
      </c>
    </row>
    <row r="46" spans="1:14" ht="25.5" customHeight="1">
      <c r="A46" s="107" t="s">
        <v>588</v>
      </c>
      <c r="B46" s="101"/>
      <c r="C46" s="101"/>
      <c r="D46" s="101"/>
      <c r="E46" s="101"/>
      <c r="F46" s="101"/>
      <c r="G46" s="101"/>
      <c r="H46" s="101"/>
      <c r="I46" s="87">
        <v>410.11</v>
      </c>
      <c r="J46" s="85"/>
      <c r="K46" s="85"/>
      <c r="L46" s="85"/>
      <c r="M46" s="85"/>
      <c r="N46" s="85">
        <v>1.14</v>
      </c>
    </row>
    <row r="47" spans="1:14" ht="24">
      <c r="A47" s="107" t="s">
        <v>589</v>
      </c>
      <c r="B47" s="101"/>
      <c r="C47" s="101"/>
      <c r="D47" s="101"/>
      <c r="E47" s="101"/>
      <c r="F47" s="101"/>
      <c r="G47" s="101"/>
      <c r="H47" s="101"/>
      <c r="I47" s="87">
        <v>1396.15</v>
      </c>
      <c r="J47" s="85"/>
      <c r="K47" s="85"/>
      <c r="L47" s="85"/>
      <c r="M47" s="85"/>
      <c r="N47" s="85" t="s">
        <v>590</v>
      </c>
    </row>
    <row r="48" spans="1:14" ht="12.75" customHeight="1">
      <c r="A48" s="107" t="s">
        <v>591</v>
      </c>
      <c r="B48" s="101"/>
      <c r="C48" s="101"/>
      <c r="D48" s="101"/>
      <c r="E48" s="101"/>
      <c r="F48" s="101"/>
      <c r="G48" s="101"/>
      <c r="H48" s="101"/>
      <c r="I48" s="87">
        <v>67827.02</v>
      </c>
      <c r="J48" s="85"/>
      <c r="K48" s="85"/>
      <c r="L48" s="85"/>
      <c r="M48" s="85"/>
      <c r="N48" s="85">
        <v>285.21</v>
      </c>
    </row>
    <row r="49" spans="1:14" ht="24">
      <c r="A49" s="107" t="s">
        <v>592</v>
      </c>
      <c r="B49" s="101"/>
      <c r="C49" s="101"/>
      <c r="D49" s="101"/>
      <c r="E49" s="101"/>
      <c r="F49" s="101"/>
      <c r="G49" s="101"/>
      <c r="H49" s="101"/>
      <c r="I49" s="87">
        <v>354715.29</v>
      </c>
      <c r="J49" s="85"/>
      <c r="K49" s="85"/>
      <c r="L49" s="85"/>
      <c r="M49" s="85"/>
      <c r="N49" s="85" t="s">
        <v>575</v>
      </c>
    </row>
    <row r="50" spans="1:14" ht="12.75">
      <c r="A50" s="107" t="s">
        <v>593</v>
      </c>
      <c r="B50" s="101"/>
      <c r="C50" s="101"/>
      <c r="D50" s="101"/>
      <c r="E50" s="101"/>
      <c r="F50" s="101"/>
      <c r="G50" s="101"/>
      <c r="H50" s="101"/>
      <c r="I50" s="87"/>
      <c r="J50" s="85"/>
      <c r="K50" s="85"/>
      <c r="L50" s="85"/>
      <c r="M50" s="85"/>
      <c r="N50" s="85"/>
    </row>
    <row r="51" spans="1:14" ht="12.75">
      <c r="A51" s="107" t="s">
        <v>594</v>
      </c>
      <c r="B51" s="101"/>
      <c r="C51" s="101"/>
      <c r="D51" s="101"/>
      <c r="E51" s="101"/>
      <c r="F51" s="101"/>
      <c r="G51" s="101"/>
      <c r="H51" s="101"/>
      <c r="I51" s="87">
        <v>50739.48</v>
      </c>
      <c r="J51" s="85"/>
      <c r="K51" s="85"/>
      <c r="L51" s="85"/>
      <c r="M51" s="85"/>
      <c r="N51" s="85"/>
    </row>
    <row r="52" spans="1:14" ht="12.75">
      <c r="A52" s="107" t="s">
        <v>595</v>
      </c>
      <c r="B52" s="101"/>
      <c r="C52" s="101"/>
      <c r="D52" s="101"/>
      <c r="E52" s="101"/>
      <c r="F52" s="101"/>
      <c r="G52" s="101"/>
      <c r="H52" s="101"/>
      <c r="I52" s="87">
        <v>138814</v>
      </c>
      <c r="J52" s="85"/>
      <c r="K52" s="85"/>
      <c r="L52" s="85"/>
      <c r="M52" s="85"/>
      <c r="N52" s="85"/>
    </row>
    <row r="53" spans="1:14" ht="12.75">
      <c r="A53" s="107" t="s">
        <v>596</v>
      </c>
      <c r="B53" s="101"/>
      <c r="C53" s="101"/>
      <c r="D53" s="101"/>
      <c r="E53" s="101"/>
      <c r="F53" s="101"/>
      <c r="G53" s="101"/>
      <c r="H53" s="101"/>
      <c r="I53" s="87">
        <v>114937.24</v>
      </c>
      <c r="J53" s="85"/>
      <c r="K53" s="85"/>
      <c r="L53" s="85"/>
      <c r="M53" s="85"/>
      <c r="N53" s="85"/>
    </row>
    <row r="54" spans="1:14" ht="12.75">
      <c r="A54" s="107" t="s">
        <v>597</v>
      </c>
      <c r="B54" s="101"/>
      <c r="C54" s="101"/>
      <c r="D54" s="101"/>
      <c r="E54" s="101"/>
      <c r="F54" s="101"/>
      <c r="G54" s="101"/>
      <c r="H54" s="101"/>
      <c r="I54" s="87">
        <v>63519.52</v>
      </c>
      <c r="J54" s="85"/>
      <c r="K54" s="85"/>
      <c r="L54" s="85"/>
      <c r="M54" s="85"/>
      <c r="N54" s="85"/>
    </row>
    <row r="55" spans="1:14" ht="24">
      <c r="A55" s="108" t="s">
        <v>598</v>
      </c>
      <c r="B55" s="109"/>
      <c r="C55" s="109"/>
      <c r="D55" s="109"/>
      <c r="E55" s="109"/>
      <c r="F55" s="109"/>
      <c r="G55" s="109"/>
      <c r="H55" s="109"/>
      <c r="I55" s="92">
        <v>354715.29</v>
      </c>
      <c r="J55" s="90"/>
      <c r="K55" s="90"/>
      <c r="L55" s="90"/>
      <c r="M55" s="90"/>
      <c r="N55" s="90" t="s">
        <v>575</v>
      </c>
    </row>
    <row r="56" spans="1:14" ht="17.25" customHeight="1">
      <c r="A56" s="111" t="s">
        <v>599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1:14" ht="216">
      <c r="A57" s="83">
        <v>16</v>
      </c>
      <c r="B57" s="84" t="s">
        <v>600</v>
      </c>
      <c r="C57" s="84" t="s">
        <v>601</v>
      </c>
      <c r="D57" s="83">
        <v>4</v>
      </c>
      <c r="E57" s="85" t="s">
        <v>602</v>
      </c>
      <c r="F57" s="85" t="s">
        <v>603</v>
      </c>
      <c r="G57" s="85">
        <v>811.41</v>
      </c>
      <c r="H57" s="86" t="s">
        <v>604</v>
      </c>
      <c r="I57" s="87">
        <v>21354.22</v>
      </c>
      <c r="J57" s="85">
        <v>3774.02</v>
      </c>
      <c r="K57" s="85" t="s">
        <v>605</v>
      </c>
      <c r="L57" s="85" t="str">
        <f>IF(4*811.41=0," ",TEXT(,ROUND((4*811.41*4.68),2)))</f>
        <v>15189.6</v>
      </c>
      <c r="M57" s="85" t="s">
        <v>606</v>
      </c>
      <c r="N57" s="85" t="s">
        <v>607</v>
      </c>
    </row>
    <row r="58" spans="1:14" ht="216">
      <c r="A58" s="83">
        <v>17</v>
      </c>
      <c r="B58" s="84" t="s">
        <v>600</v>
      </c>
      <c r="C58" s="84" t="s">
        <v>601</v>
      </c>
      <c r="D58" s="83">
        <v>1.8</v>
      </c>
      <c r="E58" s="85" t="s">
        <v>602</v>
      </c>
      <c r="F58" s="85" t="s">
        <v>603</v>
      </c>
      <c r="G58" s="85">
        <v>811.41</v>
      </c>
      <c r="H58" s="86" t="s">
        <v>604</v>
      </c>
      <c r="I58" s="87">
        <v>9609.44</v>
      </c>
      <c r="J58" s="85">
        <v>1698.44</v>
      </c>
      <c r="K58" s="85" t="s">
        <v>608</v>
      </c>
      <c r="L58" s="85" t="str">
        <f>IF(1.8*811.41=0," ",TEXT(,ROUND((1.8*811.41*4.68),2)))</f>
        <v>6835.32</v>
      </c>
      <c r="M58" s="85" t="s">
        <v>606</v>
      </c>
      <c r="N58" s="85" t="s">
        <v>609</v>
      </c>
    </row>
    <row r="59" spans="1:14" ht="216">
      <c r="A59" s="83">
        <v>18</v>
      </c>
      <c r="B59" s="84" t="s">
        <v>610</v>
      </c>
      <c r="C59" s="84" t="s">
        <v>611</v>
      </c>
      <c r="D59" s="83">
        <v>0.6253</v>
      </c>
      <c r="E59" s="85" t="s">
        <v>612</v>
      </c>
      <c r="F59" s="85" t="s">
        <v>613</v>
      </c>
      <c r="G59" s="85">
        <v>8101.47</v>
      </c>
      <c r="H59" s="86" t="s">
        <v>614</v>
      </c>
      <c r="I59" s="87">
        <v>87428.66</v>
      </c>
      <c r="J59" s="85">
        <v>48287.03</v>
      </c>
      <c r="K59" s="85" t="s">
        <v>615</v>
      </c>
      <c r="L59" s="85" t="str">
        <f>IF(0.6253*8101.47=0," ",TEXT(,ROUND((0.6253*8101.47*7.57),2)))</f>
        <v>38348.48</v>
      </c>
      <c r="M59" s="85" t="s">
        <v>616</v>
      </c>
      <c r="N59" s="85" t="s">
        <v>617</v>
      </c>
    </row>
    <row r="60" spans="1:14" ht="240">
      <c r="A60" s="83">
        <v>19</v>
      </c>
      <c r="B60" s="84" t="s">
        <v>618</v>
      </c>
      <c r="C60" s="84" t="s">
        <v>619</v>
      </c>
      <c r="D60" s="83">
        <v>0.713</v>
      </c>
      <c r="E60" s="85" t="s">
        <v>620</v>
      </c>
      <c r="F60" s="85">
        <v>60.22</v>
      </c>
      <c r="G60" s="85">
        <v>5027.14</v>
      </c>
      <c r="H60" s="86" t="s">
        <v>621</v>
      </c>
      <c r="I60" s="87">
        <v>79442.37</v>
      </c>
      <c r="J60" s="85">
        <v>58360.79</v>
      </c>
      <c r="K60" s="85">
        <v>471.62</v>
      </c>
      <c r="L60" s="85" t="str">
        <f>IF(0.713*5027.14=0," ",TEXT(,ROUND((0.713*5027.14*5.75),2)))</f>
        <v>20610.02</v>
      </c>
      <c r="M60" s="85">
        <v>351</v>
      </c>
      <c r="N60" s="85">
        <v>250.26</v>
      </c>
    </row>
    <row r="61" spans="1:14" ht="228">
      <c r="A61" s="83">
        <v>20</v>
      </c>
      <c r="B61" s="84" t="s">
        <v>622</v>
      </c>
      <c r="C61" s="84" t="s">
        <v>623</v>
      </c>
      <c r="D61" s="83">
        <v>1.1034</v>
      </c>
      <c r="E61" s="85" t="s">
        <v>624</v>
      </c>
      <c r="F61" s="85" t="s">
        <v>625</v>
      </c>
      <c r="G61" s="85">
        <v>8890.58</v>
      </c>
      <c r="H61" s="86" t="s">
        <v>626</v>
      </c>
      <c r="I61" s="87">
        <v>56502.52</v>
      </c>
      <c r="J61" s="85">
        <v>22314.86</v>
      </c>
      <c r="K61" s="85" t="s">
        <v>627</v>
      </c>
      <c r="L61" s="85" t="str">
        <f>IF(1.1034*8890.58=0," ",TEXT(,ROUND((1.1034*8890.58*3.44),2)))</f>
        <v>33745.94</v>
      </c>
      <c r="M61" s="85" t="s">
        <v>628</v>
      </c>
      <c r="N61" s="85" t="s">
        <v>629</v>
      </c>
    </row>
    <row r="62" spans="1:14" ht="228">
      <c r="A62" s="83">
        <v>21</v>
      </c>
      <c r="B62" s="84" t="s">
        <v>622</v>
      </c>
      <c r="C62" s="84" t="s">
        <v>623</v>
      </c>
      <c r="D62" s="83">
        <v>0.14</v>
      </c>
      <c r="E62" s="85" t="s">
        <v>624</v>
      </c>
      <c r="F62" s="85" t="s">
        <v>625</v>
      </c>
      <c r="G62" s="85">
        <v>8890.58</v>
      </c>
      <c r="H62" s="86" t="s">
        <v>626</v>
      </c>
      <c r="I62" s="87">
        <v>7169.15</v>
      </c>
      <c r="J62" s="85">
        <v>2831.47</v>
      </c>
      <c r="K62" s="85" t="s">
        <v>630</v>
      </c>
      <c r="L62" s="85" t="str">
        <f>IF(0.14*8890.58=0," ",TEXT(,ROUND((0.14*8890.58*3.44),2)))</f>
        <v>4281.7</v>
      </c>
      <c r="M62" s="85" t="s">
        <v>628</v>
      </c>
      <c r="N62" s="85" t="s">
        <v>631</v>
      </c>
    </row>
    <row r="63" spans="1:14" ht="216">
      <c r="A63" s="83">
        <v>22</v>
      </c>
      <c r="B63" s="84" t="s">
        <v>632</v>
      </c>
      <c r="C63" s="84" t="s">
        <v>633</v>
      </c>
      <c r="D63" s="83">
        <v>7.78</v>
      </c>
      <c r="E63" s="85" t="s">
        <v>634</v>
      </c>
      <c r="F63" s="85" t="s">
        <v>635</v>
      </c>
      <c r="G63" s="85">
        <v>831.97</v>
      </c>
      <c r="H63" s="86" t="s">
        <v>636</v>
      </c>
      <c r="I63" s="87">
        <v>94803.68</v>
      </c>
      <c r="J63" s="85">
        <v>38474.5</v>
      </c>
      <c r="K63" s="85" t="s">
        <v>637</v>
      </c>
      <c r="L63" s="85" t="str">
        <f>IF(7.78*831.97=0," ",TEXT(,ROUND((7.78*831.97*5.78),2)))</f>
        <v>37412.36</v>
      </c>
      <c r="M63" s="85" t="s">
        <v>638</v>
      </c>
      <c r="N63" s="85" t="s">
        <v>639</v>
      </c>
    </row>
    <row r="64" spans="1:14" ht="288">
      <c r="A64" s="83">
        <v>23</v>
      </c>
      <c r="B64" s="84" t="s">
        <v>640</v>
      </c>
      <c r="C64" s="84" t="s">
        <v>641</v>
      </c>
      <c r="D64" s="83">
        <v>7.78</v>
      </c>
      <c r="E64" s="85" t="s">
        <v>642</v>
      </c>
      <c r="F64" s="85" t="s">
        <v>643</v>
      </c>
      <c r="G64" s="85">
        <v>1855.7</v>
      </c>
      <c r="H64" s="86" t="s">
        <v>636</v>
      </c>
      <c r="I64" s="87">
        <v>142165.24</v>
      </c>
      <c r="J64" s="85">
        <v>49471.42</v>
      </c>
      <c r="K64" s="85" t="s">
        <v>644</v>
      </c>
      <c r="L64" s="85" t="str">
        <f>IF(7.78*1855.7=0," ",TEXT(,ROUND((7.78*1855.7*5.78),2)))</f>
        <v>83447.86</v>
      </c>
      <c r="M64" s="85" t="s">
        <v>645</v>
      </c>
      <c r="N64" s="85" t="s">
        <v>646</v>
      </c>
    </row>
    <row r="65" spans="1:14" ht="204">
      <c r="A65" s="83">
        <v>24</v>
      </c>
      <c r="B65" s="84" t="s">
        <v>647</v>
      </c>
      <c r="C65" s="84" t="s">
        <v>648</v>
      </c>
      <c r="D65" s="83">
        <v>2.26</v>
      </c>
      <c r="E65" s="85" t="s">
        <v>649</v>
      </c>
      <c r="F65" s="85" t="s">
        <v>650</v>
      </c>
      <c r="G65" s="85">
        <v>5935.6</v>
      </c>
      <c r="H65" s="86" t="s">
        <v>651</v>
      </c>
      <c r="I65" s="87">
        <v>58613.79</v>
      </c>
      <c r="J65" s="85">
        <v>5322.21</v>
      </c>
      <c r="K65" s="85" t="s">
        <v>652</v>
      </c>
      <c r="L65" s="85" t="str">
        <f>IF(2.26*5935.6=0," ",TEXT(,ROUND((2.26*5935.6*3.87),2)))</f>
        <v>51913.94</v>
      </c>
      <c r="M65" s="85" t="s">
        <v>653</v>
      </c>
      <c r="N65" s="85" t="s">
        <v>654</v>
      </c>
    </row>
    <row r="66" spans="1:14" ht="216">
      <c r="A66" s="83">
        <v>25</v>
      </c>
      <c r="B66" s="84" t="s">
        <v>655</v>
      </c>
      <c r="C66" s="84" t="s">
        <v>656</v>
      </c>
      <c r="D66" s="83">
        <v>7.2</v>
      </c>
      <c r="E66" s="85" t="s">
        <v>657</v>
      </c>
      <c r="F66" s="85">
        <v>8.72</v>
      </c>
      <c r="G66" s="85">
        <v>25.17</v>
      </c>
      <c r="H66" s="86" t="s">
        <v>658</v>
      </c>
      <c r="I66" s="87">
        <v>45532.3</v>
      </c>
      <c r="J66" s="85">
        <v>43403.5</v>
      </c>
      <c r="K66" s="85">
        <v>1045.1</v>
      </c>
      <c r="L66" s="85" t="str">
        <f>IF(7.2*25.17=0," ",TEXT(,ROUND((7.2*25.17*5.98),2)))</f>
        <v>1083.72</v>
      </c>
      <c r="M66" s="85">
        <v>29.8</v>
      </c>
      <c r="N66" s="85">
        <v>214.56</v>
      </c>
    </row>
    <row r="67" spans="1:14" ht="216">
      <c r="A67" s="83">
        <v>26</v>
      </c>
      <c r="B67" s="84" t="s">
        <v>632</v>
      </c>
      <c r="C67" s="84" t="s">
        <v>633</v>
      </c>
      <c r="D67" s="83">
        <v>7.78</v>
      </c>
      <c r="E67" s="85" t="s">
        <v>634</v>
      </c>
      <c r="F67" s="85" t="s">
        <v>635</v>
      </c>
      <c r="G67" s="85">
        <v>831.97</v>
      </c>
      <c r="H67" s="86" t="s">
        <v>636</v>
      </c>
      <c r="I67" s="87">
        <v>94803.68</v>
      </c>
      <c r="J67" s="85">
        <v>38474.5</v>
      </c>
      <c r="K67" s="85" t="s">
        <v>637</v>
      </c>
      <c r="L67" s="85" t="str">
        <f>IF(7.78*831.97=0," ",TEXT(,ROUND((7.78*831.97*5.78),2)))</f>
        <v>37412.36</v>
      </c>
      <c r="M67" s="85" t="s">
        <v>638</v>
      </c>
      <c r="N67" s="85" t="s">
        <v>639</v>
      </c>
    </row>
    <row r="68" spans="1:14" ht="288">
      <c r="A68" s="83">
        <v>27</v>
      </c>
      <c r="B68" s="84" t="s">
        <v>659</v>
      </c>
      <c r="C68" s="84" t="s">
        <v>660</v>
      </c>
      <c r="D68" s="83">
        <v>7.78</v>
      </c>
      <c r="E68" s="85" t="s">
        <v>661</v>
      </c>
      <c r="F68" s="85" t="s">
        <v>662</v>
      </c>
      <c r="G68" s="85">
        <v>265.1</v>
      </c>
      <c r="H68" s="86" t="s">
        <v>636</v>
      </c>
      <c r="I68" s="87">
        <v>20309.49</v>
      </c>
      <c r="J68" s="85">
        <v>7067.55</v>
      </c>
      <c r="K68" s="85" t="s">
        <v>663</v>
      </c>
      <c r="L68" s="85" t="str">
        <f>IF(7.78*265.1=0," ",TEXT(,ROUND((7.78*265.1*5.78),2)))</f>
        <v>11921.12</v>
      </c>
      <c r="M68" s="85" t="s">
        <v>664</v>
      </c>
      <c r="N68" s="85" t="s">
        <v>665</v>
      </c>
    </row>
    <row r="69" spans="1:14" ht="144">
      <c r="A69" s="83">
        <v>28</v>
      </c>
      <c r="B69" s="84" t="s">
        <v>666</v>
      </c>
      <c r="C69" s="84" t="s">
        <v>667</v>
      </c>
      <c r="D69" s="83">
        <v>7.78</v>
      </c>
      <c r="E69" s="85" t="s">
        <v>668</v>
      </c>
      <c r="F69" s="85">
        <v>5.23</v>
      </c>
      <c r="G69" s="85">
        <v>883.33</v>
      </c>
      <c r="H69" s="86" t="s">
        <v>669</v>
      </c>
      <c r="I69" s="87">
        <v>41503.36</v>
      </c>
      <c r="J69" s="85">
        <v>5156.85</v>
      </c>
      <c r="K69" s="85">
        <v>541.83</v>
      </c>
      <c r="L69" s="85" t="str">
        <f>IF(7.78*883.33=0," ",TEXT(,ROUND((7.78*883.33*5.21),2)))</f>
        <v>35804.72</v>
      </c>
      <c r="M69" s="85">
        <v>4.52</v>
      </c>
      <c r="N69" s="85">
        <v>35.17</v>
      </c>
    </row>
    <row r="70" spans="1:14" ht="60">
      <c r="A70" s="83">
        <v>29</v>
      </c>
      <c r="B70" s="84" t="s">
        <v>670</v>
      </c>
      <c r="C70" s="84" t="s">
        <v>671</v>
      </c>
      <c r="D70" s="83">
        <v>-894.7</v>
      </c>
      <c r="E70" s="85">
        <v>7.46</v>
      </c>
      <c r="F70" s="85"/>
      <c r="G70" s="85">
        <v>7.46</v>
      </c>
      <c r="H70" s="86" t="s">
        <v>672</v>
      </c>
      <c r="I70" s="87">
        <v>-34940.8</v>
      </c>
      <c r="J70" s="85"/>
      <c r="K70" s="85"/>
      <c r="L70" s="85" t="str">
        <f>IF(-894.7*7.46=0," ",TEXT(,ROUND((-894.7*7.46*5.235),2)))</f>
        <v>-34940.81</v>
      </c>
      <c r="M70" s="85"/>
      <c r="N70" s="85"/>
    </row>
    <row r="71" spans="1:14" ht="12.75">
      <c r="A71" s="83">
        <v>30</v>
      </c>
      <c r="B71" s="84" t="s">
        <v>673</v>
      </c>
      <c r="C71" s="84" t="s">
        <v>674</v>
      </c>
      <c r="D71" s="83">
        <v>89.47</v>
      </c>
      <c r="E71" s="85">
        <v>39.2</v>
      </c>
      <c r="F71" s="85"/>
      <c r="G71" s="85">
        <v>39.2</v>
      </c>
      <c r="H71" s="86" t="s">
        <v>675</v>
      </c>
      <c r="I71" s="87">
        <v>18234.04</v>
      </c>
      <c r="J71" s="85"/>
      <c r="K71" s="85"/>
      <c r="L71" s="85" t="str">
        <f>IF(89.47*39.2=0," ",TEXT(,ROUND((89.47*39.2*5.199),2)))</f>
        <v>18234.06</v>
      </c>
      <c r="M71" s="85"/>
      <c r="N71" s="85"/>
    </row>
    <row r="72" spans="1:14" ht="216">
      <c r="A72" s="83">
        <v>31</v>
      </c>
      <c r="B72" s="84" t="s">
        <v>676</v>
      </c>
      <c r="C72" s="84" t="s">
        <v>0</v>
      </c>
      <c r="D72" s="83">
        <v>15.56</v>
      </c>
      <c r="E72" s="85" t="s">
        <v>1</v>
      </c>
      <c r="F72" s="85" t="s">
        <v>2</v>
      </c>
      <c r="G72" s="85">
        <v>1031.99</v>
      </c>
      <c r="H72" s="86" t="s">
        <v>3</v>
      </c>
      <c r="I72" s="87">
        <v>216077.84</v>
      </c>
      <c r="J72" s="85">
        <v>30055.77</v>
      </c>
      <c r="K72" s="85" t="s">
        <v>4</v>
      </c>
      <c r="L72" s="85" t="str">
        <f>IF(15.56*1031.99=0," ",TEXT(,ROUND((15.56*1031.99*11.25),2)))</f>
        <v>180649.85</v>
      </c>
      <c r="M72" s="85" t="s">
        <v>5</v>
      </c>
      <c r="N72" s="85" t="s">
        <v>6</v>
      </c>
    </row>
    <row r="73" spans="1:14" ht="60">
      <c r="A73" s="83">
        <v>32</v>
      </c>
      <c r="B73" s="84" t="s">
        <v>7</v>
      </c>
      <c r="C73" s="84" t="s">
        <v>8</v>
      </c>
      <c r="D73" s="83">
        <v>-0.389</v>
      </c>
      <c r="E73" s="85">
        <v>1530</v>
      </c>
      <c r="F73" s="85"/>
      <c r="G73" s="85">
        <v>1530</v>
      </c>
      <c r="H73" s="86" t="s">
        <v>9</v>
      </c>
      <c r="I73" s="87">
        <v>-7899.69</v>
      </c>
      <c r="J73" s="85"/>
      <c r="K73" s="85"/>
      <c r="L73" s="85" t="str">
        <f>IF(-0.389*1530=0," ",TEXT(,ROUND((-0.389*1530*13.273),2)))</f>
        <v>-7899.69</v>
      </c>
      <c r="M73" s="85"/>
      <c r="N73" s="85"/>
    </row>
    <row r="74" spans="1:14" ht="48">
      <c r="A74" s="83">
        <v>33</v>
      </c>
      <c r="B74" s="84" t="s">
        <v>10</v>
      </c>
      <c r="C74" s="84" t="s">
        <v>11</v>
      </c>
      <c r="D74" s="83">
        <v>-0.9336</v>
      </c>
      <c r="E74" s="85">
        <v>2606.9</v>
      </c>
      <c r="F74" s="85"/>
      <c r="G74" s="85">
        <v>2606.9</v>
      </c>
      <c r="H74" s="86" t="s">
        <v>12</v>
      </c>
      <c r="I74" s="87">
        <v>-54587.7</v>
      </c>
      <c r="J74" s="85"/>
      <c r="K74" s="85"/>
      <c r="L74" s="85" t="str">
        <f>IF(-0.9336*2606.9=0," ",TEXT(,ROUND((-0.9336*2606.9*22.429),2)))</f>
        <v>-54587.74</v>
      </c>
      <c r="M74" s="85"/>
      <c r="N74" s="85"/>
    </row>
    <row r="75" spans="1:14" ht="48">
      <c r="A75" s="83">
        <v>34</v>
      </c>
      <c r="B75" s="84" t="s">
        <v>13</v>
      </c>
      <c r="C75" s="84" t="s">
        <v>14</v>
      </c>
      <c r="D75" s="83">
        <v>-3.843</v>
      </c>
      <c r="E75" s="85">
        <v>3390</v>
      </c>
      <c r="F75" s="85"/>
      <c r="G75" s="85">
        <v>3390</v>
      </c>
      <c r="H75" s="86" t="s">
        <v>15</v>
      </c>
      <c r="I75" s="87">
        <v>-132414.25</v>
      </c>
      <c r="J75" s="85"/>
      <c r="K75" s="85"/>
      <c r="L75" s="85" t="str">
        <f>IF(-3.843*3390=0," ",TEXT(,ROUND((-3.843*3390*10.164),2)))</f>
        <v>-132414.25</v>
      </c>
      <c r="M75" s="85"/>
      <c r="N75" s="85"/>
    </row>
    <row r="76" spans="1:14" ht="48">
      <c r="A76" s="83">
        <v>35</v>
      </c>
      <c r="B76" s="84" t="s">
        <v>16</v>
      </c>
      <c r="C76" s="84" t="s">
        <v>17</v>
      </c>
      <c r="D76" s="83">
        <v>545</v>
      </c>
      <c r="E76" s="85">
        <v>8.44</v>
      </c>
      <c r="F76" s="85"/>
      <c r="G76" s="85">
        <v>8.44</v>
      </c>
      <c r="H76" s="86" t="s">
        <v>18</v>
      </c>
      <c r="I76" s="87">
        <v>25248.3</v>
      </c>
      <c r="J76" s="85"/>
      <c r="K76" s="85"/>
      <c r="L76" s="85" t="str">
        <f>IF(545*8.44=0," ",TEXT(,ROUND((545*8.44*5.489),2)))</f>
        <v>25248.3</v>
      </c>
      <c r="M76" s="85"/>
      <c r="N76" s="85"/>
    </row>
    <row r="77" spans="1:14" ht="213" customHeight="1">
      <c r="A77" s="83">
        <v>36</v>
      </c>
      <c r="B77" s="84" t="s">
        <v>676</v>
      </c>
      <c r="C77" s="84" t="s">
        <v>19</v>
      </c>
      <c r="D77" s="83">
        <v>1.61</v>
      </c>
      <c r="E77" s="85" t="s">
        <v>1</v>
      </c>
      <c r="F77" s="85" t="s">
        <v>2</v>
      </c>
      <c r="G77" s="85">
        <v>1031.99</v>
      </c>
      <c r="H77" s="86" t="s">
        <v>3</v>
      </c>
      <c r="I77" s="87">
        <v>22357.55</v>
      </c>
      <c r="J77" s="85">
        <v>3109.72</v>
      </c>
      <c r="K77" s="85" t="s">
        <v>20</v>
      </c>
      <c r="L77" s="85" t="str">
        <f>IF(1.61*1031.99=0," ",TEXT(,ROUND((1.61*1031.99*11.25),2)))</f>
        <v>18691.92</v>
      </c>
      <c r="M77" s="85" t="s">
        <v>5</v>
      </c>
      <c r="N77" s="85" t="s">
        <v>21</v>
      </c>
    </row>
    <row r="78" spans="1:14" ht="60">
      <c r="A78" s="83">
        <v>37</v>
      </c>
      <c r="B78" s="84" t="s">
        <v>7</v>
      </c>
      <c r="C78" s="84" t="s">
        <v>8</v>
      </c>
      <c r="D78" s="83">
        <v>-0.04025</v>
      </c>
      <c r="E78" s="85">
        <v>1530</v>
      </c>
      <c r="F78" s="85"/>
      <c r="G78" s="85">
        <v>1530</v>
      </c>
      <c r="H78" s="86" t="s">
        <v>9</v>
      </c>
      <c r="I78" s="87">
        <v>-817.35</v>
      </c>
      <c r="J78" s="85"/>
      <c r="K78" s="85"/>
      <c r="L78" s="85" t="str">
        <f>IF(-0.04025*1530=0," ",TEXT(,ROUND((-0.04025*1530*13.273),2)))</f>
        <v>-817.38</v>
      </c>
      <c r="M78" s="85"/>
      <c r="N78" s="85"/>
    </row>
    <row r="79" spans="1:14" ht="48">
      <c r="A79" s="83">
        <v>38</v>
      </c>
      <c r="B79" s="84" t="s">
        <v>10</v>
      </c>
      <c r="C79" s="84" t="s">
        <v>11</v>
      </c>
      <c r="D79" s="83">
        <v>-0.0966</v>
      </c>
      <c r="E79" s="85">
        <v>2606.9</v>
      </c>
      <c r="F79" s="85"/>
      <c r="G79" s="85">
        <v>2606.9</v>
      </c>
      <c r="H79" s="86" t="s">
        <v>12</v>
      </c>
      <c r="I79" s="87">
        <v>-5648.3</v>
      </c>
      <c r="J79" s="85"/>
      <c r="K79" s="85"/>
      <c r="L79" s="85" t="str">
        <f>IF(-0.0966*2606.9=0," ",TEXT(,ROUND((-0.0966*2606.9*22.429),2)))</f>
        <v>-5648.22</v>
      </c>
      <c r="M79" s="85"/>
      <c r="N79" s="85"/>
    </row>
    <row r="80" spans="1:14" ht="48">
      <c r="A80" s="83">
        <v>39</v>
      </c>
      <c r="B80" s="84" t="s">
        <v>13</v>
      </c>
      <c r="C80" s="84" t="s">
        <v>14</v>
      </c>
      <c r="D80" s="83">
        <v>-0.3977</v>
      </c>
      <c r="E80" s="85">
        <v>3390</v>
      </c>
      <c r="F80" s="85"/>
      <c r="G80" s="85">
        <v>3390</v>
      </c>
      <c r="H80" s="86" t="s">
        <v>15</v>
      </c>
      <c r="I80" s="87">
        <v>-13703.1</v>
      </c>
      <c r="J80" s="85"/>
      <c r="K80" s="85"/>
      <c r="L80" s="85" t="str">
        <f>IF(-0.3977*3390=0," ",TEXT(,ROUND((-0.3977*3390*10.164),2)))</f>
        <v>-13703.14</v>
      </c>
      <c r="M80" s="85"/>
      <c r="N80" s="85"/>
    </row>
    <row r="81" spans="1:14" ht="33.75">
      <c r="A81" s="83">
        <v>40</v>
      </c>
      <c r="B81" s="84" t="s">
        <v>22</v>
      </c>
      <c r="C81" s="84" t="s">
        <v>23</v>
      </c>
      <c r="D81" s="83">
        <v>241.5</v>
      </c>
      <c r="E81" s="85">
        <v>14.29</v>
      </c>
      <c r="F81" s="85"/>
      <c r="G81" s="85">
        <v>14.29</v>
      </c>
      <c r="H81" s="86" t="s">
        <v>24</v>
      </c>
      <c r="I81" s="87">
        <v>19429.36</v>
      </c>
      <c r="J81" s="85"/>
      <c r="K81" s="85"/>
      <c r="L81" s="85" t="str">
        <f>IF(241.5*14.29=0," ",TEXT(,ROUND((241.5*14.29*5.63),2)))</f>
        <v>19429.33</v>
      </c>
      <c r="M81" s="85"/>
      <c r="N81" s="85"/>
    </row>
    <row r="82" spans="1:14" ht="204">
      <c r="A82" s="83">
        <v>41</v>
      </c>
      <c r="B82" s="84" t="s">
        <v>25</v>
      </c>
      <c r="C82" s="84" t="s">
        <v>26</v>
      </c>
      <c r="D82" s="83">
        <v>93.4</v>
      </c>
      <c r="E82" s="85" t="s">
        <v>27</v>
      </c>
      <c r="F82" s="85" t="s">
        <v>28</v>
      </c>
      <c r="G82" s="85">
        <v>171.7</v>
      </c>
      <c r="H82" s="86" t="s">
        <v>546</v>
      </c>
      <c r="I82" s="87">
        <v>262198.79</v>
      </c>
      <c r="J82" s="85">
        <v>46566.17</v>
      </c>
      <c r="K82" s="85" t="s">
        <v>29</v>
      </c>
      <c r="L82" s="85" t="str">
        <f>IF(93.4*171.7=0," ",TEXT(,ROUND((93.4*171.7*11.14),2)))</f>
        <v>178649.73</v>
      </c>
      <c r="M82" s="85" t="s">
        <v>30</v>
      </c>
      <c r="N82" s="85" t="s">
        <v>31</v>
      </c>
    </row>
    <row r="83" spans="1:14" ht="228">
      <c r="A83" s="83">
        <v>42</v>
      </c>
      <c r="B83" s="84" t="s">
        <v>32</v>
      </c>
      <c r="C83" s="84" t="s">
        <v>33</v>
      </c>
      <c r="D83" s="83">
        <v>20.28</v>
      </c>
      <c r="E83" s="85" t="s">
        <v>34</v>
      </c>
      <c r="F83" s="85">
        <v>57.3</v>
      </c>
      <c r="G83" s="85">
        <v>1567.13</v>
      </c>
      <c r="H83" s="86" t="s">
        <v>35</v>
      </c>
      <c r="I83" s="87">
        <v>707710.79</v>
      </c>
      <c r="J83" s="85">
        <v>41915.1</v>
      </c>
      <c r="K83" s="85">
        <v>18090.76</v>
      </c>
      <c r="L83" s="85" t="str">
        <f>IF(20.28*1567.13=0," ",TEXT(,ROUND((20.28*1567.13*20.38),2)))</f>
        <v>647704.86</v>
      </c>
      <c r="M83" s="85">
        <v>10.58</v>
      </c>
      <c r="N83" s="85">
        <v>214.56</v>
      </c>
    </row>
    <row r="84" spans="1:14" ht="33.75">
      <c r="A84" s="83">
        <v>43</v>
      </c>
      <c r="B84" s="84" t="s">
        <v>36</v>
      </c>
      <c r="C84" s="84" t="s">
        <v>37</v>
      </c>
      <c r="D84" s="83">
        <v>-20.69</v>
      </c>
      <c r="E84" s="85">
        <v>1536.4</v>
      </c>
      <c r="F84" s="85"/>
      <c r="G84" s="85">
        <v>1536.4</v>
      </c>
      <c r="H84" s="86" t="s">
        <v>38</v>
      </c>
      <c r="I84" s="87">
        <v>-647937.25</v>
      </c>
      <c r="J84" s="85"/>
      <c r="K84" s="85"/>
      <c r="L84" s="85" t="str">
        <f>IF(-20.69*1536.4=0," ",TEXT(,ROUND((-20.69*1536.4*20.383),2)))</f>
        <v>-647937.17</v>
      </c>
      <c r="M84" s="85"/>
      <c r="N84" s="85"/>
    </row>
    <row r="85" spans="1:14" ht="33.75">
      <c r="A85" s="83">
        <v>44</v>
      </c>
      <c r="B85" s="84" t="s">
        <v>22</v>
      </c>
      <c r="C85" s="84" t="s">
        <v>39</v>
      </c>
      <c r="D85" s="83">
        <v>20.69</v>
      </c>
      <c r="E85" s="85">
        <v>781.38</v>
      </c>
      <c r="F85" s="85"/>
      <c r="G85" s="85">
        <v>781.38</v>
      </c>
      <c r="H85" s="86" t="s">
        <v>24</v>
      </c>
      <c r="I85" s="87">
        <v>91018.8</v>
      </c>
      <c r="J85" s="85"/>
      <c r="K85" s="85"/>
      <c r="L85" s="85" t="str">
        <f>IF(20.69*781.38=0," ",TEXT(,ROUND((20.69*781.38*5.63),2)))</f>
        <v>91018.81</v>
      </c>
      <c r="M85" s="85"/>
      <c r="N85" s="85"/>
    </row>
    <row r="86" spans="1:14" ht="216">
      <c r="A86" s="83">
        <v>45</v>
      </c>
      <c r="B86" s="84" t="s">
        <v>40</v>
      </c>
      <c r="C86" s="84" t="s">
        <v>41</v>
      </c>
      <c r="D86" s="83">
        <v>7.78</v>
      </c>
      <c r="E86" s="85" t="s">
        <v>42</v>
      </c>
      <c r="F86" s="85" t="s">
        <v>43</v>
      </c>
      <c r="G86" s="85">
        <v>9791.85</v>
      </c>
      <c r="H86" s="86" t="s">
        <v>44</v>
      </c>
      <c r="I86" s="87">
        <v>311022.09</v>
      </c>
      <c r="J86" s="85">
        <v>22082.08</v>
      </c>
      <c r="K86" s="85" t="s">
        <v>45</v>
      </c>
      <c r="L86" s="85" t="str">
        <f>IF(7.78*9791.85=0," ",TEXT(,ROUND((7.78*9791.85*3.73),2)))</f>
        <v>284153.61</v>
      </c>
      <c r="M86" s="85" t="s">
        <v>46</v>
      </c>
      <c r="N86" s="85" t="s">
        <v>47</v>
      </c>
    </row>
    <row r="87" spans="1:14" ht="24">
      <c r="A87" s="83">
        <v>46</v>
      </c>
      <c r="B87" s="84" t="s">
        <v>48</v>
      </c>
      <c r="C87" s="84" t="s">
        <v>49</v>
      </c>
      <c r="D87" s="83">
        <v>-886.9</v>
      </c>
      <c r="E87" s="85">
        <v>45.2</v>
      </c>
      <c r="F87" s="85"/>
      <c r="G87" s="85">
        <v>45.2</v>
      </c>
      <c r="H87" s="86" t="s">
        <v>50</v>
      </c>
      <c r="I87" s="87">
        <v>-145719.44</v>
      </c>
      <c r="J87" s="85"/>
      <c r="K87" s="85"/>
      <c r="L87" s="85" t="str">
        <f>IF(-886.9*45.2=0," ",TEXT(,ROUND((-886.9*45.2*3.635),2)))</f>
        <v>-145719.44</v>
      </c>
      <c r="M87" s="85"/>
      <c r="N87" s="85"/>
    </row>
    <row r="88" spans="1:14" ht="24">
      <c r="A88" s="83">
        <v>47</v>
      </c>
      <c r="B88" s="84" t="s">
        <v>51</v>
      </c>
      <c r="C88" s="84" t="s">
        <v>52</v>
      </c>
      <c r="D88" s="83">
        <v>-902.5</v>
      </c>
      <c r="E88" s="85">
        <v>38.42</v>
      </c>
      <c r="F88" s="85"/>
      <c r="G88" s="85">
        <v>38.42</v>
      </c>
      <c r="H88" s="86" t="s">
        <v>53</v>
      </c>
      <c r="I88" s="87">
        <v>-129230.18</v>
      </c>
      <c r="J88" s="85"/>
      <c r="K88" s="85"/>
      <c r="L88" s="85" t="str">
        <f>IF(-902.5*38.42=0," ",TEXT(,ROUND((-902.5*38.42*3.727),2)))</f>
        <v>-129230.18</v>
      </c>
      <c r="M88" s="85"/>
      <c r="N88" s="85"/>
    </row>
    <row r="89" spans="1:14" ht="24">
      <c r="A89" s="83">
        <v>48</v>
      </c>
      <c r="B89" s="84" t="s">
        <v>54</v>
      </c>
      <c r="C89" s="84" t="s">
        <v>55</v>
      </c>
      <c r="D89" s="83">
        <v>902.5</v>
      </c>
      <c r="E89" s="85">
        <v>24.94</v>
      </c>
      <c r="F89" s="85"/>
      <c r="G89" s="85">
        <v>24.94</v>
      </c>
      <c r="H89" s="86" t="s">
        <v>56</v>
      </c>
      <c r="I89" s="87">
        <v>145786.58</v>
      </c>
      <c r="J89" s="85"/>
      <c r="K89" s="85"/>
      <c r="L89" s="85" t="str">
        <f>IF(902.5*24.94=0," ",TEXT(,ROUND((902.5*24.94*6.477),2)))</f>
        <v>145786.58</v>
      </c>
      <c r="M89" s="85"/>
      <c r="N89" s="85"/>
    </row>
    <row r="90" spans="1:14" ht="24">
      <c r="A90" s="83">
        <v>49</v>
      </c>
      <c r="B90" s="84" t="s">
        <v>57</v>
      </c>
      <c r="C90" s="84" t="s">
        <v>58</v>
      </c>
      <c r="D90" s="83">
        <v>886.9</v>
      </c>
      <c r="E90" s="85">
        <v>29.17</v>
      </c>
      <c r="F90" s="85"/>
      <c r="G90" s="85">
        <v>29.17</v>
      </c>
      <c r="H90" s="86" t="s">
        <v>59</v>
      </c>
      <c r="I90" s="87">
        <v>162443.19</v>
      </c>
      <c r="J90" s="85"/>
      <c r="K90" s="85"/>
      <c r="L90" s="85" t="str">
        <f>IF(886.9*29.17=0," ",TEXT(,ROUND((886.9*29.17*6.279),2)))</f>
        <v>162443.21</v>
      </c>
      <c r="M90" s="85"/>
      <c r="N90" s="85"/>
    </row>
    <row r="91" spans="1:14" ht="228">
      <c r="A91" s="83">
        <v>50</v>
      </c>
      <c r="B91" s="84" t="s">
        <v>60</v>
      </c>
      <c r="C91" s="84" t="s">
        <v>61</v>
      </c>
      <c r="D91" s="83">
        <v>1.587</v>
      </c>
      <c r="E91" s="85" t="s">
        <v>62</v>
      </c>
      <c r="F91" s="85" t="s">
        <v>63</v>
      </c>
      <c r="G91" s="85">
        <v>11853.36</v>
      </c>
      <c r="H91" s="86" t="s">
        <v>64</v>
      </c>
      <c r="I91" s="87">
        <v>83614.64</v>
      </c>
      <c r="J91" s="85">
        <v>10875.44</v>
      </c>
      <c r="K91" s="85" t="s">
        <v>65</v>
      </c>
      <c r="L91" s="85" t="str">
        <f>IF(1.587*11853.36=0," ",TEXT(,ROUND((1.587*11853.36*3.74),2)))</f>
        <v>70354.2</v>
      </c>
      <c r="M91" s="85" t="s">
        <v>66</v>
      </c>
      <c r="N91" s="85" t="s">
        <v>67</v>
      </c>
    </row>
    <row r="92" spans="1:14" ht="216">
      <c r="A92" s="83">
        <v>51</v>
      </c>
      <c r="B92" s="84" t="s">
        <v>68</v>
      </c>
      <c r="C92" s="84" t="s">
        <v>69</v>
      </c>
      <c r="D92" s="83">
        <v>2.56</v>
      </c>
      <c r="E92" s="85" t="s">
        <v>70</v>
      </c>
      <c r="F92" s="85" t="s">
        <v>71</v>
      </c>
      <c r="G92" s="85">
        <v>5334.67</v>
      </c>
      <c r="H92" s="86" t="s">
        <v>44</v>
      </c>
      <c r="I92" s="87">
        <v>56064.27</v>
      </c>
      <c r="J92" s="85">
        <v>4271.06</v>
      </c>
      <c r="K92" s="85" t="s">
        <v>72</v>
      </c>
      <c r="L92" s="85" t="str">
        <f>IF(2.56*5334.67=0," ",TEXT(,ROUND((2.56*5334.67*3.73),2)))</f>
        <v>50939.7</v>
      </c>
      <c r="M92" s="85" t="s">
        <v>73</v>
      </c>
      <c r="N92" s="85" t="s">
        <v>74</v>
      </c>
    </row>
    <row r="93" spans="1:14" ht="24">
      <c r="A93" s="83">
        <v>52</v>
      </c>
      <c r="B93" s="84" t="s">
        <v>48</v>
      </c>
      <c r="C93" s="84" t="s">
        <v>49</v>
      </c>
      <c r="D93" s="83">
        <v>-297</v>
      </c>
      <c r="E93" s="85">
        <v>45.2</v>
      </c>
      <c r="F93" s="85"/>
      <c r="G93" s="85">
        <v>45.2</v>
      </c>
      <c r="H93" s="86" t="s">
        <v>50</v>
      </c>
      <c r="I93" s="87">
        <v>-48797.69</v>
      </c>
      <c r="J93" s="85"/>
      <c r="K93" s="85"/>
      <c r="L93" s="85" t="str">
        <f>IF(-297*45.2=0," ",TEXT(,ROUND((-297*45.2*3.635),2)))</f>
        <v>-48797.69</v>
      </c>
      <c r="M93" s="85"/>
      <c r="N93" s="85"/>
    </row>
    <row r="94" spans="1:14" ht="22.5">
      <c r="A94" s="83">
        <v>53</v>
      </c>
      <c r="B94" s="84" t="s">
        <v>57</v>
      </c>
      <c r="C94" s="84" t="s">
        <v>58</v>
      </c>
      <c r="D94" s="83">
        <v>297</v>
      </c>
      <c r="E94" s="85">
        <v>29.17</v>
      </c>
      <c r="F94" s="85"/>
      <c r="G94" s="85">
        <v>29.17</v>
      </c>
      <c r="H94" s="86" t="s">
        <v>59</v>
      </c>
      <c r="I94" s="87">
        <v>54398.05</v>
      </c>
      <c r="J94" s="85"/>
      <c r="K94" s="85"/>
      <c r="L94" s="85" t="str">
        <f>IF(297*29.17=0," ",TEXT(,ROUND((297*29.17*6.279),2)))</f>
        <v>54398.05</v>
      </c>
      <c r="M94" s="85"/>
      <c r="N94" s="85"/>
    </row>
    <row r="95" spans="1:14" ht="216">
      <c r="A95" s="83">
        <v>54</v>
      </c>
      <c r="B95" s="84" t="s">
        <v>68</v>
      </c>
      <c r="C95" s="84" t="s">
        <v>69</v>
      </c>
      <c r="D95" s="83">
        <v>2.32</v>
      </c>
      <c r="E95" s="85" t="s">
        <v>70</v>
      </c>
      <c r="F95" s="85" t="s">
        <v>71</v>
      </c>
      <c r="G95" s="85">
        <v>5334.67</v>
      </c>
      <c r="H95" s="86" t="s">
        <v>44</v>
      </c>
      <c r="I95" s="87">
        <v>50808.1</v>
      </c>
      <c r="J95" s="85">
        <v>3870.54</v>
      </c>
      <c r="K95" s="85" t="s">
        <v>75</v>
      </c>
      <c r="L95" s="85" t="str">
        <f>IF(2.32*5334.67=0," ",TEXT(,ROUND((2.32*5334.67*3.73),2)))</f>
        <v>46164.1</v>
      </c>
      <c r="M95" s="85" t="s">
        <v>73</v>
      </c>
      <c r="N95" s="85" t="s">
        <v>76</v>
      </c>
    </row>
    <row r="96" spans="1:14" ht="24">
      <c r="A96" s="83">
        <v>55</v>
      </c>
      <c r="B96" s="84" t="s">
        <v>48</v>
      </c>
      <c r="C96" s="84" t="s">
        <v>49</v>
      </c>
      <c r="D96" s="83">
        <v>-269.1</v>
      </c>
      <c r="E96" s="85">
        <v>45.2</v>
      </c>
      <c r="F96" s="85"/>
      <c r="G96" s="85">
        <v>45.2</v>
      </c>
      <c r="H96" s="86" t="s">
        <v>50</v>
      </c>
      <c r="I96" s="87">
        <v>-44213.67</v>
      </c>
      <c r="J96" s="85"/>
      <c r="K96" s="85"/>
      <c r="L96" s="85" t="str">
        <f>IF(-269.1*45.2=0," ",TEXT(,ROUND((-269.1*45.2*3.635),2)))</f>
        <v>-44213.67</v>
      </c>
      <c r="M96" s="85"/>
      <c r="N96" s="85"/>
    </row>
    <row r="97" spans="1:14" ht="22.5">
      <c r="A97" s="83">
        <v>56</v>
      </c>
      <c r="B97" s="84" t="s">
        <v>54</v>
      </c>
      <c r="C97" s="84" t="s">
        <v>55</v>
      </c>
      <c r="D97" s="83">
        <v>269.1</v>
      </c>
      <c r="E97" s="85">
        <v>24.94</v>
      </c>
      <c r="F97" s="85"/>
      <c r="G97" s="85">
        <v>24.94</v>
      </c>
      <c r="H97" s="86" t="s">
        <v>56</v>
      </c>
      <c r="I97" s="87">
        <v>43469.41</v>
      </c>
      <c r="J97" s="85"/>
      <c r="K97" s="85"/>
      <c r="L97" s="85" t="str">
        <f>IF(269.1*24.94=0," ",TEXT(,ROUND((269.1*24.94*6.477),2)))</f>
        <v>43469.44</v>
      </c>
      <c r="M97" s="85"/>
      <c r="N97" s="85"/>
    </row>
    <row r="98" spans="1:14" ht="240">
      <c r="A98" s="83">
        <v>57</v>
      </c>
      <c r="B98" s="84" t="s">
        <v>77</v>
      </c>
      <c r="C98" s="84" t="s">
        <v>78</v>
      </c>
      <c r="D98" s="83">
        <v>0.74</v>
      </c>
      <c r="E98" s="85" t="s">
        <v>79</v>
      </c>
      <c r="F98" s="85" t="s">
        <v>80</v>
      </c>
      <c r="G98" s="85">
        <v>11845.24</v>
      </c>
      <c r="H98" s="86" t="s">
        <v>81</v>
      </c>
      <c r="I98" s="87">
        <v>40373.56</v>
      </c>
      <c r="J98" s="85">
        <v>7457.9</v>
      </c>
      <c r="K98" s="85" t="s">
        <v>82</v>
      </c>
      <c r="L98" s="85" t="str">
        <f>IF(0.74*11845.24=0," ",TEXT(,ROUND((0.74*11845.24*3.63),2)))</f>
        <v>31818.68</v>
      </c>
      <c r="M98" s="85" t="s">
        <v>83</v>
      </c>
      <c r="N98" s="85" t="s">
        <v>84</v>
      </c>
    </row>
    <row r="99" spans="1:14" ht="24">
      <c r="A99" s="83">
        <v>58</v>
      </c>
      <c r="B99" s="84" t="s">
        <v>48</v>
      </c>
      <c r="C99" s="84" t="s">
        <v>49</v>
      </c>
      <c r="D99" s="83">
        <v>-139.9</v>
      </c>
      <c r="E99" s="85">
        <v>45.2</v>
      </c>
      <c r="F99" s="85"/>
      <c r="G99" s="85">
        <v>45.2</v>
      </c>
      <c r="H99" s="86" t="s">
        <v>50</v>
      </c>
      <c r="I99" s="87">
        <v>-22985.85</v>
      </c>
      <c r="J99" s="85"/>
      <c r="K99" s="85"/>
      <c r="L99" s="85" t="str">
        <f>IF(-139.9*45.2=0," ",TEXT(,ROUND((-139.9*45.2*3.635),2)))</f>
        <v>-22985.85</v>
      </c>
      <c r="M99" s="85"/>
      <c r="N99" s="85"/>
    </row>
    <row r="100" spans="1:14" ht="22.5">
      <c r="A100" s="83">
        <v>59</v>
      </c>
      <c r="B100" s="84" t="s">
        <v>57</v>
      </c>
      <c r="C100" s="84" t="s">
        <v>58</v>
      </c>
      <c r="D100" s="83">
        <v>139.9</v>
      </c>
      <c r="E100" s="85">
        <v>29.17</v>
      </c>
      <c r="F100" s="85"/>
      <c r="G100" s="85">
        <v>29.17</v>
      </c>
      <c r="H100" s="86" t="s">
        <v>59</v>
      </c>
      <c r="I100" s="87">
        <v>25623.85</v>
      </c>
      <c r="J100" s="85"/>
      <c r="K100" s="85"/>
      <c r="L100" s="85" t="str">
        <f>IF(139.9*29.17=0," ",TEXT(,ROUND((139.9*29.17*6.279),2)))</f>
        <v>25623.86</v>
      </c>
      <c r="M100" s="85"/>
      <c r="N100" s="85"/>
    </row>
    <row r="101" spans="1:14" ht="204">
      <c r="A101" s="83">
        <v>60</v>
      </c>
      <c r="B101" s="84" t="s">
        <v>85</v>
      </c>
      <c r="C101" s="84" t="s">
        <v>86</v>
      </c>
      <c r="D101" s="83">
        <v>3</v>
      </c>
      <c r="E101" s="85" t="s">
        <v>87</v>
      </c>
      <c r="F101" s="85"/>
      <c r="G101" s="85">
        <v>51.88</v>
      </c>
      <c r="H101" s="86" t="s">
        <v>553</v>
      </c>
      <c r="I101" s="87">
        <v>1346.12</v>
      </c>
      <c r="J101" s="85">
        <v>463.64</v>
      </c>
      <c r="K101" s="85"/>
      <c r="L101" s="85" t="str">
        <f>IF(3*51.88=0," ",TEXT(,ROUND((3*51.88*5.67),2)))</f>
        <v>882.48</v>
      </c>
      <c r="M101" s="85">
        <v>0.83</v>
      </c>
      <c r="N101" s="85">
        <v>2.49</v>
      </c>
    </row>
    <row r="102" spans="1:14" ht="204">
      <c r="A102" s="83">
        <v>61</v>
      </c>
      <c r="B102" s="84" t="s">
        <v>88</v>
      </c>
      <c r="C102" s="84" t="s">
        <v>89</v>
      </c>
      <c r="D102" s="83">
        <v>15</v>
      </c>
      <c r="E102" s="85" t="s">
        <v>90</v>
      </c>
      <c r="F102" s="85">
        <v>0.87</v>
      </c>
      <c r="G102" s="85">
        <v>426.8</v>
      </c>
      <c r="H102" s="86" t="s">
        <v>91</v>
      </c>
      <c r="I102" s="87">
        <v>27368.31</v>
      </c>
      <c r="J102" s="85">
        <v>5191.83</v>
      </c>
      <c r="K102" s="85">
        <v>217.62</v>
      </c>
      <c r="L102" s="85" t="str">
        <f>IF(15*426.8=0," ",TEXT(,ROUND((15*426.8*3.43),2)))</f>
        <v>21958.86</v>
      </c>
      <c r="M102" s="85">
        <v>1.93</v>
      </c>
      <c r="N102" s="85">
        <v>28.95</v>
      </c>
    </row>
    <row r="103" spans="1:14" ht="228">
      <c r="A103" s="83">
        <v>62</v>
      </c>
      <c r="B103" s="84" t="s">
        <v>622</v>
      </c>
      <c r="C103" s="84" t="s">
        <v>623</v>
      </c>
      <c r="D103" s="83">
        <v>0.415</v>
      </c>
      <c r="E103" s="85" t="s">
        <v>624</v>
      </c>
      <c r="F103" s="85" t="s">
        <v>625</v>
      </c>
      <c r="G103" s="85">
        <v>8890.58</v>
      </c>
      <c r="H103" s="86" t="s">
        <v>626</v>
      </c>
      <c r="I103" s="87">
        <v>21251.15</v>
      </c>
      <c r="J103" s="85">
        <v>8392.82</v>
      </c>
      <c r="K103" s="85" t="s">
        <v>92</v>
      </c>
      <c r="L103" s="85" t="str">
        <f>IF(0.415*8890.58=0," ",TEXT(,ROUND((0.415*8890.58*3.44),2)))</f>
        <v>12692.19</v>
      </c>
      <c r="M103" s="85" t="s">
        <v>628</v>
      </c>
      <c r="N103" s="85" t="s">
        <v>93</v>
      </c>
    </row>
    <row r="104" spans="1:14" ht="216">
      <c r="A104" s="83">
        <v>63</v>
      </c>
      <c r="B104" s="84" t="s">
        <v>632</v>
      </c>
      <c r="C104" s="84" t="s">
        <v>633</v>
      </c>
      <c r="D104" s="83">
        <v>0.415</v>
      </c>
      <c r="E104" s="85" t="s">
        <v>634</v>
      </c>
      <c r="F104" s="85" t="s">
        <v>635</v>
      </c>
      <c r="G104" s="85">
        <v>831.97</v>
      </c>
      <c r="H104" s="86" t="s">
        <v>636</v>
      </c>
      <c r="I104" s="87">
        <v>5057.06</v>
      </c>
      <c r="J104" s="85">
        <v>2052.37</v>
      </c>
      <c r="K104" s="85" t="s">
        <v>94</v>
      </c>
      <c r="L104" s="85" t="str">
        <f>IF(0.415*831.97=0," ",TEXT(,ROUND((0.415*831.97*5.78),2)))</f>
        <v>1995.65</v>
      </c>
      <c r="M104" s="85" t="s">
        <v>638</v>
      </c>
      <c r="N104" s="85" t="s">
        <v>95</v>
      </c>
    </row>
    <row r="105" spans="1:14" ht="288">
      <c r="A105" s="83">
        <v>64</v>
      </c>
      <c r="B105" s="84" t="s">
        <v>640</v>
      </c>
      <c r="C105" s="84" t="s">
        <v>641</v>
      </c>
      <c r="D105" s="83">
        <v>0.415</v>
      </c>
      <c r="E105" s="85" t="s">
        <v>642</v>
      </c>
      <c r="F105" s="85" t="s">
        <v>643</v>
      </c>
      <c r="G105" s="85">
        <v>1855.7</v>
      </c>
      <c r="H105" s="86" t="s">
        <v>636</v>
      </c>
      <c r="I105" s="87">
        <v>7583.6</v>
      </c>
      <c r="J105" s="85">
        <v>2639.08</v>
      </c>
      <c r="K105" s="85" t="s">
        <v>96</v>
      </c>
      <c r="L105" s="85" t="str">
        <f>IF(0.415*1855.7=0," ",TEXT(,ROUND((0.415*1855.7*5.78),2)))</f>
        <v>4451.27</v>
      </c>
      <c r="M105" s="85" t="s">
        <v>645</v>
      </c>
      <c r="N105" s="85" t="s">
        <v>97</v>
      </c>
    </row>
    <row r="106" spans="1:14" ht="204">
      <c r="A106" s="83">
        <v>65</v>
      </c>
      <c r="B106" s="84" t="s">
        <v>647</v>
      </c>
      <c r="C106" s="84" t="s">
        <v>648</v>
      </c>
      <c r="D106" s="83">
        <v>0.128</v>
      </c>
      <c r="E106" s="85" t="s">
        <v>649</v>
      </c>
      <c r="F106" s="85" t="s">
        <v>650</v>
      </c>
      <c r="G106" s="85">
        <v>5935.6</v>
      </c>
      <c r="H106" s="86" t="s">
        <v>651</v>
      </c>
      <c r="I106" s="87">
        <v>3319.65</v>
      </c>
      <c r="J106" s="85">
        <v>301.31</v>
      </c>
      <c r="K106" s="85" t="s">
        <v>98</v>
      </c>
      <c r="L106" s="85" t="str">
        <f>IF(0.128*5935.6=0," ",TEXT(,ROUND((0.128*5935.6*3.87),2)))</f>
        <v>2940.26</v>
      </c>
      <c r="M106" s="85" t="s">
        <v>653</v>
      </c>
      <c r="N106" s="85" t="s">
        <v>99</v>
      </c>
    </row>
    <row r="107" spans="1:14" ht="216">
      <c r="A107" s="83">
        <v>66</v>
      </c>
      <c r="B107" s="84" t="s">
        <v>68</v>
      </c>
      <c r="C107" s="84" t="s">
        <v>69</v>
      </c>
      <c r="D107" s="83">
        <v>0.415</v>
      </c>
      <c r="E107" s="85" t="s">
        <v>70</v>
      </c>
      <c r="F107" s="85" t="s">
        <v>71</v>
      </c>
      <c r="G107" s="85">
        <v>5334.67</v>
      </c>
      <c r="H107" s="86" t="s">
        <v>44</v>
      </c>
      <c r="I107" s="87">
        <v>9088.58</v>
      </c>
      <c r="J107" s="85">
        <v>692.45</v>
      </c>
      <c r="K107" s="85" t="s">
        <v>100</v>
      </c>
      <c r="L107" s="85" t="str">
        <f>IF(0.415*5334.67=0," ",TEXT(,ROUND((0.415*5334.67*3.73),2)))</f>
        <v>8257.8</v>
      </c>
      <c r="M107" s="85" t="s">
        <v>73</v>
      </c>
      <c r="N107" s="85" t="s">
        <v>101</v>
      </c>
    </row>
    <row r="108" spans="1:14" ht="22.5">
      <c r="A108" s="83">
        <v>67</v>
      </c>
      <c r="B108" s="84" t="s">
        <v>48</v>
      </c>
      <c r="C108" s="84" t="s">
        <v>49</v>
      </c>
      <c r="D108" s="83">
        <v>-48.14</v>
      </c>
      <c r="E108" s="85">
        <v>45.2</v>
      </c>
      <c r="F108" s="85"/>
      <c r="G108" s="85">
        <v>45.2</v>
      </c>
      <c r="H108" s="86" t="s">
        <v>50</v>
      </c>
      <c r="I108" s="87">
        <v>-7909.51</v>
      </c>
      <c r="J108" s="85"/>
      <c r="K108" s="85"/>
      <c r="L108" s="85" t="str">
        <f>IF(-48.14*45.2=0," ",TEXT(,ROUND((-48.14*45.2*3.635),2)))</f>
        <v>-7909.5</v>
      </c>
      <c r="M108" s="85"/>
      <c r="N108" s="85"/>
    </row>
    <row r="109" spans="1:14" ht="22.5">
      <c r="A109" s="83">
        <v>68</v>
      </c>
      <c r="B109" s="84" t="s">
        <v>54</v>
      </c>
      <c r="C109" s="84" t="s">
        <v>55</v>
      </c>
      <c r="D109" s="83">
        <v>48.14</v>
      </c>
      <c r="E109" s="85">
        <v>24.94</v>
      </c>
      <c r="F109" s="85"/>
      <c r="G109" s="85">
        <v>24.94</v>
      </c>
      <c r="H109" s="86" t="s">
        <v>56</v>
      </c>
      <c r="I109" s="87">
        <v>7776.35</v>
      </c>
      <c r="J109" s="85"/>
      <c r="K109" s="85"/>
      <c r="L109" s="85" t="str">
        <f>IF(48.14*24.94=0," ",TEXT(,ROUND((48.14*24.94*6.477),2)))</f>
        <v>7776.36</v>
      </c>
      <c r="M109" s="85"/>
      <c r="N109" s="85"/>
    </row>
    <row r="110" spans="1:14" ht="216">
      <c r="A110" s="83">
        <v>69</v>
      </c>
      <c r="B110" s="84" t="s">
        <v>102</v>
      </c>
      <c r="C110" s="84" t="s">
        <v>103</v>
      </c>
      <c r="D110" s="83">
        <v>0.0287</v>
      </c>
      <c r="E110" s="85" t="s">
        <v>104</v>
      </c>
      <c r="F110" s="85" t="s">
        <v>105</v>
      </c>
      <c r="G110" s="85">
        <v>50060.29</v>
      </c>
      <c r="H110" s="86" t="s">
        <v>562</v>
      </c>
      <c r="I110" s="87">
        <v>9548.73</v>
      </c>
      <c r="J110" s="85">
        <v>621.21</v>
      </c>
      <c r="K110" s="85" t="s">
        <v>106</v>
      </c>
      <c r="L110" s="85" t="str">
        <f>IF(0.0287*50060.29=0," ",TEXT(,ROUND((0.0287*50060.29*5.87),2)))</f>
        <v>8433.61</v>
      </c>
      <c r="M110" s="85" t="s">
        <v>107</v>
      </c>
      <c r="N110" s="85" t="s">
        <v>108</v>
      </c>
    </row>
    <row r="111" spans="1:14" ht="192">
      <c r="A111" s="83">
        <v>70</v>
      </c>
      <c r="B111" s="84" t="s">
        <v>109</v>
      </c>
      <c r="C111" s="84" t="s">
        <v>110</v>
      </c>
      <c r="D111" s="83">
        <v>3</v>
      </c>
      <c r="E111" s="85">
        <v>94.68</v>
      </c>
      <c r="F111" s="85"/>
      <c r="G111" s="85">
        <v>94.68</v>
      </c>
      <c r="H111" s="86" t="s">
        <v>111</v>
      </c>
      <c r="I111" s="87">
        <v>746.74</v>
      </c>
      <c r="J111" s="85"/>
      <c r="K111" s="85"/>
      <c r="L111" s="85" t="str">
        <f>IF(3*94.68=0," ",TEXT(,ROUND((3*94.68*2.629),2)))</f>
        <v>746.74</v>
      </c>
      <c r="M111" s="85"/>
      <c r="N111" s="85"/>
    </row>
    <row r="112" spans="1:14" ht="204">
      <c r="A112" s="83">
        <v>71</v>
      </c>
      <c r="B112" s="84" t="s">
        <v>112</v>
      </c>
      <c r="C112" s="84" t="s">
        <v>113</v>
      </c>
      <c r="D112" s="83">
        <v>1.623</v>
      </c>
      <c r="E112" s="85" t="s">
        <v>114</v>
      </c>
      <c r="F112" s="85" t="s">
        <v>115</v>
      </c>
      <c r="G112" s="85">
        <v>3032.91</v>
      </c>
      <c r="H112" s="86" t="s">
        <v>116</v>
      </c>
      <c r="I112" s="87">
        <v>39111.79</v>
      </c>
      <c r="J112" s="85">
        <v>2017.07</v>
      </c>
      <c r="K112" s="85" t="s">
        <v>117</v>
      </c>
      <c r="L112" s="85" t="str">
        <f>IF(1.623*3032.91=0," ",TEXT(,ROUND((1.623*3032.91*7.27),2)))</f>
        <v>35785.94</v>
      </c>
      <c r="M112" s="85" t="s">
        <v>118</v>
      </c>
      <c r="N112" s="85" t="s">
        <v>119</v>
      </c>
    </row>
    <row r="113" spans="1:14" ht="228">
      <c r="A113" s="83">
        <v>72</v>
      </c>
      <c r="B113" s="84" t="s">
        <v>120</v>
      </c>
      <c r="C113" s="84" t="s">
        <v>121</v>
      </c>
      <c r="D113" s="83">
        <v>1.742</v>
      </c>
      <c r="E113" s="85">
        <v>10045</v>
      </c>
      <c r="F113" s="85"/>
      <c r="G113" s="85">
        <v>10045</v>
      </c>
      <c r="H113" s="86" t="s">
        <v>122</v>
      </c>
      <c r="I113" s="87">
        <v>127423.28</v>
      </c>
      <c r="J113" s="85"/>
      <c r="K113" s="85"/>
      <c r="L113" s="85" t="str">
        <f>IF(1.742*10045=0," ",TEXT(,ROUND((1.742*10045*7.282),2)))</f>
        <v>127423.28</v>
      </c>
      <c r="M113" s="85"/>
      <c r="N113" s="85"/>
    </row>
    <row r="114" spans="1:14" ht="228">
      <c r="A114" s="88">
        <v>73</v>
      </c>
      <c r="B114" s="89" t="s">
        <v>123</v>
      </c>
      <c r="C114" s="89" t="s">
        <v>124</v>
      </c>
      <c r="D114" s="88">
        <v>2.51</v>
      </c>
      <c r="E114" s="90" t="s">
        <v>125</v>
      </c>
      <c r="F114" s="90" t="s">
        <v>126</v>
      </c>
      <c r="G114" s="90">
        <v>281.28</v>
      </c>
      <c r="H114" s="91" t="s">
        <v>127</v>
      </c>
      <c r="I114" s="92">
        <v>6341.81</v>
      </c>
      <c r="J114" s="90">
        <v>1833.59</v>
      </c>
      <c r="K114" s="90" t="s">
        <v>128</v>
      </c>
      <c r="L114" s="90" t="str">
        <f>IF(2.51*281.28=0," ",TEXT(,ROUND((2.51*281.28*6.04),2)))</f>
        <v>4264.32</v>
      </c>
      <c r="M114" s="90" t="s">
        <v>129</v>
      </c>
      <c r="N114" s="90" t="s">
        <v>130</v>
      </c>
    </row>
    <row r="115" spans="1:14" ht="36">
      <c r="A115" s="107" t="s">
        <v>570</v>
      </c>
      <c r="B115" s="101"/>
      <c r="C115" s="101"/>
      <c r="D115" s="101"/>
      <c r="E115" s="101"/>
      <c r="F115" s="101"/>
      <c r="G115" s="101"/>
      <c r="H115" s="101"/>
      <c r="I115" s="87">
        <v>275136.99</v>
      </c>
      <c r="J115" s="85">
        <v>24720.62</v>
      </c>
      <c r="K115" s="85" t="s">
        <v>131</v>
      </c>
      <c r="L115" s="85">
        <v>240566.36</v>
      </c>
      <c r="M115" s="85"/>
      <c r="N115" s="85" t="s">
        <v>132</v>
      </c>
    </row>
    <row r="116" spans="1:14" ht="36">
      <c r="A116" s="107" t="s">
        <v>573</v>
      </c>
      <c r="B116" s="101"/>
      <c r="C116" s="101"/>
      <c r="D116" s="101"/>
      <c r="E116" s="101"/>
      <c r="F116" s="101"/>
      <c r="G116" s="101"/>
      <c r="H116" s="101"/>
      <c r="I116" s="87">
        <v>287358.45</v>
      </c>
      <c r="J116" s="85">
        <v>32644.38</v>
      </c>
      <c r="K116" s="85" t="s">
        <v>133</v>
      </c>
      <c r="L116" s="85">
        <v>240566.36</v>
      </c>
      <c r="M116" s="85"/>
      <c r="N116" s="85" t="s">
        <v>134</v>
      </c>
    </row>
    <row r="117" spans="1:14" ht="36">
      <c r="A117" s="107" t="s">
        <v>576</v>
      </c>
      <c r="B117" s="101"/>
      <c r="C117" s="101"/>
      <c r="D117" s="101"/>
      <c r="E117" s="101"/>
      <c r="F117" s="101"/>
      <c r="G117" s="101"/>
      <c r="H117" s="101"/>
      <c r="I117" s="87">
        <v>2064274.91</v>
      </c>
      <c r="J117" s="85">
        <v>519045.63</v>
      </c>
      <c r="K117" s="85" t="s">
        <v>135</v>
      </c>
      <c r="L117" s="85">
        <v>1413589.32</v>
      </c>
      <c r="M117" s="85"/>
      <c r="N117" s="85" t="s">
        <v>134</v>
      </c>
    </row>
    <row r="118" spans="1:14" ht="12.75">
      <c r="A118" s="107" t="s">
        <v>578</v>
      </c>
      <c r="B118" s="101"/>
      <c r="C118" s="101"/>
      <c r="D118" s="101"/>
      <c r="E118" s="101"/>
      <c r="F118" s="101"/>
      <c r="G118" s="101"/>
      <c r="H118" s="101"/>
      <c r="I118" s="87">
        <v>487503.96</v>
      </c>
      <c r="J118" s="85"/>
      <c r="K118" s="85"/>
      <c r="L118" s="85"/>
      <c r="M118" s="85"/>
      <c r="N118" s="85"/>
    </row>
    <row r="119" spans="1:14" ht="12.75">
      <c r="A119" s="107" t="s">
        <v>579</v>
      </c>
      <c r="B119" s="101"/>
      <c r="C119" s="101"/>
      <c r="D119" s="101"/>
      <c r="E119" s="101"/>
      <c r="F119" s="101"/>
      <c r="G119" s="101"/>
      <c r="H119" s="101"/>
      <c r="I119" s="87">
        <v>244741.48</v>
      </c>
      <c r="J119" s="85"/>
      <c r="K119" s="85"/>
      <c r="L119" s="85"/>
      <c r="M119" s="85"/>
      <c r="N119" s="85"/>
    </row>
    <row r="120" spans="1:14" ht="12.75">
      <c r="A120" s="110" t="s">
        <v>136</v>
      </c>
      <c r="B120" s="105"/>
      <c r="C120" s="105"/>
      <c r="D120" s="105"/>
      <c r="E120" s="105"/>
      <c r="F120" s="105"/>
      <c r="G120" s="105"/>
      <c r="H120" s="105"/>
      <c r="I120" s="87"/>
      <c r="J120" s="85"/>
      <c r="K120" s="85"/>
      <c r="L120" s="85"/>
      <c r="M120" s="85"/>
      <c r="N120" s="85"/>
    </row>
    <row r="121" spans="1:14" ht="24">
      <c r="A121" s="107" t="s">
        <v>137</v>
      </c>
      <c r="B121" s="101"/>
      <c r="C121" s="101"/>
      <c r="D121" s="101"/>
      <c r="E121" s="101"/>
      <c r="F121" s="101"/>
      <c r="G121" s="101"/>
      <c r="H121" s="101"/>
      <c r="I121" s="87">
        <v>40105.6</v>
      </c>
      <c r="J121" s="85"/>
      <c r="K121" s="85"/>
      <c r="L121" s="85"/>
      <c r="M121" s="85"/>
      <c r="N121" s="85" t="s">
        <v>138</v>
      </c>
    </row>
    <row r="122" spans="1:14" ht="24">
      <c r="A122" s="107" t="s">
        <v>139</v>
      </c>
      <c r="B122" s="101"/>
      <c r="C122" s="101"/>
      <c r="D122" s="101"/>
      <c r="E122" s="101"/>
      <c r="F122" s="101"/>
      <c r="G122" s="101"/>
      <c r="H122" s="101"/>
      <c r="I122" s="87">
        <v>293114</v>
      </c>
      <c r="J122" s="85"/>
      <c r="K122" s="85"/>
      <c r="L122" s="85"/>
      <c r="M122" s="85"/>
      <c r="N122" s="85" t="s">
        <v>140</v>
      </c>
    </row>
    <row r="123" spans="1:14" ht="36">
      <c r="A123" s="107" t="s">
        <v>586</v>
      </c>
      <c r="B123" s="101"/>
      <c r="C123" s="101"/>
      <c r="D123" s="101"/>
      <c r="E123" s="101"/>
      <c r="F123" s="101"/>
      <c r="G123" s="101"/>
      <c r="H123" s="101"/>
      <c r="I123" s="87">
        <v>1789563.96</v>
      </c>
      <c r="J123" s="85"/>
      <c r="K123" s="85"/>
      <c r="L123" s="85"/>
      <c r="M123" s="85"/>
      <c r="N123" s="85" t="s">
        <v>141</v>
      </c>
    </row>
    <row r="124" spans="1:14" ht="25.5" customHeight="1">
      <c r="A124" s="107" t="s">
        <v>142</v>
      </c>
      <c r="B124" s="101"/>
      <c r="C124" s="101"/>
      <c r="D124" s="101"/>
      <c r="E124" s="101"/>
      <c r="F124" s="101"/>
      <c r="G124" s="101"/>
      <c r="H124" s="101"/>
      <c r="I124" s="87">
        <v>69082.65</v>
      </c>
      <c r="J124" s="85"/>
      <c r="K124" s="85"/>
      <c r="L124" s="85"/>
      <c r="M124" s="85"/>
      <c r="N124" s="85" t="s">
        <v>143</v>
      </c>
    </row>
    <row r="125" spans="1:14" ht="25.5" customHeight="1">
      <c r="A125" s="107" t="s">
        <v>584</v>
      </c>
      <c r="B125" s="101"/>
      <c r="C125" s="101"/>
      <c r="D125" s="101"/>
      <c r="E125" s="101"/>
      <c r="F125" s="101"/>
      <c r="G125" s="101"/>
      <c r="H125" s="101"/>
      <c r="I125" s="87">
        <v>126512.38</v>
      </c>
      <c r="J125" s="85"/>
      <c r="K125" s="85"/>
      <c r="L125" s="85"/>
      <c r="M125" s="85"/>
      <c r="N125" s="85">
        <v>283.75</v>
      </c>
    </row>
    <row r="126" spans="1:14" ht="12.75" customHeight="1">
      <c r="A126" s="107" t="s">
        <v>583</v>
      </c>
      <c r="B126" s="101"/>
      <c r="C126" s="101"/>
      <c r="D126" s="101"/>
      <c r="E126" s="101"/>
      <c r="F126" s="101"/>
      <c r="G126" s="101"/>
      <c r="H126" s="101"/>
      <c r="I126" s="87">
        <v>47823.08</v>
      </c>
      <c r="J126" s="85"/>
      <c r="K126" s="85"/>
      <c r="L126" s="85"/>
      <c r="M126" s="85"/>
      <c r="N126" s="85">
        <v>40.45</v>
      </c>
    </row>
    <row r="127" spans="1:14" ht="12.75">
      <c r="A127" s="107" t="s">
        <v>144</v>
      </c>
      <c r="B127" s="101"/>
      <c r="C127" s="101"/>
      <c r="D127" s="101"/>
      <c r="E127" s="101"/>
      <c r="F127" s="101"/>
      <c r="G127" s="101"/>
      <c r="H127" s="101"/>
      <c r="I127" s="87">
        <v>-789941.37</v>
      </c>
      <c r="J127" s="85"/>
      <c r="K127" s="85"/>
      <c r="L127" s="85"/>
      <c r="M127" s="85"/>
      <c r="N127" s="85"/>
    </row>
    <row r="128" spans="1:14" ht="12.75" customHeight="1">
      <c r="A128" s="107" t="s">
        <v>145</v>
      </c>
      <c r="B128" s="101"/>
      <c r="C128" s="101"/>
      <c r="D128" s="101"/>
      <c r="E128" s="101"/>
      <c r="F128" s="101"/>
      <c r="G128" s="101"/>
      <c r="H128" s="101"/>
      <c r="I128" s="87">
        <v>759727.43</v>
      </c>
      <c r="J128" s="85"/>
      <c r="K128" s="85"/>
      <c r="L128" s="85"/>
      <c r="M128" s="85"/>
      <c r="N128" s="85">
        <v>283.75</v>
      </c>
    </row>
    <row r="129" spans="1:14" ht="12.75">
      <c r="A129" s="107" t="s">
        <v>146</v>
      </c>
      <c r="B129" s="101"/>
      <c r="C129" s="101"/>
      <c r="D129" s="101"/>
      <c r="E129" s="101"/>
      <c r="F129" s="101"/>
      <c r="G129" s="101"/>
      <c r="H129" s="101"/>
      <c r="I129" s="87">
        <v>439497.44</v>
      </c>
      <c r="J129" s="85"/>
      <c r="K129" s="85"/>
      <c r="L129" s="85"/>
      <c r="M129" s="85"/>
      <c r="N129" s="85"/>
    </row>
    <row r="130" spans="1:14" ht="25.5" customHeight="1">
      <c r="A130" s="107" t="s">
        <v>588</v>
      </c>
      <c r="B130" s="101"/>
      <c r="C130" s="101"/>
      <c r="D130" s="101"/>
      <c r="E130" s="101"/>
      <c r="F130" s="101"/>
      <c r="G130" s="101"/>
      <c r="H130" s="101"/>
      <c r="I130" s="87">
        <v>2061.8</v>
      </c>
      <c r="J130" s="85"/>
      <c r="K130" s="85"/>
      <c r="L130" s="85"/>
      <c r="M130" s="85"/>
      <c r="N130" s="85">
        <v>3.29</v>
      </c>
    </row>
    <row r="131" spans="1:14" ht="24">
      <c r="A131" s="107" t="s">
        <v>589</v>
      </c>
      <c r="B131" s="101"/>
      <c r="C131" s="101"/>
      <c r="D131" s="101"/>
      <c r="E131" s="101"/>
      <c r="F131" s="101"/>
      <c r="G131" s="101"/>
      <c r="H131" s="101"/>
      <c r="I131" s="87">
        <v>10489.7</v>
      </c>
      <c r="J131" s="85"/>
      <c r="K131" s="85"/>
      <c r="L131" s="85"/>
      <c r="M131" s="85"/>
      <c r="N131" s="85" t="s">
        <v>147</v>
      </c>
    </row>
    <row r="132" spans="1:14" ht="24">
      <c r="A132" s="107" t="s">
        <v>148</v>
      </c>
      <c r="B132" s="101"/>
      <c r="C132" s="101"/>
      <c r="D132" s="101"/>
      <c r="E132" s="101"/>
      <c r="F132" s="101"/>
      <c r="G132" s="101"/>
      <c r="H132" s="101"/>
      <c r="I132" s="87">
        <v>8483.68</v>
      </c>
      <c r="J132" s="85"/>
      <c r="K132" s="85"/>
      <c r="L132" s="85"/>
      <c r="M132" s="85"/>
      <c r="N132" s="85" t="s">
        <v>149</v>
      </c>
    </row>
    <row r="133" spans="1:14" ht="36">
      <c r="A133" s="107" t="s">
        <v>592</v>
      </c>
      <c r="B133" s="101"/>
      <c r="C133" s="101"/>
      <c r="D133" s="101"/>
      <c r="E133" s="101"/>
      <c r="F133" s="101"/>
      <c r="G133" s="101"/>
      <c r="H133" s="101"/>
      <c r="I133" s="87">
        <v>2796520.35</v>
      </c>
      <c r="J133" s="85"/>
      <c r="K133" s="85"/>
      <c r="L133" s="85"/>
      <c r="M133" s="85"/>
      <c r="N133" s="85" t="s">
        <v>134</v>
      </c>
    </row>
    <row r="134" spans="1:14" ht="12.75">
      <c r="A134" s="107" t="s">
        <v>593</v>
      </c>
      <c r="B134" s="101"/>
      <c r="C134" s="101"/>
      <c r="D134" s="101"/>
      <c r="E134" s="101"/>
      <c r="F134" s="101"/>
      <c r="G134" s="101"/>
      <c r="H134" s="101"/>
      <c r="I134" s="87"/>
      <c r="J134" s="85"/>
      <c r="K134" s="85"/>
      <c r="L134" s="85"/>
      <c r="M134" s="85"/>
      <c r="N134" s="85"/>
    </row>
    <row r="135" spans="1:14" ht="12.75">
      <c r="A135" s="107" t="s">
        <v>150</v>
      </c>
      <c r="B135" s="101"/>
      <c r="C135" s="101"/>
      <c r="D135" s="101"/>
      <c r="E135" s="101"/>
      <c r="F135" s="101"/>
      <c r="G135" s="101"/>
      <c r="H135" s="101"/>
      <c r="I135" s="87">
        <v>1413589.32</v>
      </c>
      <c r="J135" s="85"/>
      <c r="K135" s="85"/>
      <c r="L135" s="85"/>
      <c r="M135" s="85"/>
      <c r="N135" s="85"/>
    </row>
    <row r="136" spans="1:14" ht="12.75">
      <c r="A136" s="107" t="s">
        <v>594</v>
      </c>
      <c r="B136" s="101"/>
      <c r="C136" s="101"/>
      <c r="D136" s="101"/>
      <c r="E136" s="101"/>
      <c r="F136" s="101"/>
      <c r="G136" s="101"/>
      <c r="H136" s="101"/>
      <c r="I136" s="87">
        <v>131639.96</v>
      </c>
      <c r="J136" s="85"/>
      <c r="K136" s="85"/>
      <c r="L136" s="85"/>
      <c r="M136" s="85"/>
      <c r="N136" s="85"/>
    </row>
    <row r="137" spans="1:14" ht="12.75">
      <c r="A137" s="107" t="s">
        <v>595</v>
      </c>
      <c r="B137" s="101"/>
      <c r="C137" s="101"/>
      <c r="D137" s="101"/>
      <c r="E137" s="101"/>
      <c r="F137" s="101"/>
      <c r="G137" s="101"/>
      <c r="H137" s="101"/>
      <c r="I137" s="87">
        <v>541029.94</v>
      </c>
      <c r="J137" s="85"/>
      <c r="K137" s="85"/>
      <c r="L137" s="85"/>
      <c r="M137" s="85"/>
      <c r="N137" s="85"/>
    </row>
    <row r="138" spans="1:14" ht="12.75">
      <c r="A138" s="107" t="s">
        <v>596</v>
      </c>
      <c r="B138" s="101"/>
      <c r="C138" s="101"/>
      <c r="D138" s="101"/>
      <c r="E138" s="101"/>
      <c r="F138" s="101"/>
      <c r="G138" s="101"/>
      <c r="H138" s="101"/>
      <c r="I138" s="87">
        <v>487503.96</v>
      </c>
      <c r="J138" s="85"/>
      <c r="K138" s="85"/>
      <c r="L138" s="85"/>
      <c r="M138" s="85"/>
      <c r="N138" s="85"/>
    </row>
    <row r="139" spans="1:14" ht="12.75">
      <c r="A139" s="107" t="s">
        <v>597</v>
      </c>
      <c r="B139" s="101"/>
      <c r="C139" s="101"/>
      <c r="D139" s="101"/>
      <c r="E139" s="101"/>
      <c r="F139" s="101"/>
      <c r="G139" s="101"/>
      <c r="H139" s="101"/>
      <c r="I139" s="87">
        <v>244741.48</v>
      </c>
      <c r="J139" s="85"/>
      <c r="K139" s="85"/>
      <c r="L139" s="85"/>
      <c r="M139" s="85"/>
      <c r="N139" s="85"/>
    </row>
    <row r="140" spans="1:14" ht="36">
      <c r="A140" s="108" t="s">
        <v>151</v>
      </c>
      <c r="B140" s="109"/>
      <c r="C140" s="109"/>
      <c r="D140" s="109"/>
      <c r="E140" s="109"/>
      <c r="F140" s="109"/>
      <c r="G140" s="109"/>
      <c r="H140" s="109"/>
      <c r="I140" s="92">
        <v>2796520.35</v>
      </c>
      <c r="J140" s="90"/>
      <c r="K140" s="90"/>
      <c r="L140" s="90"/>
      <c r="M140" s="90"/>
      <c r="N140" s="90" t="s">
        <v>134</v>
      </c>
    </row>
    <row r="141" spans="1:14" ht="17.25" customHeight="1">
      <c r="A141" s="111" t="s">
        <v>152</v>
      </c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1:14" ht="60">
      <c r="A142" s="83">
        <v>74</v>
      </c>
      <c r="B142" s="84" t="s">
        <v>153</v>
      </c>
      <c r="C142" s="84" t="s">
        <v>154</v>
      </c>
      <c r="D142" s="83">
        <v>153.12</v>
      </c>
      <c r="E142" s="85">
        <v>3.28</v>
      </c>
      <c r="F142" s="85">
        <v>3.28</v>
      </c>
      <c r="G142" s="85"/>
      <c r="H142" s="86" t="s">
        <v>155</v>
      </c>
      <c r="I142" s="87">
        <v>5785.69</v>
      </c>
      <c r="J142" s="85"/>
      <c r="K142" s="85">
        <v>5785.69</v>
      </c>
      <c r="L142" s="85" t="str">
        <f>IF(153.12*0=0," ",TEXT(,ROUND((153.12*0*1),2)))</f>
        <v> </v>
      </c>
      <c r="M142" s="85"/>
      <c r="N142" s="85"/>
    </row>
    <row r="143" spans="1:14" ht="67.5">
      <c r="A143" s="83">
        <v>75</v>
      </c>
      <c r="B143" s="84" t="s">
        <v>156</v>
      </c>
      <c r="C143" s="84" t="s">
        <v>157</v>
      </c>
      <c r="D143" s="83">
        <v>153.12</v>
      </c>
      <c r="E143" s="85">
        <v>13.38</v>
      </c>
      <c r="F143" s="85">
        <v>13.38</v>
      </c>
      <c r="G143" s="85"/>
      <c r="H143" s="86" t="s">
        <v>158</v>
      </c>
      <c r="I143" s="87">
        <v>20118.73</v>
      </c>
      <c r="J143" s="85"/>
      <c r="K143" s="85">
        <v>20118.73</v>
      </c>
      <c r="L143" s="85" t="str">
        <f>IF(153.12*0=0," ",TEXT(,ROUND((153.12*0*1),2)))</f>
        <v> </v>
      </c>
      <c r="M143" s="85"/>
      <c r="N143" s="85"/>
    </row>
    <row r="144" spans="1:14" ht="48">
      <c r="A144" s="88">
        <v>76</v>
      </c>
      <c r="B144" s="89" t="s">
        <v>159</v>
      </c>
      <c r="C144" s="89" t="s">
        <v>160</v>
      </c>
      <c r="D144" s="88">
        <v>153.12</v>
      </c>
      <c r="E144" s="90" t="s">
        <v>161</v>
      </c>
      <c r="F144" s="90"/>
      <c r="G144" s="90">
        <v>16.4</v>
      </c>
      <c r="H144" s="91" t="s">
        <v>162</v>
      </c>
      <c r="I144" s="92">
        <v>33936.17</v>
      </c>
      <c r="J144" s="90">
        <v>18040.46</v>
      </c>
      <c r="K144" s="90"/>
      <c r="L144" s="90" t="str">
        <f>IF(153.12*16.4=0," ",TEXT(,ROUND((153.12*16.4*6.33),2)))</f>
        <v>15895.69</v>
      </c>
      <c r="M144" s="90">
        <v>1.03</v>
      </c>
      <c r="N144" s="90">
        <v>157.71</v>
      </c>
    </row>
    <row r="145" spans="1:14" ht="12.75">
      <c r="A145" s="107" t="s">
        <v>570</v>
      </c>
      <c r="B145" s="101"/>
      <c r="C145" s="101"/>
      <c r="D145" s="101"/>
      <c r="E145" s="101"/>
      <c r="F145" s="101"/>
      <c r="G145" s="101"/>
      <c r="H145" s="101"/>
      <c r="I145" s="87">
        <v>6196.77</v>
      </c>
      <c r="J145" s="85">
        <v>1134.62</v>
      </c>
      <c r="K145" s="85">
        <v>2550.98</v>
      </c>
      <c r="L145" s="85">
        <v>2511.17</v>
      </c>
      <c r="M145" s="85"/>
      <c r="N145" s="85">
        <v>157.71</v>
      </c>
    </row>
    <row r="146" spans="1:14" ht="12.75">
      <c r="A146" s="107" t="s">
        <v>576</v>
      </c>
      <c r="B146" s="101"/>
      <c r="C146" s="101"/>
      <c r="D146" s="101"/>
      <c r="E146" s="101"/>
      <c r="F146" s="101"/>
      <c r="G146" s="101"/>
      <c r="H146" s="101"/>
      <c r="I146" s="87">
        <v>59840.59</v>
      </c>
      <c r="J146" s="85">
        <v>18040.46</v>
      </c>
      <c r="K146" s="85">
        <v>25904.42</v>
      </c>
      <c r="L146" s="85">
        <v>15895.71</v>
      </c>
      <c r="M146" s="85"/>
      <c r="N146" s="85">
        <v>157.71</v>
      </c>
    </row>
    <row r="147" spans="1:14" ht="12.75">
      <c r="A147" s="107" t="s">
        <v>578</v>
      </c>
      <c r="B147" s="101"/>
      <c r="C147" s="101"/>
      <c r="D147" s="101"/>
      <c r="E147" s="101"/>
      <c r="F147" s="101"/>
      <c r="G147" s="101"/>
      <c r="H147" s="101"/>
      <c r="I147" s="87">
        <v>11960.83</v>
      </c>
      <c r="J147" s="85"/>
      <c r="K147" s="85"/>
      <c r="L147" s="85"/>
      <c r="M147" s="85"/>
      <c r="N147" s="85"/>
    </row>
    <row r="148" spans="1:14" ht="12.75">
      <c r="A148" s="107" t="s">
        <v>579</v>
      </c>
      <c r="B148" s="101"/>
      <c r="C148" s="101"/>
      <c r="D148" s="101"/>
      <c r="E148" s="101"/>
      <c r="F148" s="101"/>
      <c r="G148" s="101"/>
      <c r="H148" s="101"/>
      <c r="I148" s="87">
        <v>7216.18</v>
      </c>
      <c r="J148" s="85"/>
      <c r="K148" s="85"/>
      <c r="L148" s="85"/>
      <c r="M148" s="85"/>
      <c r="N148" s="85"/>
    </row>
    <row r="149" spans="1:14" ht="12.75">
      <c r="A149" s="110" t="s">
        <v>163</v>
      </c>
      <c r="B149" s="105"/>
      <c r="C149" s="105"/>
      <c r="D149" s="105"/>
      <c r="E149" s="105"/>
      <c r="F149" s="105"/>
      <c r="G149" s="105"/>
      <c r="H149" s="105"/>
      <c r="I149" s="87"/>
      <c r="J149" s="85"/>
      <c r="K149" s="85"/>
      <c r="L149" s="85"/>
      <c r="M149" s="85"/>
      <c r="N149" s="85"/>
    </row>
    <row r="150" spans="1:14" ht="12.75">
      <c r="A150" s="107" t="s">
        <v>164</v>
      </c>
      <c r="B150" s="101"/>
      <c r="C150" s="101"/>
      <c r="D150" s="101"/>
      <c r="E150" s="101"/>
      <c r="F150" s="101"/>
      <c r="G150" s="101"/>
      <c r="H150" s="101"/>
      <c r="I150" s="87">
        <v>5785.69</v>
      </c>
      <c r="J150" s="85"/>
      <c r="K150" s="85"/>
      <c r="L150" s="85"/>
      <c r="M150" s="85"/>
      <c r="N150" s="85"/>
    </row>
    <row r="151" spans="1:14" ht="12.75">
      <c r="A151" s="107" t="s">
        <v>165</v>
      </c>
      <c r="B151" s="101"/>
      <c r="C151" s="101"/>
      <c r="D151" s="101"/>
      <c r="E151" s="101"/>
      <c r="F151" s="101"/>
      <c r="G151" s="101"/>
      <c r="H151" s="101"/>
      <c r="I151" s="87">
        <v>20118.73</v>
      </c>
      <c r="J151" s="85"/>
      <c r="K151" s="85"/>
      <c r="L151" s="85"/>
      <c r="M151" s="85"/>
      <c r="N151" s="85"/>
    </row>
    <row r="152" spans="1:14" ht="12.75" customHeight="1">
      <c r="A152" s="107" t="s">
        <v>591</v>
      </c>
      <c r="B152" s="101"/>
      <c r="C152" s="101"/>
      <c r="D152" s="101"/>
      <c r="E152" s="101"/>
      <c r="F152" s="101"/>
      <c r="G152" s="101"/>
      <c r="H152" s="101"/>
      <c r="I152" s="87">
        <v>53113.18</v>
      </c>
      <c r="J152" s="85"/>
      <c r="K152" s="85"/>
      <c r="L152" s="85"/>
      <c r="M152" s="85"/>
      <c r="N152" s="85">
        <v>157.71</v>
      </c>
    </row>
    <row r="153" spans="1:14" ht="12.75">
      <c r="A153" s="107" t="s">
        <v>592</v>
      </c>
      <c r="B153" s="101"/>
      <c r="C153" s="101"/>
      <c r="D153" s="101"/>
      <c r="E153" s="101"/>
      <c r="F153" s="101"/>
      <c r="G153" s="101"/>
      <c r="H153" s="101"/>
      <c r="I153" s="87">
        <v>79017.6</v>
      </c>
      <c r="J153" s="85"/>
      <c r="K153" s="85"/>
      <c r="L153" s="85"/>
      <c r="M153" s="85"/>
      <c r="N153" s="85">
        <v>157.71</v>
      </c>
    </row>
    <row r="154" spans="1:14" ht="12.75">
      <c r="A154" s="107" t="s">
        <v>593</v>
      </c>
      <c r="B154" s="101"/>
      <c r="C154" s="101"/>
      <c r="D154" s="101"/>
      <c r="E154" s="101"/>
      <c r="F154" s="101"/>
      <c r="G154" s="101"/>
      <c r="H154" s="101"/>
      <c r="I154" s="87"/>
      <c r="J154" s="85"/>
      <c r="K154" s="85"/>
      <c r="L154" s="85"/>
      <c r="M154" s="85"/>
      <c r="N154" s="85"/>
    </row>
    <row r="155" spans="1:14" ht="12.75">
      <c r="A155" s="107" t="s">
        <v>150</v>
      </c>
      <c r="B155" s="101"/>
      <c r="C155" s="101"/>
      <c r="D155" s="101"/>
      <c r="E155" s="101"/>
      <c r="F155" s="101"/>
      <c r="G155" s="101"/>
      <c r="H155" s="101"/>
      <c r="I155" s="87">
        <v>15895.71</v>
      </c>
      <c r="J155" s="85"/>
      <c r="K155" s="85"/>
      <c r="L155" s="85"/>
      <c r="M155" s="85"/>
      <c r="N155" s="85"/>
    </row>
    <row r="156" spans="1:14" ht="12.75">
      <c r="A156" s="107" t="s">
        <v>594</v>
      </c>
      <c r="B156" s="101"/>
      <c r="C156" s="101"/>
      <c r="D156" s="101"/>
      <c r="E156" s="101"/>
      <c r="F156" s="101"/>
      <c r="G156" s="101"/>
      <c r="H156" s="101"/>
      <c r="I156" s="87">
        <v>25904.42</v>
      </c>
      <c r="J156" s="85"/>
      <c r="K156" s="85"/>
      <c r="L156" s="85"/>
      <c r="M156" s="85"/>
      <c r="N156" s="85"/>
    </row>
    <row r="157" spans="1:14" ht="12.75">
      <c r="A157" s="107" t="s">
        <v>595</v>
      </c>
      <c r="B157" s="101"/>
      <c r="C157" s="101"/>
      <c r="D157" s="101"/>
      <c r="E157" s="101"/>
      <c r="F157" s="101"/>
      <c r="G157" s="101"/>
      <c r="H157" s="101"/>
      <c r="I157" s="87">
        <v>18040.46</v>
      </c>
      <c r="J157" s="85"/>
      <c r="K157" s="85"/>
      <c r="L157" s="85"/>
      <c r="M157" s="85"/>
      <c r="N157" s="85"/>
    </row>
    <row r="158" spans="1:14" ht="12.75">
      <c r="A158" s="107" t="s">
        <v>596</v>
      </c>
      <c r="B158" s="101"/>
      <c r="C158" s="101"/>
      <c r="D158" s="101"/>
      <c r="E158" s="101"/>
      <c r="F158" s="101"/>
      <c r="G158" s="101"/>
      <c r="H158" s="101"/>
      <c r="I158" s="87">
        <v>11960.83</v>
      </c>
      <c r="J158" s="85"/>
      <c r="K158" s="85"/>
      <c r="L158" s="85"/>
      <c r="M158" s="85"/>
      <c r="N158" s="85"/>
    </row>
    <row r="159" spans="1:14" ht="12.75">
      <c r="A159" s="107" t="s">
        <v>597</v>
      </c>
      <c r="B159" s="101"/>
      <c r="C159" s="101"/>
      <c r="D159" s="101"/>
      <c r="E159" s="101"/>
      <c r="F159" s="101"/>
      <c r="G159" s="101"/>
      <c r="H159" s="101"/>
      <c r="I159" s="87">
        <v>7216.18</v>
      </c>
      <c r="J159" s="85"/>
      <c r="K159" s="85"/>
      <c r="L159" s="85"/>
      <c r="M159" s="85"/>
      <c r="N159" s="85"/>
    </row>
    <row r="160" spans="1:14" ht="12.75">
      <c r="A160" s="108" t="s">
        <v>166</v>
      </c>
      <c r="B160" s="109"/>
      <c r="C160" s="109"/>
      <c r="D160" s="109"/>
      <c r="E160" s="109"/>
      <c r="F160" s="109"/>
      <c r="G160" s="109"/>
      <c r="H160" s="109"/>
      <c r="I160" s="92">
        <v>79017.6</v>
      </c>
      <c r="J160" s="90"/>
      <c r="K160" s="90"/>
      <c r="L160" s="90"/>
      <c r="M160" s="90"/>
      <c r="N160" s="90">
        <v>157.71</v>
      </c>
    </row>
    <row r="161" spans="1:14" ht="36">
      <c r="A161" s="100" t="s">
        <v>167</v>
      </c>
      <c r="B161" s="101"/>
      <c r="C161" s="101"/>
      <c r="D161" s="101"/>
      <c r="E161" s="101"/>
      <c r="F161" s="101"/>
      <c r="G161" s="101"/>
      <c r="H161" s="101"/>
      <c r="I161" s="93">
        <v>295751.73</v>
      </c>
      <c r="J161" s="93">
        <v>33135.02</v>
      </c>
      <c r="K161" s="93" t="s">
        <v>168</v>
      </c>
      <c r="L161" s="93">
        <v>243077.53</v>
      </c>
      <c r="M161" s="93"/>
      <c r="N161" s="93" t="s">
        <v>169</v>
      </c>
    </row>
    <row r="162" spans="1:14" ht="36">
      <c r="A162" s="100" t="s">
        <v>170</v>
      </c>
      <c r="B162" s="101"/>
      <c r="C162" s="101"/>
      <c r="D162" s="101"/>
      <c r="E162" s="101"/>
      <c r="F162" s="101"/>
      <c r="G162" s="101"/>
      <c r="H162" s="101"/>
      <c r="I162" s="93">
        <v>308973.68</v>
      </c>
      <c r="J162" s="93">
        <v>41673.28</v>
      </c>
      <c r="K162" s="93" t="s">
        <v>171</v>
      </c>
      <c r="L162" s="93">
        <v>243077.53</v>
      </c>
      <c r="M162" s="93"/>
      <c r="N162" s="93" t="s">
        <v>172</v>
      </c>
    </row>
    <row r="163" spans="1:14" ht="36">
      <c r="A163" s="100" t="s">
        <v>173</v>
      </c>
      <c r="B163" s="101"/>
      <c r="C163" s="101"/>
      <c r="D163" s="101"/>
      <c r="E163" s="101"/>
      <c r="F163" s="101"/>
      <c r="G163" s="101"/>
      <c r="H163" s="101"/>
      <c r="I163" s="93">
        <v>2300374.05</v>
      </c>
      <c r="J163" s="93">
        <v>662605.15</v>
      </c>
      <c r="K163" s="93" t="s">
        <v>174</v>
      </c>
      <c r="L163" s="93">
        <v>1429485.03</v>
      </c>
      <c r="M163" s="93"/>
      <c r="N163" s="93" t="s">
        <v>172</v>
      </c>
    </row>
    <row r="164" spans="1:14" ht="12.75">
      <c r="A164" s="100" t="s">
        <v>578</v>
      </c>
      <c r="B164" s="101"/>
      <c r="C164" s="101"/>
      <c r="D164" s="101"/>
      <c r="E164" s="101"/>
      <c r="F164" s="101"/>
      <c r="G164" s="101"/>
      <c r="H164" s="101"/>
      <c r="I164" s="93">
        <v>614402.02</v>
      </c>
      <c r="J164" s="93"/>
      <c r="K164" s="93"/>
      <c r="L164" s="93"/>
      <c r="M164" s="93"/>
      <c r="N164" s="93"/>
    </row>
    <row r="165" spans="1:14" ht="12.75">
      <c r="A165" s="100" t="s">
        <v>579</v>
      </c>
      <c r="B165" s="101"/>
      <c r="C165" s="101"/>
      <c r="D165" s="101"/>
      <c r="E165" s="101"/>
      <c r="F165" s="101"/>
      <c r="G165" s="101"/>
      <c r="H165" s="101"/>
      <c r="I165" s="93">
        <v>315477.2</v>
      </c>
      <c r="J165" s="93"/>
      <c r="K165" s="93"/>
      <c r="L165" s="93"/>
      <c r="M165" s="93"/>
      <c r="N165" s="93"/>
    </row>
    <row r="166" spans="1:14" ht="12.75">
      <c r="A166" s="104" t="s">
        <v>175</v>
      </c>
      <c r="B166" s="105"/>
      <c r="C166" s="105"/>
      <c r="D166" s="105"/>
      <c r="E166" s="105"/>
      <c r="F166" s="105"/>
      <c r="G166" s="105"/>
      <c r="H166" s="105"/>
      <c r="I166" s="93"/>
      <c r="J166" s="93"/>
      <c r="K166" s="93"/>
      <c r="L166" s="93"/>
      <c r="M166" s="93"/>
      <c r="N166" s="93"/>
    </row>
    <row r="167" spans="1:14" ht="25.5" customHeight="1">
      <c r="A167" s="100" t="s">
        <v>581</v>
      </c>
      <c r="B167" s="101"/>
      <c r="C167" s="101"/>
      <c r="D167" s="101"/>
      <c r="E167" s="101"/>
      <c r="F167" s="101"/>
      <c r="G167" s="101"/>
      <c r="H167" s="101"/>
      <c r="I167" s="93">
        <v>149584.53</v>
      </c>
      <c r="J167" s="93"/>
      <c r="K167" s="93"/>
      <c r="L167" s="93"/>
      <c r="M167" s="93"/>
      <c r="N167" s="93" t="s">
        <v>582</v>
      </c>
    </row>
    <row r="168" spans="1:14" ht="12.75" customHeight="1">
      <c r="A168" s="100" t="s">
        <v>583</v>
      </c>
      <c r="B168" s="101"/>
      <c r="C168" s="101"/>
      <c r="D168" s="101"/>
      <c r="E168" s="101"/>
      <c r="F168" s="101"/>
      <c r="G168" s="101"/>
      <c r="H168" s="101"/>
      <c r="I168" s="93">
        <v>58563.43</v>
      </c>
      <c r="J168" s="93"/>
      <c r="K168" s="93"/>
      <c r="L168" s="93"/>
      <c r="M168" s="93"/>
      <c r="N168" s="93">
        <v>79.72</v>
      </c>
    </row>
    <row r="169" spans="1:14" ht="25.5" customHeight="1">
      <c r="A169" s="100" t="s">
        <v>584</v>
      </c>
      <c r="B169" s="101"/>
      <c r="C169" s="101"/>
      <c r="D169" s="101"/>
      <c r="E169" s="101"/>
      <c r="F169" s="101"/>
      <c r="G169" s="101"/>
      <c r="H169" s="101"/>
      <c r="I169" s="93">
        <v>144041.45</v>
      </c>
      <c r="J169" s="93"/>
      <c r="K169" s="93"/>
      <c r="L169" s="93"/>
      <c r="M169" s="93"/>
      <c r="N169" s="93" t="s">
        <v>176</v>
      </c>
    </row>
    <row r="170" spans="1:14" ht="36">
      <c r="A170" s="100" t="s">
        <v>586</v>
      </c>
      <c r="B170" s="101"/>
      <c r="C170" s="101"/>
      <c r="D170" s="101"/>
      <c r="E170" s="101"/>
      <c r="F170" s="101"/>
      <c r="G170" s="101"/>
      <c r="H170" s="101"/>
      <c r="I170" s="93">
        <v>1896792.02</v>
      </c>
      <c r="J170" s="93"/>
      <c r="K170" s="93"/>
      <c r="L170" s="93"/>
      <c r="M170" s="93"/>
      <c r="N170" s="93" t="s">
        <v>177</v>
      </c>
    </row>
    <row r="171" spans="1:14" ht="25.5" customHeight="1">
      <c r="A171" s="100" t="s">
        <v>588</v>
      </c>
      <c r="B171" s="101"/>
      <c r="C171" s="101"/>
      <c r="D171" s="101"/>
      <c r="E171" s="101"/>
      <c r="F171" s="101"/>
      <c r="G171" s="101"/>
      <c r="H171" s="101"/>
      <c r="I171" s="93">
        <v>2471.9</v>
      </c>
      <c r="J171" s="93"/>
      <c r="K171" s="93"/>
      <c r="L171" s="93"/>
      <c r="M171" s="93"/>
      <c r="N171" s="93">
        <v>4.43</v>
      </c>
    </row>
    <row r="172" spans="1:14" ht="24">
      <c r="A172" s="100" t="s">
        <v>589</v>
      </c>
      <c r="B172" s="101"/>
      <c r="C172" s="101"/>
      <c r="D172" s="101"/>
      <c r="E172" s="101"/>
      <c r="F172" s="101"/>
      <c r="G172" s="101"/>
      <c r="H172" s="101"/>
      <c r="I172" s="93">
        <v>11885.88</v>
      </c>
      <c r="J172" s="93"/>
      <c r="K172" s="93"/>
      <c r="L172" s="93"/>
      <c r="M172" s="93"/>
      <c r="N172" s="93" t="s">
        <v>178</v>
      </c>
    </row>
    <row r="173" spans="1:14" ht="12.75" customHeight="1">
      <c r="A173" s="100" t="s">
        <v>591</v>
      </c>
      <c r="B173" s="101"/>
      <c r="C173" s="101"/>
      <c r="D173" s="101"/>
      <c r="E173" s="101"/>
      <c r="F173" s="101"/>
      <c r="G173" s="101"/>
      <c r="H173" s="101"/>
      <c r="I173" s="93">
        <v>120940.21</v>
      </c>
      <c r="J173" s="93"/>
      <c r="K173" s="93"/>
      <c r="L173" s="93"/>
      <c r="M173" s="93"/>
      <c r="N173" s="93">
        <v>442.92</v>
      </c>
    </row>
    <row r="174" spans="1:14" ht="24">
      <c r="A174" s="100" t="s">
        <v>137</v>
      </c>
      <c r="B174" s="101"/>
      <c r="C174" s="101"/>
      <c r="D174" s="101"/>
      <c r="E174" s="101"/>
      <c r="F174" s="101"/>
      <c r="G174" s="101"/>
      <c r="H174" s="101"/>
      <c r="I174" s="93">
        <v>40105.6</v>
      </c>
      <c r="J174" s="93"/>
      <c r="K174" s="93"/>
      <c r="L174" s="93"/>
      <c r="M174" s="93"/>
      <c r="N174" s="93" t="s">
        <v>138</v>
      </c>
    </row>
    <row r="175" spans="1:14" ht="24">
      <c r="A175" s="100" t="s">
        <v>139</v>
      </c>
      <c r="B175" s="101"/>
      <c r="C175" s="101"/>
      <c r="D175" s="101"/>
      <c r="E175" s="101"/>
      <c r="F175" s="101"/>
      <c r="G175" s="101"/>
      <c r="H175" s="101"/>
      <c r="I175" s="93">
        <v>293114</v>
      </c>
      <c r="J175" s="93"/>
      <c r="K175" s="93"/>
      <c r="L175" s="93"/>
      <c r="M175" s="93"/>
      <c r="N175" s="93" t="s">
        <v>140</v>
      </c>
    </row>
    <row r="176" spans="1:14" ht="25.5" customHeight="1">
      <c r="A176" s="100" t="s">
        <v>142</v>
      </c>
      <c r="B176" s="101"/>
      <c r="C176" s="101"/>
      <c r="D176" s="101"/>
      <c r="E176" s="101"/>
      <c r="F176" s="101"/>
      <c r="G176" s="101"/>
      <c r="H176" s="101"/>
      <c r="I176" s="93">
        <v>69082.65</v>
      </c>
      <c r="J176" s="93"/>
      <c r="K176" s="93"/>
      <c r="L176" s="93"/>
      <c r="M176" s="93"/>
      <c r="N176" s="93" t="s">
        <v>143</v>
      </c>
    </row>
    <row r="177" spans="1:14" ht="12.75">
      <c r="A177" s="100" t="s">
        <v>144</v>
      </c>
      <c r="B177" s="101"/>
      <c r="C177" s="101"/>
      <c r="D177" s="101"/>
      <c r="E177" s="101"/>
      <c r="F177" s="101"/>
      <c r="G177" s="101"/>
      <c r="H177" s="101"/>
      <c r="I177" s="93">
        <v>-789941.37</v>
      </c>
      <c r="J177" s="93"/>
      <c r="K177" s="93"/>
      <c r="L177" s="93"/>
      <c r="M177" s="93"/>
      <c r="N177" s="93"/>
    </row>
    <row r="178" spans="1:14" ht="12.75" customHeight="1">
      <c r="A178" s="100" t="s">
        <v>145</v>
      </c>
      <c r="B178" s="101"/>
      <c r="C178" s="101"/>
      <c r="D178" s="101"/>
      <c r="E178" s="101"/>
      <c r="F178" s="101"/>
      <c r="G178" s="101"/>
      <c r="H178" s="101"/>
      <c r="I178" s="93">
        <v>759727.43</v>
      </c>
      <c r="J178" s="93"/>
      <c r="K178" s="93"/>
      <c r="L178" s="93"/>
      <c r="M178" s="93"/>
      <c r="N178" s="93">
        <v>283.75</v>
      </c>
    </row>
    <row r="179" spans="1:14" ht="12.75">
      <c r="A179" s="100" t="s">
        <v>146</v>
      </c>
      <c r="B179" s="101"/>
      <c r="C179" s="101"/>
      <c r="D179" s="101"/>
      <c r="E179" s="101"/>
      <c r="F179" s="101"/>
      <c r="G179" s="101"/>
      <c r="H179" s="101"/>
      <c r="I179" s="93">
        <v>439497.44</v>
      </c>
      <c r="J179" s="93"/>
      <c r="K179" s="93"/>
      <c r="L179" s="93"/>
      <c r="M179" s="93"/>
      <c r="N179" s="93"/>
    </row>
    <row r="180" spans="1:14" ht="24">
      <c r="A180" s="100" t="s">
        <v>148</v>
      </c>
      <c r="B180" s="101"/>
      <c r="C180" s="101"/>
      <c r="D180" s="101"/>
      <c r="E180" s="101"/>
      <c r="F180" s="101"/>
      <c r="G180" s="101"/>
      <c r="H180" s="101"/>
      <c r="I180" s="93">
        <v>8483.68</v>
      </c>
      <c r="J180" s="93"/>
      <c r="K180" s="93"/>
      <c r="L180" s="93"/>
      <c r="M180" s="93"/>
      <c r="N180" s="93" t="s">
        <v>149</v>
      </c>
    </row>
    <row r="181" spans="1:14" ht="12.75">
      <c r="A181" s="100" t="s">
        <v>164</v>
      </c>
      <c r="B181" s="101"/>
      <c r="C181" s="101"/>
      <c r="D181" s="101"/>
      <c r="E181" s="101"/>
      <c r="F181" s="101"/>
      <c r="G181" s="101"/>
      <c r="H181" s="101"/>
      <c r="I181" s="93">
        <v>5785.69</v>
      </c>
      <c r="J181" s="93"/>
      <c r="K181" s="93"/>
      <c r="L181" s="93"/>
      <c r="M181" s="93"/>
      <c r="N181" s="93"/>
    </row>
    <row r="182" spans="1:14" ht="12.75">
      <c r="A182" s="100" t="s">
        <v>165</v>
      </c>
      <c r="B182" s="101"/>
      <c r="C182" s="101"/>
      <c r="D182" s="101"/>
      <c r="E182" s="101"/>
      <c r="F182" s="101"/>
      <c r="G182" s="101"/>
      <c r="H182" s="101"/>
      <c r="I182" s="93">
        <v>20118.73</v>
      </c>
      <c r="J182" s="93"/>
      <c r="K182" s="93"/>
      <c r="L182" s="93"/>
      <c r="M182" s="93"/>
      <c r="N182" s="93"/>
    </row>
    <row r="183" spans="1:14" ht="36">
      <c r="A183" s="100" t="s">
        <v>592</v>
      </c>
      <c r="B183" s="101"/>
      <c r="C183" s="101"/>
      <c r="D183" s="101"/>
      <c r="E183" s="101"/>
      <c r="F183" s="101"/>
      <c r="G183" s="101"/>
      <c r="H183" s="101"/>
      <c r="I183" s="93">
        <v>3230253.27</v>
      </c>
      <c r="J183" s="93"/>
      <c r="K183" s="93"/>
      <c r="L183" s="93"/>
      <c r="M183" s="93"/>
      <c r="N183" s="93" t="s">
        <v>172</v>
      </c>
    </row>
    <row r="184" spans="1:14" ht="12.75">
      <c r="A184" s="100" t="s">
        <v>593</v>
      </c>
      <c r="B184" s="101"/>
      <c r="C184" s="101"/>
      <c r="D184" s="101"/>
      <c r="E184" s="101"/>
      <c r="F184" s="101"/>
      <c r="G184" s="101"/>
      <c r="H184" s="101"/>
      <c r="I184" s="93"/>
      <c r="J184" s="93"/>
      <c r="K184" s="93"/>
      <c r="L184" s="93"/>
      <c r="M184" s="93"/>
      <c r="N184" s="93"/>
    </row>
    <row r="185" spans="1:14" ht="12.75">
      <c r="A185" s="100" t="s">
        <v>150</v>
      </c>
      <c r="B185" s="101"/>
      <c r="C185" s="101"/>
      <c r="D185" s="101"/>
      <c r="E185" s="101"/>
      <c r="F185" s="101"/>
      <c r="G185" s="101"/>
      <c r="H185" s="101"/>
      <c r="I185" s="93">
        <v>1429485.03</v>
      </c>
      <c r="J185" s="93"/>
      <c r="K185" s="93"/>
      <c r="L185" s="93"/>
      <c r="M185" s="93"/>
      <c r="N185" s="93"/>
    </row>
    <row r="186" spans="1:14" ht="12.75">
      <c r="A186" s="100" t="s">
        <v>594</v>
      </c>
      <c r="B186" s="101"/>
      <c r="C186" s="101"/>
      <c r="D186" s="101"/>
      <c r="E186" s="101"/>
      <c r="F186" s="101"/>
      <c r="G186" s="101"/>
      <c r="H186" s="101"/>
      <c r="I186" s="93">
        <v>208283.87</v>
      </c>
      <c r="J186" s="93"/>
      <c r="K186" s="93"/>
      <c r="L186" s="93"/>
      <c r="M186" s="93"/>
      <c r="N186" s="93"/>
    </row>
    <row r="187" spans="1:14" ht="12.75">
      <c r="A187" s="100" t="s">
        <v>595</v>
      </c>
      <c r="B187" s="101"/>
      <c r="C187" s="101"/>
      <c r="D187" s="101"/>
      <c r="E187" s="101"/>
      <c r="F187" s="101"/>
      <c r="G187" s="101"/>
      <c r="H187" s="101"/>
      <c r="I187" s="93">
        <v>697884.41</v>
      </c>
      <c r="J187" s="93"/>
      <c r="K187" s="93"/>
      <c r="L187" s="93"/>
      <c r="M187" s="93"/>
      <c r="N187" s="93"/>
    </row>
    <row r="188" spans="1:14" ht="12.75">
      <c r="A188" s="100" t="s">
        <v>596</v>
      </c>
      <c r="B188" s="101"/>
      <c r="C188" s="101"/>
      <c r="D188" s="101"/>
      <c r="E188" s="101"/>
      <c r="F188" s="101"/>
      <c r="G188" s="101"/>
      <c r="H188" s="101"/>
      <c r="I188" s="93">
        <v>614402.02</v>
      </c>
      <c r="J188" s="93"/>
      <c r="K188" s="93"/>
      <c r="L188" s="93"/>
      <c r="M188" s="93"/>
      <c r="N188" s="93"/>
    </row>
    <row r="189" spans="1:14" ht="12.75">
      <c r="A189" s="100" t="s">
        <v>597</v>
      </c>
      <c r="B189" s="101"/>
      <c r="C189" s="101"/>
      <c r="D189" s="101"/>
      <c r="E189" s="101"/>
      <c r="F189" s="101"/>
      <c r="G189" s="101"/>
      <c r="H189" s="101"/>
      <c r="I189" s="93">
        <v>315477.2</v>
      </c>
      <c r="J189" s="93"/>
      <c r="K189" s="93"/>
      <c r="L189" s="93"/>
      <c r="M189" s="93"/>
      <c r="N189" s="93"/>
    </row>
    <row r="190" spans="1:14" ht="36">
      <c r="A190" s="104" t="s">
        <v>179</v>
      </c>
      <c r="B190" s="105"/>
      <c r="C190" s="105"/>
      <c r="D190" s="105"/>
      <c r="E190" s="105"/>
      <c r="F190" s="105"/>
      <c r="G190" s="105"/>
      <c r="H190" s="105"/>
      <c r="I190" s="93">
        <v>3230253.27</v>
      </c>
      <c r="J190" s="93"/>
      <c r="K190" s="93"/>
      <c r="L190" s="93"/>
      <c r="M190" s="93"/>
      <c r="N190" s="93" t="s">
        <v>172</v>
      </c>
    </row>
    <row r="191" spans="1:14" ht="12.75">
      <c r="A191" s="62"/>
      <c r="B191" s="65"/>
      <c r="C191" s="65"/>
      <c r="D191" s="62"/>
      <c r="E191" s="63"/>
      <c r="F191" s="63"/>
      <c r="G191" s="63"/>
      <c r="H191" s="63"/>
      <c r="I191" s="64"/>
      <c r="J191" s="63"/>
      <c r="K191" s="63"/>
      <c r="L191" s="63"/>
      <c r="M191" s="63"/>
      <c r="N191" s="61"/>
    </row>
    <row r="192" spans="1:14" ht="12.75">
      <c r="A192" s="62"/>
      <c r="B192" s="65"/>
      <c r="C192" s="65"/>
      <c r="D192" s="62"/>
      <c r="E192" s="63"/>
      <c r="F192" s="63"/>
      <c r="G192" s="63"/>
      <c r="H192" s="63"/>
      <c r="I192" s="64"/>
      <c r="J192" s="63"/>
      <c r="K192" s="63"/>
      <c r="L192" s="63"/>
      <c r="M192" s="63"/>
      <c r="N192" s="61"/>
    </row>
    <row r="193" spans="1:14" ht="12.75">
      <c r="A193" s="62"/>
      <c r="B193" s="65"/>
      <c r="C193" s="116" t="s">
        <v>678</v>
      </c>
      <c r="D193" s="116"/>
      <c r="E193" s="63"/>
      <c r="F193" s="66" t="s">
        <v>501</v>
      </c>
      <c r="G193" s="99" t="s">
        <v>679</v>
      </c>
      <c r="H193" s="66"/>
      <c r="I193" s="63"/>
      <c r="J193" s="63"/>
      <c r="K193" s="63"/>
      <c r="L193" s="63"/>
      <c r="M193" s="63"/>
      <c r="N193" s="61"/>
    </row>
    <row r="194" spans="1:14" ht="12.75">
      <c r="A194" s="67"/>
      <c r="B194" s="67"/>
      <c r="C194" s="67"/>
      <c r="D194" s="67"/>
      <c r="E194" s="68"/>
      <c r="F194" s="68"/>
      <c r="G194" s="68"/>
      <c r="H194" s="68"/>
      <c r="I194" s="68"/>
      <c r="J194" s="68"/>
      <c r="K194" s="68"/>
      <c r="L194" s="68"/>
      <c r="M194" s="68"/>
      <c r="N194" s="61"/>
    </row>
    <row r="195" spans="1:14" ht="12.75">
      <c r="A195" s="67"/>
      <c r="B195" s="67"/>
      <c r="C195" s="67"/>
      <c r="D195" s="67"/>
      <c r="E195" s="68"/>
      <c r="F195" s="68"/>
      <c r="G195" s="68"/>
      <c r="H195" s="68"/>
      <c r="I195" s="68"/>
      <c r="J195" s="68"/>
      <c r="K195" s="68"/>
      <c r="L195" s="68"/>
      <c r="M195" s="68"/>
      <c r="N195" s="61"/>
    </row>
    <row r="196" ht="12.75"/>
    <row r="197" ht="12.75">
      <c r="B197" s="67"/>
    </row>
  </sheetData>
  <sheetProtection/>
  <mergeCells count="115">
    <mergeCell ref="E15:G16"/>
    <mergeCell ref="I15:L16"/>
    <mergeCell ref="M17:M18"/>
    <mergeCell ref="H15:H18"/>
    <mergeCell ref="A15:A18"/>
    <mergeCell ref="D15:D18"/>
    <mergeCell ref="C15:C18"/>
    <mergeCell ref="B15:B18"/>
    <mergeCell ref="C193:D193"/>
    <mergeCell ref="A10:N10"/>
    <mergeCell ref="C11:E11"/>
    <mergeCell ref="D12:E12"/>
    <mergeCell ref="G17:G18"/>
    <mergeCell ref="M15:N16"/>
    <mergeCell ref="A39:H39"/>
    <mergeCell ref="A40:H40"/>
    <mergeCell ref="J17:J18"/>
    <mergeCell ref="L17:L18"/>
    <mergeCell ref="A20:N20"/>
    <mergeCell ref="A36:H36"/>
    <mergeCell ref="A37:H37"/>
    <mergeCell ref="A38:H38"/>
    <mergeCell ref="I17:I18"/>
    <mergeCell ref="N17:N18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121:H121"/>
    <mergeCell ref="A122:H122"/>
    <mergeCell ref="A53:H53"/>
    <mergeCell ref="A54:H54"/>
    <mergeCell ref="A55:H55"/>
    <mergeCell ref="A56:N56"/>
    <mergeCell ref="A115:H115"/>
    <mergeCell ref="A116:H116"/>
    <mergeCell ref="A117:H117"/>
    <mergeCell ref="A118:H118"/>
    <mergeCell ref="A119:H119"/>
    <mergeCell ref="A120:H120"/>
    <mergeCell ref="A133:H133"/>
    <mergeCell ref="A134:H134"/>
    <mergeCell ref="A123:H123"/>
    <mergeCell ref="A124:H124"/>
    <mergeCell ref="A125:H125"/>
    <mergeCell ref="A126:H126"/>
    <mergeCell ref="A127:H127"/>
    <mergeCell ref="A128:H128"/>
    <mergeCell ref="A129:H129"/>
    <mergeCell ref="A130:H130"/>
    <mergeCell ref="A131:H131"/>
    <mergeCell ref="A132:H132"/>
    <mergeCell ref="A148:H148"/>
    <mergeCell ref="A149:H149"/>
    <mergeCell ref="A135:H135"/>
    <mergeCell ref="A136:H136"/>
    <mergeCell ref="A137:H137"/>
    <mergeCell ref="A138:H138"/>
    <mergeCell ref="A139:H139"/>
    <mergeCell ref="A140:H140"/>
    <mergeCell ref="A141:N141"/>
    <mergeCell ref="A145:H145"/>
    <mergeCell ref="A146:H146"/>
    <mergeCell ref="A147:H147"/>
    <mergeCell ref="A160:H160"/>
    <mergeCell ref="A161:H161"/>
    <mergeCell ref="A150:H150"/>
    <mergeCell ref="A151:H151"/>
    <mergeCell ref="A152:H152"/>
    <mergeCell ref="A153:H153"/>
    <mergeCell ref="A154:H154"/>
    <mergeCell ref="A155:H155"/>
    <mergeCell ref="A172:H172"/>
    <mergeCell ref="A173:H173"/>
    <mergeCell ref="A162:H162"/>
    <mergeCell ref="A163:H163"/>
    <mergeCell ref="A164:H164"/>
    <mergeCell ref="A165:H165"/>
    <mergeCell ref="A167:H167"/>
    <mergeCell ref="A168:H168"/>
    <mergeCell ref="A169:H169"/>
    <mergeCell ref="A170:H170"/>
    <mergeCell ref="A171:H171"/>
    <mergeCell ref="A156:H156"/>
    <mergeCell ref="A157:H157"/>
    <mergeCell ref="A158:H158"/>
    <mergeCell ref="A159:H159"/>
    <mergeCell ref="A177:H177"/>
    <mergeCell ref="A178:H178"/>
    <mergeCell ref="A179:H179"/>
    <mergeCell ref="A190:H190"/>
    <mergeCell ref="C1:I1"/>
    <mergeCell ref="A180:H180"/>
    <mergeCell ref="A181:H181"/>
    <mergeCell ref="A182:H182"/>
    <mergeCell ref="A183:H183"/>
    <mergeCell ref="A166:H166"/>
    <mergeCell ref="A188:H188"/>
    <mergeCell ref="A189:H189"/>
    <mergeCell ref="J11:M13"/>
    <mergeCell ref="A184:H184"/>
    <mergeCell ref="A185:H185"/>
    <mergeCell ref="A174:H174"/>
    <mergeCell ref="A175:H175"/>
    <mergeCell ref="A186:H186"/>
    <mergeCell ref="A187:H187"/>
    <mergeCell ref="A176:H176"/>
  </mergeCells>
  <printOptions/>
  <pageMargins left="0.984251968503937" right="0.1968503937007874" top="0.35433070866141736" bottom="0.2755905511811024" header="0.2755905511811024" footer="0.1968503937007874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6" customWidth="1"/>
    <col min="2" max="2" width="70.50390625" style="15" customWidth="1"/>
    <col min="3" max="3" width="4.00390625" style="13" customWidth="1"/>
    <col min="4" max="4" width="63.375" style="4" customWidth="1"/>
    <col min="5" max="5" width="3.50390625" style="0" customWidth="1"/>
    <col min="6" max="6" width="48.375" style="0" customWidth="1"/>
    <col min="12" max="12" width="18.50390625" style="0" bestFit="1" customWidth="1"/>
  </cols>
  <sheetData>
    <row r="1" spans="1:6" ht="13.5" customHeight="1">
      <c r="A1" s="135" t="s">
        <v>416</v>
      </c>
      <c r="B1" s="136"/>
      <c r="C1" s="136"/>
      <c r="D1" s="136"/>
      <c r="E1" s="17"/>
      <c r="F1" s="10"/>
    </row>
    <row r="2" spans="1:5" ht="12.75">
      <c r="A2" s="13"/>
      <c r="B2" s="4"/>
      <c r="E2" s="17"/>
    </row>
    <row r="3" spans="1:5" ht="13.5" thickBot="1">
      <c r="A3" s="13"/>
      <c r="B3" s="4"/>
      <c r="E3" s="17"/>
    </row>
    <row r="4" spans="1:6" ht="13.5" thickBot="1">
      <c r="A4" s="18" t="s">
        <v>354</v>
      </c>
      <c r="B4" s="19" t="s">
        <v>417</v>
      </c>
      <c r="C4" s="19" t="s">
        <v>354</v>
      </c>
      <c r="D4" s="20" t="s">
        <v>418</v>
      </c>
      <c r="E4" s="19" t="s">
        <v>354</v>
      </c>
      <c r="F4" s="21" t="s">
        <v>434</v>
      </c>
    </row>
    <row r="5" spans="1:6" ht="12.75">
      <c r="A5" s="22"/>
      <c r="B5" s="23"/>
      <c r="C5" s="22"/>
      <c r="D5" s="24"/>
      <c r="E5" s="25"/>
      <c r="F5" s="26"/>
    </row>
    <row r="6" spans="1:6" ht="12.75">
      <c r="A6" s="27"/>
      <c r="B6" s="28" t="s">
        <v>435</v>
      </c>
      <c r="C6" s="27">
        <v>1</v>
      </c>
      <c r="D6" s="29" t="s">
        <v>232</v>
      </c>
      <c r="E6" s="25">
        <v>1</v>
      </c>
      <c r="F6" s="26" t="s">
        <v>436</v>
      </c>
    </row>
    <row r="7" spans="1:6" ht="12.75">
      <c r="A7" s="27"/>
      <c r="B7" s="30"/>
      <c r="C7" s="27">
        <v>2</v>
      </c>
      <c r="D7" s="31" t="s">
        <v>355</v>
      </c>
      <c r="E7" s="25">
        <v>2</v>
      </c>
      <c r="F7" s="26" t="s">
        <v>437</v>
      </c>
    </row>
    <row r="8" spans="1:6" ht="12.75">
      <c r="A8" s="27">
        <v>1</v>
      </c>
      <c r="B8" s="32" t="s">
        <v>268</v>
      </c>
      <c r="C8" s="27">
        <v>3</v>
      </c>
      <c r="D8" s="31" t="s">
        <v>356</v>
      </c>
      <c r="E8" s="25">
        <v>3</v>
      </c>
      <c r="F8" s="26" t="s">
        <v>438</v>
      </c>
    </row>
    <row r="9" spans="1:6" ht="12.75">
      <c r="A9" s="33">
        <v>2</v>
      </c>
      <c r="B9" s="34" t="s">
        <v>269</v>
      </c>
      <c r="C9" s="27">
        <v>4</v>
      </c>
      <c r="D9" s="31" t="s">
        <v>357</v>
      </c>
      <c r="E9" s="25">
        <v>4</v>
      </c>
      <c r="F9" s="26" t="s">
        <v>439</v>
      </c>
    </row>
    <row r="10" spans="1:6" ht="12.75">
      <c r="A10" s="27">
        <v>3</v>
      </c>
      <c r="B10" s="32" t="s">
        <v>270</v>
      </c>
      <c r="C10" s="27">
        <v>5</v>
      </c>
      <c r="D10" s="31" t="s">
        <v>358</v>
      </c>
      <c r="E10" s="25">
        <v>5</v>
      </c>
      <c r="F10" s="26" t="s">
        <v>440</v>
      </c>
    </row>
    <row r="11" spans="1:6" ht="12.75">
      <c r="A11" s="33">
        <v>4</v>
      </c>
      <c r="B11" s="34" t="s">
        <v>271</v>
      </c>
      <c r="C11" s="27">
        <v>6</v>
      </c>
      <c r="D11" s="31" t="s">
        <v>359</v>
      </c>
      <c r="E11" s="25">
        <v>6</v>
      </c>
      <c r="F11" s="26" t="s">
        <v>441</v>
      </c>
    </row>
    <row r="12" spans="1:6" ht="12.75">
      <c r="A12" s="27">
        <v>5</v>
      </c>
      <c r="B12" s="34" t="s">
        <v>452</v>
      </c>
      <c r="D12" s="31"/>
      <c r="E12" s="25">
        <v>7</v>
      </c>
      <c r="F12" s="26" t="s">
        <v>442</v>
      </c>
    </row>
    <row r="13" spans="1:6" ht="12.75">
      <c r="A13" s="33">
        <v>6</v>
      </c>
      <c r="B13" s="34" t="s">
        <v>453</v>
      </c>
      <c r="C13" s="27">
        <v>7</v>
      </c>
      <c r="D13" s="29" t="s">
        <v>195</v>
      </c>
      <c r="E13" s="25">
        <v>8</v>
      </c>
      <c r="F13" s="26" t="s">
        <v>443</v>
      </c>
    </row>
    <row r="14" spans="1:6" ht="12.75">
      <c r="A14" s="27">
        <v>7</v>
      </c>
      <c r="B14" s="34" t="s">
        <v>454</v>
      </c>
      <c r="C14" s="27">
        <v>8</v>
      </c>
      <c r="D14" s="31" t="s">
        <v>360</v>
      </c>
      <c r="E14" s="25"/>
      <c r="F14" s="26"/>
    </row>
    <row r="15" spans="1:6" ht="12.75">
      <c r="A15" s="33">
        <v>8</v>
      </c>
      <c r="B15" s="34" t="s">
        <v>455</v>
      </c>
      <c r="C15" s="27">
        <v>9</v>
      </c>
      <c r="D15" s="31" t="s">
        <v>361</v>
      </c>
      <c r="E15" s="25"/>
      <c r="F15" s="26"/>
    </row>
    <row r="16" spans="1:6" ht="12.75">
      <c r="A16" s="27">
        <v>9</v>
      </c>
      <c r="B16" s="34" t="s">
        <v>456</v>
      </c>
      <c r="C16" s="27">
        <v>10</v>
      </c>
      <c r="D16" s="31" t="s">
        <v>362</v>
      </c>
      <c r="E16" s="25"/>
      <c r="F16" s="26"/>
    </row>
    <row r="17" spans="1:6" ht="12.75">
      <c r="A17" s="33">
        <v>10</v>
      </c>
      <c r="B17" s="34" t="s">
        <v>457</v>
      </c>
      <c r="C17" s="27">
        <v>11</v>
      </c>
      <c r="D17" s="31" t="s">
        <v>363</v>
      </c>
      <c r="E17" s="25"/>
      <c r="F17" s="26"/>
    </row>
    <row r="18" spans="1:6" ht="12.75">
      <c r="A18" s="27">
        <v>11</v>
      </c>
      <c r="B18" s="34" t="s">
        <v>458</v>
      </c>
      <c r="C18" s="27">
        <v>12</v>
      </c>
      <c r="D18" s="31" t="s">
        <v>364</v>
      </c>
      <c r="E18" s="25"/>
      <c r="F18" s="26"/>
    </row>
    <row r="19" spans="1:6" ht="12.75">
      <c r="A19" s="27">
        <v>12</v>
      </c>
      <c r="B19" s="34" t="s">
        <v>272</v>
      </c>
      <c r="D19" s="31"/>
      <c r="E19" s="25"/>
      <c r="F19" s="26"/>
    </row>
    <row r="20" spans="1:6" ht="12.75">
      <c r="A20" s="27">
        <v>13</v>
      </c>
      <c r="B20" s="32" t="s">
        <v>273</v>
      </c>
      <c r="C20" s="27">
        <v>13</v>
      </c>
      <c r="D20" s="29" t="s">
        <v>192</v>
      </c>
      <c r="E20" s="25"/>
      <c r="F20" s="26"/>
    </row>
    <row r="21" spans="1:6" ht="12.75">
      <c r="A21" s="27">
        <v>14</v>
      </c>
      <c r="B21" s="32" t="s">
        <v>274</v>
      </c>
      <c r="C21" s="27">
        <v>14</v>
      </c>
      <c r="D21" s="31" t="s">
        <v>365</v>
      </c>
      <c r="E21" s="25"/>
      <c r="F21" s="26"/>
    </row>
    <row r="22" spans="1:6" ht="12.75">
      <c r="A22" s="27">
        <v>15</v>
      </c>
      <c r="B22" s="32" t="s">
        <v>275</v>
      </c>
      <c r="C22" s="27">
        <v>15</v>
      </c>
      <c r="D22" s="31" t="s">
        <v>366</v>
      </c>
      <c r="E22" s="25"/>
      <c r="F22" s="26"/>
    </row>
    <row r="23" spans="1:6" ht="12.75">
      <c r="A23" s="27">
        <v>16</v>
      </c>
      <c r="B23" s="32" t="s">
        <v>444</v>
      </c>
      <c r="C23" s="27">
        <v>16</v>
      </c>
      <c r="D23" s="31" t="s">
        <v>367</v>
      </c>
      <c r="E23" s="25"/>
      <c r="F23" s="26"/>
    </row>
    <row r="24" spans="1:6" ht="12.75">
      <c r="A24" s="27">
        <v>17</v>
      </c>
      <c r="B24" s="32" t="s">
        <v>445</v>
      </c>
      <c r="C24" s="27">
        <v>17</v>
      </c>
      <c r="D24" s="31" t="s">
        <v>368</v>
      </c>
      <c r="E24" s="25"/>
      <c r="F24" s="26"/>
    </row>
    <row r="25" spans="1:6" ht="12.75">
      <c r="A25" s="27">
        <v>18</v>
      </c>
      <c r="B25" s="32" t="s">
        <v>446</v>
      </c>
      <c r="C25" s="27">
        <v>18</v>
      </c>
      <c r="D25" s="31" t="s">
        <v>369</v>
      </c>
      <c r="E25" s="25"/>
      <c r="F25" s="26"/>
    </row>
    <row r="26" spans="1:6" ht="12.75">
      <c r="A26" s="27">
        <v>19</v>
      </c>
      <c r="B26" s="34" t="s">
        <v>276</v>
      </c>
      <c r="D26" s="31"/>
      <c r="E26" s="25"/>
      <c r="F26" s="26"/>
    </row>
    <row r="27" spans="1:6" ht="12.75">
      <c r="A27" s="27">
        <v>20</v>
      </c>
      <c r="B27" s="32" t="s">
        <v>277</v>
      </c>
      <c r="C27" s="27">
        <v>19</v>
      </c>
      <c r="D27" s="29" t="s">
        <v>193</v>
      </c>
      <c r="E27" s="25"/>
      <c r="F27" s="26"/>
    </row>
    <row r="28" spans="1:6" ht="12.75">
      <c r="A28" s="27">
        <v>21</v>
      </c>
      <c r="B28" s="32" t="s">
        <v>278</v>
      </c>
      <c r="C28" s="27">
        <v>20</v>
      </c>
      <c r="D28" s="31" t="s">
        <v>370</v>
      </c>
      <c r="E28" s="25"/>
      <c r="F28" s="26"/>
    </row>
    <row r="29" spans="1:6" ht="12.75">
      <c r="A29" s="27">
        <v>22</v>
      </c>
      <c r="B29" s="32" t="s">
        <v>279</v>
      </c>
      <c r="C29" s="27">
        <v>21</v>
      </c>
      <c r="D29" s="31" t="s">
        <v>371</v>
      </c>
      <c r="E29" s="25"/>
      <c r="F29" s="26"/>
    </row>
    <row r="30" spans="1:6" ht="12.75">
      <c r="A30" s="27">
        <v>23</v>
      </c>
      <c r="B30" s="32" t="s">
        <v>280</v>
      </c>
      <c r="C30" s="27">
        <v>22</v>
      </c>
      <c r="D30" s="31" t="s">
        <v>372</v>
      </c>
      <c r="E30" s="25"/>
      <c r="F30" s="26"/>
    </row>
    <row r="31" spans="1:6" ht="12.75">
      <c r="A31" s="27">
        <v>24</v>
      </c>
      <c r="B31" s="34" t="s">
        <v>281</v>
      </c>
      <c r="C31" s="27">
        <v>23</v>
      </c>
      <c r="D31" s="31" t="s">
        <v>373</v>
      </c>
      <c r="E31" s="25"/>
      <c r="F31" s="26"/>
    </row>
    <row r="32" spans="1:6" ht="12.75">
      <c r="A32" s="27">
        <v>25</v>
      </c>
      <c r="B32" s="34" t="s">
        <v>282</v>
      </c>
      <c r="C32" s="27">
        <v>24</v>
      </c>
      <c r="D32" s="31" t="s">
        <v>374</v>
      </c>
      <c r="E32" s="25"/>
      <c r="F32" s="26"/>
    </row>
    <row r="33" spans="1:6" ht="12.75">
      <c r="A33" s="27">
        <v>26</v>
      </c>
      <c r="B33" s="34" t="s">
        <v>283</v>
      </c>
      <c r="D33" s="31"/>
      <c r="E33" s="25"/>
      <c r="F33" s="26"/>
    </row>
    <row r="34" spans="1:6" ht="12.75">
      <c r="A34" s="27">
        <v>27</v>
      </c>
      <c r="B34" s="34" t="s">
        <v>284</v>
      </c>
      <c r="C34" s="27">
        <v>25</v>
      </c>
      <c r="D34" s="29" t="s">
        <v>194</v>
      </c>
      <c r="E34" s="25"/>
      <c r="F34" s="26"/>
    </row>
    <row r="35" spans="1:6" ht="12.75">
      <c r="A35" s="27">
        <v>28</v>
      </c>
      <c r="B35" s="34" t="s">
        <v>285</v>
      </c>
      <c r="C35" s="27">
        <v>26</v>
      </c>
      <c r="D35" s="31" t="s">
        <v>375</v>
      </c>
      <c r="E35" s="25"/>
      <c r="F35" s="26"/>
    </row>
    <row r="36" spans="1:6" ht="12.75">
      <c r="A36" s="27">
        <v>29</v>
      </c>
      <c r="B36" s="34" t="s">
        <v>286</v>
      </c>
      <c r="C36" s="27">
        <v>27</v>
      </c>
      <c r="D36" s="31" t="s">
        <v>376</v>
      </c>
      <c r="E36" s="25"/>
      <c r="F36" s="26"/>
    </row>
    <row r="37" spans="1:6" ht="12.75">
      <c r="A37" s="27">
        <v>30</v>
      </c>
      <c r="B37" s="34" t="s">
        <v>287</v>
      </c>
      <c r="C37" s="27">
        <v>28</v>
      </c>
      <c r="D37" s="31" t="s">
        <v>377</v>
      </c>
      <c r="E37" s="25"/>
      <c r="F37" s="26"/>
    </row>
    <row r="38" spans="1:6" ht="12.75">
      <c r="A38" s="27">
        <v>31</v>
      </c>
      <c r="B38" s="32" t="s">
        <v>288</v>
      </c>
      <c r="C38" s="27">
        <v>29</v>
      </c>
      <c r="D38" s="31" t="s">
        <v>378</v>
      </c>
      <c r="E38" s="25"/>
      <c r="F38" s="26"/>
    </row>
    <row r="39" spans="1:6" ht="12.75">
      <c r="A39" s="27">
        <v>32</v>
      </c>
      <c r="B39" s="34" t="s">
        <v>419</v>
      </c>
      <c r="C39" s="27">
        <v>30</v>
      </c>
      <c r="D39" s="31" t="s">
        <v>379</v>
      </c>
      <c r="E39" s="25"/>
      <c r="F39" s="26"/>
    </row>
    <row r="40" spans="1:6" ht="12.75">
      <c r="A40" s="27">
        <v>33</v>
      </c>
      <c r="B40" s="32" t="s">
        <v>289</v>
      </c>
      <c r="D40" s="31"/>
      <c r="E40" s="25"/>
      <c r="F40" s="26"/>
    </row>
    <row r="41" spans="1:6" ht="12.75">
      <c r="A41" s="27">
        <v>34</v>
      </c>
      <c r="B41" s="32" t="s">
        <v>290</v>
      </c>
      <c r="C41" s="27">
        <v>31</v>
      </c>
      <c r="D41" s="29" t="s">
        <v>198</v>
      </c>
      <c r="E41" s="25"/>
      <c r="F41" s="26"/>
    </row>
    <row r="42" spans="1:6" ht="12.75">
      <c r="A42" s="27">
        <v>35</v>
      </c>
      <c r="B42" s="32" t="s">
        <v>291</v>
      </c>
      <c r="C42" s="27">
        <v>32</v>
      </c>
      <c r="D42" s="31" t="s">
        <v>380</v>
      </c>
      <c r="E42" s="25"/>
      <c r="F42" s="26"/>
    </row>
    <row r="43" spans="1:6" ht="12.75">
      <c r="A43" s="27">
        <v>36</v>
      </c>
      <c r="B43" s="32" t="s">
        <v>292</v>
      </c>
      <c r="C43" s="27">
        <v>33</v>
      </c>
      <c r="D43" s="31" t="s">
        <v>381</v>
      </c>
      <c r="E43" s="25"/>
      <c r="F43" s="26"/>
    </row>
    <row r="44" spans="1:6" ht="12.75">
      <c r="A44" s="27">
        <v>37</v>
      </c>
      <c r="B44" s="32" t="s">
        <v>293</v>
      </c>
      <c r="C44" s="27">
        <v>34</v>
      </c>
      <c r="D44" s="31" t="s">
        <v>382</v>
      </c>
      <c r="E44" s="25"/>
      <c r="F44" s="26"/>
    </row>
    <row r="45" spans="1:6" ht="12.75">
      <c r="A45" s="27">
        <v>38</v>
      </c>
      <c r="B45" s="32" t="s">
        <v>294</v>
      </c>
      <c r="C45" s="27">
        <v>35</v>
      </c>
      <c r="D45" s="31" t="s">
        <v>383</v>
      </c>
      <c r="E45" s="25"/>
      <c r="F45" s="26"/>
    </row>
    <row r="46" spans="1:6" ht="12.75">
      <c r="A46" s="27">
        <v>39</v>
      </c>
      <c r="B46" s="32" t="s">
        <v>295</v>
      </c>
      <c r="C46" s="27">
        <v>36</v>
      </c>
      <c r="D46" s="31" t="s">
        <v>384</v>
      </c>
      <c r="E46" s="25"/>
      <c r="F46" s="26"/>
    </row>
    <row r="47" spans="1:6" ht="12.75">
      <c r="A47" s="27">
        <v>40</v>
      </c>
      <c r="B47" s="32" t="s">
        <v>296</v>
      </c>
      <c r="C47" s="47"/>
      <c r="D47" s="31"/>
      <c r="E47" s="25"/>
      <c r="F47" s="26"/>
    </row>
    <row r="48" spans="1:6" ht="12.75">
      <c r="A48" s="27">
        <v>41</v>
      </c>
      <c r="B48" s="32" t="s">
        <v>297</v>
      </c>
      <c r="C48" s="27">
        <v>37</v>
      </c>
      <c r="D48" s="29" t="s">
        <v>197</v>
      </c>
      <c r="E48" s="25"/>
      <c r="F48" s="26"/>
    </row>
    <row r="49" spans="1:6" ht="12.75">
      <c r="A49" s="27">
        <v>42</v>
      </c>
      <c r="B49" s="34" t="s">
        <v>298</v>
      </c>
      <c r="C49" s="27">
        <v>38</v>
      </c>
      <c r="D49" s="31" t="s">
        <v>385</v>
      </c>
      <c r="E49" s="25"/>
      <c r="F49" s="26"/>
    </row>
    <row r="50" spans="1:6" ht="12.75">
      <c r="A50" s="27">
        <v>43</v>
      </c>
      <c r="B50" s="32" t="s">
        <v>299</v>
      </c>
      <c r="C50" s="27">
        <v>39</v>
      </c>
      <c r="D50" s="31" t="s">
        <v>386</v>
      </c>
      <c r="E50" s="25"/>
      <c r="F50" s="26"/>
    </row>
    <row r="51" spans="1:6" ht="12.75">
      <c r="A51" s="27">
        <v>44</v>
      </c>
      <c r="B51" s="32" t="s">
        <v>300</v>
      </c>
      <c r="C51" s="27">
        <v>40</v>
      </c>
      <c r="D51" s="31" t="s">
        <v>387</v>
      </c>
      <c r="E51" s="25"/>
      <c r="F51" s="26"/>
    </row>
    <row r="52" spans="1:6" ht="12.75">
      <c r="A52" s="27">
        <v>45</v>
      </c>
      <c r="B52" s="32" t="s">
        <v>301</v>
      </c>
      <c r="C52" s="27">
        <v>41</v>
      </c>
      <c r="D52" s="31" t="s">
        <v>388</v>
      </c>
      <c r="E52" s="25"/>
      <c r="F52" s="26"/>
    </row>
    <row r="53" spans="1:6" ht="12.75">
      <c r="A53" s="27">
        <v>46</v>
      </c>
      <c r="B53" s="32" t="s">
        <v>302</v>
      </c>
      <c r="C53" s="27">
        <v>42</v>
      </c>
      <c r="D53" s="31" t="s">
        <v>389</v>
      </c>
      <c r="E53" s="25"/>
      <c r="F53" s="26"/>
    </row>
    <row r="54" spans="1:6" ht="12.75">
      <c r="A54" s="27">
        <v>47</v>
      </c>
      <c r="B54" s="32" t="s">
        <v>459</v>
      </c>
      <c r="D54" s="31"/>
      <c r="E54" s="25"/>
      <c r="F54" s="26"/>
    </row>
    <row r="55" spans="1:6" ht="12.75">
      <c r="A55" s="27">
        <v>48</v>
      </c>
      <c r="B55" s="32" t="s">
        <v>460</v>
      </c>
      <c r="C55" s="27">
        <v>43</v>
      </c>
      <c r="D55" s="29" t="s">
        <v>196</v>
      </c>
      <c r="E55" s="25"/>
      <c r="F55" s="26"/>
    </row>
    <row r="56" spans="1:6" ht="12.75">
      <c r="A56" s="27">
        <v>49</v>
      </c>
      <c r="B56" s="32" t="s">
        <v>461</v>
      </c>
      <c r="C56" s="27">
        <v>44</v>
      </c>
      <c r="D56" s="31" t="s">
        <v>390</v>
      </c>
      <c r="E56" s="25"/>
      <c r="F56" s="26"/>
    </row>
    <row r="57" spans="1:6" ht="12.75">
      <c r="A57" s="27">
        <v>50</v>
      </c>
      <c r="B57" s="32" t="s">
        <v>462</v>
      </c>
      <c r="C57" s="27">
        <v>45</v>
      </c>
      <c r="D57" s="31" t="s">
        <v>391</v>
      </c>
      <c r="E57" s="25"/>
      <c r="F57" s="26"/>
    </row>
    <row r="58" spans="1:6" ht="12.75">
      <c r="A58" s="27">
        <v>51</v>
      </c>
      <c r="B58" s="32" t="s">
        <v>463</v>
      </c>
      <c r="C58" s="27">
        <v>46</v>
      </c>
      <c r="D58" s="31" t="s">
        <v>392</v>
      </c>
      <c r="E58" s="25"/>
      <c r="F58" s="26"/>
    </row>
    <row r="59" spans="1:6" ht="12.75">
      <c r="A59" s="27">
        <v>52</v>
      </c>
      <c r="B59" s="32" t="s">
        <v>464</v>
      </c>
      <c r="C59" s="27">
        <v>47</v>
      </c>
      <c r="D59" s="31" t="s">
        <v>393</v>
      </c>
      <c r="E59" s="25"/>
      <c r="F59" s="26"/>
    </row>
    <row r="60" spans="1:6" ht="12.75">
      <c r="A60" s="27">
        <v>53</v>
      </c>
      <c r="B60" s="32" t="s">
        <v>465</v>
      </c>
      <c r="C60" s="27">
        <v>48</v>
      </c>
      <c r="D60" s="31" t="s">
        <v>394</v>
      </c>
      <c r="E60" s="25"/>
      <c r="F60" s="26"/>
    </row>
    <row r="61" spans="1:6" ht="12.75">
      <c r="A61" s="27">
        <v>54</v>
      </c>
      <c r="B61" s="32" t="s">
        <v>466</v>
      </c>
      <c r="D61" s="31"/>
      <c r="E61" s="25"/>
      <c r="F61" s="26"/>
    </row>
    <row r="62" spans="1:6" ht="12.75">
      <c r="A62" s="27">
        <v>55</v>
      </c>
      <c r="B62" s="32" t="s">
        <v>467</v>
      </c>
      <c r="C62" s="27">
        <v>49</v>
      </c>
      <c r="D62" s="29" t="s">
        <v>395</v>
      </c>
      <c r="E62" s="25"/>
      <c r="F62" s="26"/>
    </row>
    <row r="63" spans="1:6" ht="12.75">
      <c r="A63" s="27">
        <v>56</v>
      </c>
      <c r="B63" s="32" t="s">
        <v>468</v>
      </c>
      <c r="C63" s="27">
        <v>50</v>
      </c>
      <c r="D63" s="35" t="s">
        <v>396</v>
      </c>
      <c r="E63" s="25"/>
      <c r="F63" s="26"/>
    </row>
    <row r="64" spans="1:6" ht="14.25" customHeight="1">
      <c r="A64" s="27">
        <v>57</v>
      </c>
      <c r="B64" s="32" t="s">
        <v>469</v>
      </c>
      <c r="C64" s="27">
        <v>51</v>
      </c>
      <c r="D64" s="35" t="s">
        <v>189</v>
      </c>
      <c r="E64" s="25"/>
      <c r="F64" s="26"/>
    </row>
    <row r="65" spans="1:6" ht="12.75">
      <c r="A65" s="27">
        <v>58</v>
      </c>
      <c r="B65" s="32" t="s">
        <v>470</v>
      </c>
      <c r="C65" s="27">
        <v>52</v>
      </c>
      <c r="D65" s="35" t="s">
        <v>190</v>
      </c>
      <c r="E65" s="25"/>
      <c r="F65" s="26"/>
    </row>
    <row r="66" spans="1:6" ht="12.75">
      <c r="A66" s="27">
        <v>59</v>
      </c>
      <c r="B66" s="32" t="s">
        <v>471</v>
      </c>
      <c r="C66" s="27">
        <v>53</v>
      </c>
      <c r="D66" s="35" t="s">
        <v>191</v>
      </c>
      <c r="E66" s="25"/>
      <c r="F66" s="26"/>
    </row>
    <row r="67" spans="1:6" ht="12.75">
      <c r="A67" s="27"/>
      <c r="B67" s="32"/>
      <c r="D67" s="35"/>
      <c r="E67" s="25"/>
      <c r="F67" s="26"/>
    </row>
    <row r="68" spans="1:6" ht="12.75">
      <c r="A68" s="33"/>
      <c r="B68" s="28" t="s">
        <v>447</v>
      </c>
      <c r="C68" s="27">
        <v>54</v>
      </c>
      <c r="D68" s="29" t="s">
        <v>201</v>
      </c>
      <c r="E68" s="25"/>
      <c r="F68" s="26"/>
    </row>
    <row r="69" spans="1:6" ht="12.75">
      <c r="A69" s="33"/>
      <c r="B69" s="30"/>
      <c r="C69" s="27">
        <v>55</v>
      </c>
      <c r="D69" s="35" t="s">
        <v>202</v>
      </c>
      <c r="E69" s="25"/>
      <c r="F69" s="26"/>
    </row>
    <row r="70" spans="1:6" ht="12.75" customHeight="1">
      <c r="A70" s="27">
        <v>60</v>
      </c>
      <c r="B70" s="34" t="s">
        <v>303</v>
      </c>
      <c r="C70" s="27">
        <v>56</v>
      </c>
      <c r="D70" s="31" t="s">
        <v>241</v>
      </c>
      <c r="E70" s="25"/>
      <c r="F70" s="26"/>
    </row>
    <row r="71" spans="1:6" ht="13.5" customHeight="1">
      <c r="A71" s="33">
        <v>61</v>
      </c>
      <c r="B71" s="34" t="s">
        <v>304</v>
      </c>
      <c r="C71" s="27">
        <v>57</v>
      </c>
      <c r="D71" s="31" t="s">
        <v>242</v>
      </c>
      <c r="E71" s="25"/>
      <c r="F71" s="26"/>
    </row>
    <row r="72" spans="1:6" ht="12.75">
      <c r="A72" s="27">
        <v>62</v>
      </c>
      <c r="B72" s="34" t="s">
        <v>305</v>
      </c>
      <c r="D72" s="35"/>
      <c r="E72" s="25"/>
      <c r="F72" s="26"/>
    </row>
    <row r="73" spans="1:6" ht="12.75">
      <c r="A73" s="33">
        <v>63</v>
      </c>
      <c r="B73" s="34" t="s">
        <v>306</v>
      </c>
      <c r="C73" s="27">
        <v>58</v>
      </c>
      <c r="D73" s="29" t="s">
        <v>184</v>
      </c>
      <c r="E73" s="25"/>
      <c r="F73" s="26"/>
    </row>
    <row r="74" spans="1:6" ht="12.75">
      <c r="A74" s="27">
        <v>64</v>
      </c>
      <c r="B74" s="34" t="s">
        <v>307</v>
      </c>
      <c r="C74" s="27">
        <v>59</v>
      </c>
      <c r="D74" s="35" t="s">
        <v>185</v>
      </c>
      <c r="E74" s="25"/>
      <c r="F74" s="26"/>
    </row>
    <row r="75" spans="1:6" ht="12.75">
      <c r="A75" s="33">
        <v>65</v>
      </c>
      <c r="B75" s="34" t="s">
        <v>308</v>
      </c>
      <c r="C75" s="27">
        <v>60</v>
      </c>
      <c r="D75" s="35" t="s">
        <v>186</v>
      </c>
      <c r="E75" s="25"/>
      <c r="F75" s="26"/>
    </row>
    <row r="76" spans="1:6" ht="12.75">
      <c r="A76" s="27">
        <v>66</v>
      </c>
      <c r="B76" s="34" t="s">
        <v>309</v>
      </c>
      <c r="C76" s="27">
        <v>61</v>
      </c>
      <c r="D76" s="35" t="s">
        <v>187</v>
      </c>
      <c r="E76" s="25"/>
      <c r="F76" s="26"/>
    </row>
    <row r="77" spans="1:6" ht="12.75">
      <c r="A77" s="33">
        <v>67</v>
      </c>
      <c r="B77" s="34" t="s">
        <v>310</v>
      </c>
      <c r="C77" s="27">
        <v>62</v>
      </c>
      <c r="D77" s="35" t="s">
        <v>188</v>
      </c>
      <c r="E77" s="25"/>
      <c r="F77" s="26"/>
    </row>
    <row r="78" spans="1:6" ht="12.75">
      <c r="A78" s="27">
        <v>68</v>
      </c>
      <c r="B78" s="34" t="s">
        <v>311</v>
      </c>
      <c r="C78" s="27">
        <v>63</v>
      </c>
      <c r="D78" s="31" t="s">
        <v>225</v>
      </c>
      <c r="E78" s="25"/>
      <c r="F78" s="26"/>
    </row>
    <row r="79" spans="1:6" ht="12.75">
      <c r="A79" s="33">
        <v>69</v>
      </c>
      <c r="B79" s="34" t="s">
        <v>312</v>
      </c>
      <c r="C79" s="27">
        <v>64</v>
      </c>
      <c r="D79" s="35" t="s">
        <v>226</v>
      </c>
      <c r="E79" s="25"/>
      <c r="F79" s="26"/>
    </row>
    <row r="80" spans="1:6" ht="12.75">
      <c r="A80" s="27">
        <v>70</v>
      </c>
      <c r="B80" s="34" t="s">
        <v>313</v>
      </c>
      <c r="C80" s="27">
        <v>65</v>
      </c>
      <c r="D80" s="35" t="s">
        <v>231</v>
      </c>
      <c r="E80" s="25"/>
      <c r="F80" s="26"/>
    </row>
    <row r="81" spans="1:6" ht="12.75">
      <c r="A81" s="33">
        <v>71</v>
      </c>
      <c r="B81" s="34" t="s">
        <v>314</v>
      </c>
      <c r="C81" s="27">
        <v>66</v>
      </c>
      <c r="D81" s="35" t="s">
        <v>227</v>
      </c>
      <c r="E81" s="25"/>
      <c r="F81" s="26"/>
    </row>
    <row r="82" spans="1:6" ht="12" customHeight="1">
      <c r="A82" s="27">
        <v>72</v>
      </c>
      <c r="B82" s="34" t="s">
        <v>315</v>
      </c>
      <c r="C82" s="27">
        <v>67</v>
      </c>
      <c r="D82" s="35" t="s">
        <v>228</v>
      </c>
      <c r="E82" s="25"/>
      <c r="F82" s="26"/>
    </row>
    <row r="83" spans="1:6" ht="12.75" customHeight="1">
      <c r="A83" s="33">
        <v>73</v>
      </c>
      <c r="B83" s="34" t="s">
        <v>316</v>
      </c>
      <c r="C83" s="27">
        <v>68</v>
      </c>
      <c r="D83" s="35" t="s">
        <v>229</v>
      </c>
      <c r="E83" s="25"/>
      <c r="F83" s="26"/>
    </row>
    <row r="84" spans="1:6" ht="12.75">
      <c r="A84" s="27">
        <v>74</v>
      </c>
      <c r="B84" s="34" t="s">
        <v>317</v>
      </c>
      <c r="C84" s="27">
        <v>69</v>
      </c>
      <c r="D84" s="35" t="s">
        <v>230</v>
      </c>
      <c r="E84" s="25"/>
      <c r="F84" s="26"/>
    </row>
    <row r="85" spans="1:6" ht="12.75">
      <c r="A85" s="33">
        <v>75</v>
      </c>
      <c r="B85" s="34" t="s">
        <v>318</v>
      </c>
      <c r="C85" s="27">
        <v>70</v>
      </c>
      <c r="D85" s="31" t="s">
        <v>233</v>
      </c>
      <c r="E85" s="25"/>
      <c r="F85" s="26"/>
    </row>
    <row r="86" spans="1:6" ht="12.75">
      <c r="A86" s="27">
        <v>76</v>
      </c>
      <c r="B86" s="34" t="s">
        <v>319</v>
      </c>
      <c r="C86" s="27">
        <v>71</v>
      </c>
      <c r="D86" s="31" t="s">
        <v>234</v>
      </c>
      <c r="E86" s="25"/>
      <c r="F86" s="26"/>
    </row>
    <row r="87" spans="1:6" ht="12.75">
      <c r="A87" s="33">
        <v>77</v>
      </c>
      <c r="B87" s="34" t="s">
        <v>320</v>
      </c>
      <c r="C87" s="27">
        <v>72</v>
      </c>
      <c r="D87" s="31" t="s">
        <v>247</v>
      </c>
      <c r="E87" s="25"/>
      <c r="F87" s="26"/>
    </row>
    <row r="88" spans="1:6" ht="12.75">
      <c r="A88" s="27"/>
      <c r="B88" s="36"/>
      <c r="C88" s="27">
        <v>73</v>
      </c>
      <c r="D88" s="31" t="s">
        <v>246</v>
      </c>
      <c r="E88" s="25"/>
      <c r="F88" s="26"/>
    </row>
    <row r="89" spans="1:6" ht="12.75">
      <c r="A89" s="27"/>
      <c r="B89" s="28" t="s">
        <v>448</v>
      </c>
      <c r="C89" s="27">
        <v>74</v>
      </c>
      <c r="D89" s="31" t="s">
        <v>245</v>
      </c>
      <c r="E89" s="25"/>
      <c r="F89" s="26"/>
    </row>
    <row r="90" spans="1:6" ht="12.75">
      <c r="A90" s="27"/>
      <c r="B90" s="28"/>
      <c r="C90" s="27">
        <v>75</v>
      </c>
      <c r="D90" s="31" t="s">
        <v>244</v>
      </c>
      <c r="E90" s="25"/>
      <c r="F90" s="26"/>
    </row>
    <row r="91" spans="1:6" ht="12.75">
      <c r="A91" s="27">
        <v>78</v>
      </c>
      <c r="B91" s="34" t="s">
        <v>472</v>
      </c>
      <c r="C91" s="27">
        <v>76</v>
      </c>
      <c r="D91" s="31" t="s">
        <v>243</v>
      </c>
      <c r="E91" s="25"/>
      <c r="F91" s="26"/>
    </row>
    <row r="92" spans="1:6" ht="12.75">
      <c r="A92" s="27">
        <v>79</v>
      </c>
      <c r="B92" s="34" t="s">
        <v>473</v>
      </c>
      <c r="C92" s="27"/>
      <c r="D92" s="31"/>
      <c r="E92" s="25"/>
      <c r="F92" s="26"/>
    </row>
    <row r="93" spans="1:6" ht="14.25" customHeight="1">
      <c r="A93" s="27">
        <v>80</v>
      </c>
      <c r="B93" s="34" t="s">
        <v>474</v>
      </c>
      <c r="C93" s="27">
        <v>77</v>
      </c>
      <c r="D93" s="29" t="s">
        <v>397</v>
      </c>
      <c r="E93" s="25"/>
      <c r="F93" s="26"/>
    </row>
    <row r="94" spans="1:6" ht="12.75">
      <c r="A94" s="27">
        <v>81</v>
      </c>
      <c r="B94" s="34" t="s">
        <v>475</v>
      </c>
      <c r="C94" s="27">
        <v>78</v>
      </c>
      <c r="D94" s="35" t="s">
        <v>398</v>
      </c>
      <c r="E94" s="25"/>
      <c r="F94" s="26"/>
    </row>
    <row r="95" spans="1:6" ht="12.75">
      <c r="A95" s="27">
        <v>82</v>
      </c>
      <c r="B95" s="34" t="s">
        <v>321</v>
      </c>
      <c r="C95" s="27">
        <v>79</v>
      </c>
      <c r="D95" s="35" t="s">
        <v>399</v>
      </c>
      <c r="E95" s="25"/>
      <c r="F95" s="26"/>
    </row>
    <row r="96" spans="1:6" ht="26.25">
      <c r="A96" s="27">
        <v>83</v>
      </c>
      <c r="B96" s="34" t="s">
        <v>322</v>
      </c>
      <c r="C96" s="27">
        <v>80</v>
      </c>
      <c r="D96" s="35" t="s">
        <v>400</v>
      </c>
      <c r="E96" s="25"/>
      <c r="F96" s="26"/>
    </row>
    <row r="97" spans="1:6" ht="12.75">
      <c r="A97" s="27">
        <v>84</v>
      </c>
      <c r="B97" s="34" t="s">
        <v>323</v>
      </c>
      <c r="C97" s="27">
        <v>81</v>
      </c>
      <c r="D97" s="35" t="s">
        <v>401</v>
      </c>
      <c r="E97" s="25"/>
      <c r="F97" s="26"/>
    </row>
    <row r="98" spans="1:6" ht="12.75">
      <c r="A98" s="27">
        <v>85</v>
      </c>
      <c r="B98" s="34" t="s">
        <v>324</v>
      </c>
      <c r="D98" s="35"/>
      <c r="E98" s="25"/>
      <c r="F98" s="26"/>
    </row>
    <row r="99" spans="1:6" ht="12.75">
      <c r="A99" s="27">
        <v>86</v>
      </c>
      <c r="B99" s="34" t="s">
        <v>325</v>
      </c>
      <c r="C99" s="27">
        <v>82</v>
      </c>
      <c r="D99" s="29" t="s">
        <v>199</v>
      </c>
      <c r="E99" s="25"/>
      <c r="F99" s="26"/>
    </row>
    <row r="100" spans="1:6" ht="12.75">
      <c r="A100" s="27">
        <v>87</v>
      </c>
      <c r="B100" s="34" t="s">
        <v>326</v>
      </c>
      <c r="C100" s="27">
        <v>83</v>
      </c>
      <c r="D100" s="35" t="s">
        <v>402</v>
      </c>
      <c r="E100" s="25"/>
      <c r="F100" s="26"/>
    </row>
    <row r="101" spans="1:6" ht="12.75">
      <c r="A101" s="27">
        <v>88</v>
      </c>
      <c r="B101" s="34" t="s">
        <v>327</v>
      </c>
      <c r="C101" s="27">
        <v>84</v>
      </c>
      <c r="D101" s="35" t="s">
        <v>403</v>
      </c>
      <c r="E101" s="25"/>
      <c r="F101" s="26"/>
    </row>
    <row r="102" spans="1:6" ht="26.25">
      <c r="A102" s="27">
        <v>89</v>
      </c>
      <c r="B102" s="34" t="s">
        <v>328</v>
      </c>
      <c r="C102" s="27">
        <v>85</v>
      </c>
      <c r="D102" s="35" t="s">
        <v>404</v>
      </c>
      <c r="E102" s="25"/>
      <c r="F102" s="26"/>
    </row>
    <row r="103" spans="1:6" ht="12.75">
      <c r="A103" s="27">
        <v>90</v>
      </c>
      <c r="B103" s="34" t="s">
        <v>329</v>
      </c>
      <c r="C103" s="27">
        <v>86</v>
      </c>
      <c r="D103" s="35" t="s">
        <v>405</v>
      </c>
      <c r="E103" s="25"/>
      <c r="F103" s="26"/>
    </row>
    <row r="104" spans="1:6" ht="12.75">
      <c r="A104" s="27">
        <v>91</v>
      </c>
      <c r="B104" s="34" t="s">
        <v>330</v>
      </c>
      <c r="C104" s="27">
        <v>87</v>
      </c>
      <c r="D104" s="31" t="s">
        <v>406</v>
      </c>
      <c r="E104" s="25"/>
      <c r="F104" s="26"/>
    </row>
    <row r="105" spans="1:6" ht="12.75">
      <c r="A105" s="27">
        <v>92</v>
      </c>
      <c r="B105" s="34" t="s">
        <v>331</v>
      </c>
      <c r="C105" s="27">
        <v>88</v>
      </c>
      <c r="D105" s="35" t="s">
        <v>407</v>
      </c>
      <c r="E105" s="25"/>
      <c r="F105" s="26"/>
    </row>
    <row r="106" spans="1:6" ht="12.75">
      <c r="A106" s="27">
        <v>93</v>
      </c>
      <c r="B106" s="34" t="s">
        <v>332</v>
      </c>
      <c r="C106" s="27">
        <v>89</v>
      </c>
      <c r="D106" s="35" t="s">
        <v>231</v>
      </c>
      <c r="E106" s="25"/>
      <c r="F106" s="26"/>
    </row>
    <row r="107" spans="1:6" ht="12.75">
      <c r="A107" s="27">
        <v>94</v>
      </c>
      <c r="B107" s="34" t="s">
        <v>333</v>
      </c>
      <c r="C107" s="27">
        <v>90</v>
      </c>
      <c r="D107" s="35" t="s">
        <v>200</v>
      </c>
      <c r="E107" s="25"/>
      <c r="F107" s="26"/>
    </row>
    <row r="108" spans="1:6" ht="12.75">
      <c r="A108" s="27">
        <v>95</v>
      </c>
      <c r="B108" s="34" t="s">
        <v>334</v>
      </c>
      <c r="C108" s="27">
        <v>91</v>
      </c>
      <c r="D108" s="35" t="s">
        <v>203</v>
      </c>
      <c r="E108" s="25"/>
      <c r="F108" s="26"/>
    </row>
    <row r="109" spans="1:6" ht="12.75">
      <c r="A109" s="27">
        <v>96</v>
      </c>
      <c r="B109" s="34" t="s">
        <v>335</v>
      </c>
      <c r="C109" s="27">
        <v>92</v>
      </c>
      <c r="D109" s="35" t="s">
        <v>408</v>
      </c>
      <c r="E109" s="25"/>
      <c r="F109" s="26"/>
    </row>
    <row r="110" spans="1:6" ht="12.75">
      <c r="A110" s="27">
        <v>97</v>
      </c>
      <c r="B110" s="34" t="s">
        <v>336</v>
      </c>
      <c r="C110" s="27">
        <v>93</v>
      </c>
      <c r="D110" s="35" t="s">
        <v>409</v>
      </c>
      <c r="E110" s="25"/>
      <c r="F110" s="26"/>
    </row>
    <row r="111" spans="1:6" ht="12.75">
      <c r="A111" s="27">
        <v>98</v>
      </c>
      <c r="B111" s="34" t="s">
        <v>337</v>
      </c>
      <c r="C111" s="27">
        <v>94</v>
      </c>
      <c r="D111" s="31" t="s">
        <v>235</v>
      </c>
      <c r="E111" s="25"/>
      <c r="F111" s="26"/>
    </row>
    <row r="112" spans="1:6" ht="12.75">
      <c r="A112" s="27">
        <v>99</v>
      </c>
      <c r="B112" s="34" t="s">
        <v>338</v>
      </c>
      <c r="C112" s="27">
        <v>95</v>
      </c>
      <c r="D112" s="31" t="s">
        <v>236</v>
      </c>
      <c r="E112" s="25"/>
      <c r="F112" s="26"/>
    </row>
    <row r="113" spans="1:6" ht="12.75">
      <c r="A113" s="27">
        <v>100</v>
      </c>
      <c r="B113" s="34" t="s">
        <v>339</v>
      </c>
      <c r="C113" s="27">
        <v>96</v>
      </c>
      <c r="D113" s="31" t="s">
        <v>248</v>
      </c>
      <c r="E113" s="25"/>
      <c r="F113" s="26"/>
    </row>
    <row r="114" spans="1:6" ht="12.75">
      <c r="A114" s="27">
        <v>101</v>
      </c>
      <c r="B114" s="34" t="s">
        <v>340</v>
      </c>
      <c r="C114" s="27">
        <v>97</v>
      </c>
      <c r="D114" s="31" t="s">
        <v>249</v>
      </c>
      <c r="E114" s="25"/>
      <c r="F114" s="26"/>
    </row>
    <row r="115" spans="1:6" ht="12.75">
      <c r="A115" s="27">
        <v>102</v>
      </c>
      <c r="B115" s="34" t="s">
        <v>476</v>
      </c>
      <c r="C115" s="27">
        <v>98</v>
      </c>
      <c r="D115" s="31" t="s">
        <v>250</v>
      </c>
      <c r="E115" s="25"/>
      <c r="F115" s="26"/>
    </row>
    <row r="116" spans="1:6" ht="12.75">
      <c r="A116" s="27">
        <v>103</v>
      </c>
      <c r="B116" s="34" t="s">
        <v>477</v>
      </c>
      <c r="C116" s="27">
        <v>99</v>
      </c>
      <c r="D116" s="31" t="s">
        <v>251</v>
      </c>
      <c r="E116" s="25"/>
      <c r="F116" s="26"/>
    </row>
    <row r="117" spans="1:6" ht="12.75">
      <c r="A117" s="27">
        <v>104</v>
      </c>
      <c r="B117" s="34" t="s">
        <v>478</v>
      </c>
      <c r="C117" s="27">
        <v>100</v>
      </c>
      <c r="D117" s="31" t="s">
        <v>252</v>
      </c>
      <c r="E117" s="25"/>
      <c r="F117" s="26"/>
    </row>
    <row r="118" spans="1:6" ht="12.75">
      <c r="A118" s="27"/>
      <c r="B118" s="32"/>
      <c r="D118" s="35"/>
      <c r="E118" s="25"/>
      <c r="F118" s="26"/>
    </row>
    <row r="119" spans="1:6" ht="12.75">
      <c r="A119" s="27"/>
      <c r="B119" s="28" t="s">
        <v>449</v>
      </c>
      <c r="C119" s="27">
        <v>101</v>
      </c>
      <c r="D119" s="29" t="s">
        <v>220</v>
      </c>
      <c r="E119" s="25"/>
      <c r="F119" s="26"/>
    </row>
    <row r="120" spans="1:6" ht="12.75">
      <c r="A120" s="27"/>
      <c r="B120" s="32"/>
      <c r="C120" s="27">
        <v>102</v>
      </c>
      <c r="D120" s="31" t="s">
        <v>204</v>
      </c>
      <c r="E120" s="25"/>
      <c r="F120" s="26"/>
    </row>
    <row r="121" spans="1:6" ht="12.75">
      <c r="A121" s="27">
        <v>105</v>
      </c>
      <c r="B121" s="39" t="s">
        <v>420</v>
      </c>
      <c r="C121" s="27">
        <v>103</v>
      </c>
      <c r="D121" s="35" t="s">
        <v>205</v>
      </c>
      <c r="E121" s="25"/>
      <c r="F121" s="26"/>
    </row>
    <row r="122" spans="1:6" ht="12.75">
      <c r="A122" s="27">
        <v>106</v>
      </c>
      <c r="B122" s="39" t="s">
        <v>421</v>
      </c>
      <c r="C122" s="27">
        <v>104</v>
      </c>
      <c r="D122" s="35" t="s">
        <v>206</v>
      </c>
      <c r="E122" s="25"/>
      <c r="F122" s="26"/>
    </row>
    <row r="123" spans="1:6" ht="12.75">
      <c r="A123" s="27">
        <v>107</v>
      </c>
      <c r="B123" s="39" t="s">
        <v>422</v>
      </c>
      <c r="C123" s="27">
        <v>105</v>
      </c>
      <c r="D123" s="31" t="s">
        <v>207</v>
      </c>
      <c r="E123" s="25"/>
      <c r="F123" s="26"/>
    </row>
    <row r="124" spans="1:6" ht="12.75">
      <c r="A124" s="27">
        <v>108</v>
      </c>
      <c r="B124" s="39" t="s">
        <v>423</v>
      </c>
      <c r="C124" s="27">
        <v>106</v>
      </c>
      <c r="D124" s="35" t="s">
        <v>208</v>
      </c>
      <c r="E124" s="25"/>
      <c r="F124" s="26"/>
    </row>
    <row r="125" spans="1:6" ht="12.75">
      <c r="A125" s="27">
        <v>109</v>
      </c>
      <c r="B125" s="39" t="s">
        <v>424</v>
      </c>
      <c r="C125" s="27">
        <v>107</v>
      </c>
      <c r="D125" s="35" t="s">
        <v>209</v>
      </c>
      <c r="E125" s="25"/>
      <c r="F125" s="26"/>
    </row>
    <row r="126" spans="1:6" ht="12.75">
      <c r="A126" s="27">
        <v>110</v>
      </c>
      <c r="B126" s="39" t="s">
        <v>425</v>
      </c>
      <c r="C126" s="27">
        <v>108</v>
      </c>
      <c r="D126" s="35" t="s">
        <v>210</v>
      </c>
      <c r="E126" s="25"/>
      <c r="F126" s="26"/>
    </row>
    <row r="127" spans="1:6" ht="12.75">
      <c r="A127" s="27">
        <v>111</v>
      </c>
      <c r="B127" s="39" t="s">
        <v>426</v>
      </c>
      <c r="C127" s="27">
        <v>109</v>
      </c>
      <c r="D127" s="35" t="s">
        <v>211</v>
      </c>
      <c r="E127" s="25"/>
      <c r="F127" s="26"/>
    </row>
    <row r="128" spans="1:6" ht="12.75" customHeight="1">
      <c r="A128" s="27">
        <v>112</v>
      </c>
      <c r="B128" s="39" t="s">
        <v>427</v>
      </c>
      <c r="C128" s="27">
        <v>110</v>
      </c>
      <c r="D128" s="35" t="s">
        <v>212</v>
      </c>
      <c r="E128" s="25"/>
      <c r="F128" s="26"/>
    </row>
    <row r="129" spans="1:6" ht="12.75">
      <c r="A129" s="27">
        <v>113</v>
      </c>
      <c r="B129" s="39" t="s">
        <v>428</v>
      </c>
      <c r="C129" s="27">
        <v>111</v>
      </c>
      <c r="D129" s="35" t="s">
        <v>213</v>
      </c>
      <c r="E129" s="25"/>
      <c r="F129" s="26"/>
    </row>
    <row r="130" spans="1:6" ht="12.75">
      <c r="A130" s="27">
        <v>114</v>
      </c>
      <c r="B130" s="39" t="s">
        <v>429</v>
      </c>
      <c r="C130" s="27">
        <v>112</v>
      </c>
      <c r="D130" s="31" t="s">
        <v>214</v>
      </c>
      <c r="E130" s="25"/>
      <c r="F130" s="26"/>
    </row>
    <row r="131" spans="1:6" ht="12.75">
      <c r="A131" s="27">
        <v>115</v>
      </c>
      <c r="B131" s="39" t="s">
        <v>430</v>
      </c>
      <c r="C131" s="27">
        <v>113</v>
      </c>
      <c r="D131" s="35" t="s">
        <v>215</v>
      </c>
      <c r="E131" s="25"/>
      <c r="F131" s="26"/>
    </row>
    <row r="132" spans="1:6" ht="12.75">
      <c r="A132" s="27">
        <v>116</v>
      </c>
      <c r="B132" s="39" t="s">
        <v>431</v>
      </c>
      <c r="C132" s="27">
        <v>114</v>
      </c>
      <c r="D132" s="35" t="s">
        <v>216</v>
      </c>
      <c r="E132" s="25"/>
      <c r="F132" s="26"/>
    </row>
    <row r="133" spans="1:6" ht="12.75">
      <c r="A133" s="27">
        <v>117</v>
      </c>
      <c r="B133" s="39" t="s">
        <v>432</v>
      </c>
      <c r="C133" s="27">
        <v>115</v>
      </c>
      <c r="D133" s="35" t="s">
        <v>217</v>
      </c>
      <c r="E133" s="25"/>
      <c r="F133" s="26"/>
    </row>
    <row r="134" spans="1:6" ht="12.75">
      <c r="A134" s="27">
        <v>118</v>
      </c>
      <c r="B134" s="34" t="s">
        <v>433</v>
      </c>
      <c r="C134" s="27">
        <v>116</v>
      </c>
      <c r="D134" s="35" t="s">
        <v>218</v>
      </c>
      <c r="E134" s="25"/>
      <c r="F134" s="26"/>
    </row>
    <row r="135" spans="1:6" ht="26.25">
      <c r="A135" s="37"/>
      <c r="B135" s="38"/>
      <c r="C135" s="27">
        <v>117</v>
      </c>
      <c r="D135" s="35" t="s">
        <v>219</v>
      </c>
      <c r="E135" s="25"/>
      <c r="F135" s="26"/>
    </row>
    <row r="136" spans="1:6" ht="12.75">
      <c r="A136" s="37"/>
      <c r="B136" s="40" t="s">
        <v>450</v>
      </c>
      <c r="C136" s="27">
        <v>118</v>
      </c>
      <c r="D136" s="31" t="s">
        <v>237</v>
      </c>
      <c r="E136" s="25"/>
      <c r="F136" s="26"/>
    </row>
    <row r="137" spans="1:6" ht="12.75">
      <c r="A137" s="37"/>
      <c r="B137" s="38"/>
      <c r="C137" s="27">
        <v>119</v>
      </c>
      <c r="D137" s="31" t="s">
        <v>238</v>
      </c>
      <c r="E137" s="25"/>
      <c r="F137" s="26"/>
    </row>
    <row r="138" spans="1:6" ht="12.75">
      <c r="A138" s="27">
        <v>119</v>
      </c>
      <c r="B138" s="38" t="s">
        <v>451</v>
      </c>
      <c r="C138" s="27">
        <v>120</v>
      </c>
      <c r="D138" s="31" t="s">
        <v>239</v>
      </c>
      <c r="E138" s="25"/>
      <c r="F138" s="26"/>
    </row>
    <row r="139" spans="1:6" ht="12.75">
      <c r="A139" s="27">
        <v>120</v>
      </c>
      <c r="B139" s="32" t="s">
        <v>341</v>
      </c>
      <c r="C139" s="27">
        <v>121</v>
      </c>
      <c r="D139" s="31" t="s">
        <v>240</v>
      </c>
      <c r="E139" s="25"/>
      <c r="F139" s="26"/>
    </row>
    <row r="140" spans="1:6" ht="12.75">
      <c r="A140" s="27">
        <v>121</v>
      </c>
      <c r="B140" s="32" t="s">
        <v>342</v>
      </c>
      <c r="C140" s="27">
        <v>122</v>
      </c>
      <c r="D140" s="31" t="s">
        <v>253</v>
      </c>
      <c r="E140" s="25"/>
      <c r="F140" s="26"/>
    </row>
    <row r="141" spans="1:6" ht="12.75">
      <c r="A141" s="27">
        <v>122</v>
      </c>
      <c r="B141" s="32" t="s">
        <v>343</v>
      </c>
      <c r="C141" s="27">
        <v>123</v>
      </c>
      <c r="D141" s="31" t="s">
        <v>254</v>
      </c>
      <c r="E141" s="25"/>
      <c r="F141" s="26"/>
    </row>
    <row r="142" spans="1:6" ht="12.75">
      <c r="A142" s="27">
        <v>123</v>
      </c>
      <c r="B142" s="34" t="s">
        <v>344</v>
      </c>
      <c r="C142" s="27">
        <v>124</v>
      </c>
      <c r="D142" s="31" t="s">
        <v>255</v>
      </c>
      <c r="E142" s="25"/>
      <c r="F142" s="26"/>
    </row>
    <row r="143" spans="1:6" ht="12.75">
      <c r="A143" s="27">
        <v>124</v>
      </c>
      <c r="B143" s="34" t="s">
        <v>345</v>
      </c>
      <c r="C143" s="27">
        <v>125</v>
      </c>
      <c r="D143" s="31" t="s">
        <v>256</v>
      </c>
      <c r="E143" s="25"/>
      <c r="F143" s="26"/>
    </row>
    <row r="144" spans="1:6" ht="12.75">
      <c r="A144" s="27">
        <v>125</v>
      </c>
      <c r="B144" s="34" t="s">
        <v>346</v>
      </c>
      <c r="C144" s="27">
        <v>126</v>
      </c>
      <c r="D144" s="31" t="s">
        <v>257</v>
      </c>
      <c r="E144" s="25"/>
      <c r="F144" s="26"/>
    </row>
    <row r="145" spans="1:6" ht="12.75">
      <c r="A145" s="27">
        <v>126</v>
      </c>
      <c r="B145" s="34" t="s">
        <v>347</v>
      </c>
      <c r="C145" s="27">
        <v>127</v>
      </c>
      <c r="D145" s="31" t="s">
        <v>258</v>
      </c>
      <c r="E145" s="25"/>
      <c r="F145" s="26"/>
    </row>
    <row r="146" spans="1:6" ht="12.75">
      <c r="A146" s="27">
        <v>127</v>
      </c>
      <c r="B146" s="34" t="s">
        <v>348</v>
      </c>
      <c r="C146" s="27">
        <v>128</v>
      </c>
      <c r="D146" s="31" t="s">
        <v>259</v>
      </c>
      <c r="E146" s="25"/>
      <c r="F146" s="26"/>
    </row>
    <row r="147" spans="1:6" ht="12.75">
      <c r="A147" s="27">
        <v>128</v>
      </c>
      <c r="B147" s="34" t="s">
        <v>349</v>
      </c>
      <c r="C147" s="27">
        <v>129</v>
      </c>
      <c r="D147" s="31" t="s">
        <v>260</v>
      </c>
      <c r="E147" s="25"/>
      <c r="F147" s="26"/>
    </row>
    <row r="148" spans="1:6" ht="12.75">
      <c r="A148" s="27">
        <v>129</v>
      </c>
      <c r="B148" s="34" t="s">
        <v>350</v>
      </c>
      <c r="C148" s="27">
        <v>130</v>
      </c>
      <c r="D148" s="31" t="s">
        <v>261</v>
      </c>
      <c r="E148" s="25"/>
      <c r="F148" s="26"/>
    </row>
    <row r="149" spans="1:6" ht="12.75">
      <c r="A149" s="27">
        <v>130</v>
      </c>
      <c r="B149" s="32" t="s">
        <v>351</v>
      </c>
      <c r="C149" s="27">
        <v>131</v>
      </c>
      <c r="D149" s="31" t="s">
        <v>262</v>
      </c>
      <c r="E149" s="25"/>
      <c r="F149" s="26"/>
    </row>
    <row r="150" spans="1:6" ht="12.75">
      <c r="A150" s="27">
        <v>131</v>
      </c>
      <c r="B150" s="32" t="s">
        <v>352</v>
      </c>
      <c r="C150" s="27">
        <v>132</v>
      </c>
      <c r="D150" s="31" t="s">
        <v>263</v>
      </c>
      <c r="E150" s="25"/>
      <c r="F150" s="26"/>
    </row>
    <row r="151" spans="1:6" ht="12.75">
      <c r="A151" s="27">
        <v>132</v>
      </c>
      <c r="B151" s="32" t="s">
        <v>353</v>
      </c>
      <c r="C151" s="27">
        <v>133</v>
      </c>
      <c r="D151" s="31" t="s">
        <v>264</v>
      </c>
      <c r="E151" s="25"/>
      <c r="F151" s="26"/>
    </row>
    <row r="152" spans="1:6" ht="12.75">
      <c r="A152" s="37"/>
      <c r="D152" s="35"/>
      <c r="E152" s="25"/>
      <c r="F152" s="26"/>
    </row>
    <row r="153" spans="1:6" ht="26.25">
      <c r="A153" s="37"/>
      <c r="C153" s="27">
        <v>134</v>
      </c>
      <c r="D153" s="29" t="s">
        <v>221</v>
      </c>
      <c r="E153" s="25"/>
      <c r="F153" s="26"/>
    </row>
    <row r="154" spans="1:6" ht="26.25">
      <c r="A154" s="37"/>
      <c r="C154" s="27">
        <v>135</v>
      </c>
      <c r="D154" s="35" t="s">
        <v>222</v>
      </c>
      <c r="E154" s="25"/>
      <c r="F154" s="26"/>
    </row>
    <row r="155" spans="1:6" ht="12.75">
      <c r="A155" s="37"/>
      <c r="B155" s="38"/>
      <c r="C155" s="27">
        <v>136</v>
      </c>
      <c r="D155" s="35" t="s">
        <v>224</v>
      </c>
      <c r="E155" s="25"/>
      <c r="F155" s="26"/>
    </row>
    <row r="156" spans="1:6" ht="12.75">
      <c r="A156" s="37"/>
      <c r="B156" s="38"/>
      <c r="C156" s="27">
        <v>137</v>
      </c>
      <c r="D156" s="35" t="s">
        <v>223</v>
      </c>
      <c r="E156" s="25"/>
      <c r="F156" s="26"/>
    </row>
    <row r="157" spans="1:6" ht="12.75">
      <c r="A157" s="37"/>
      <c r="B157" s="38"/>
      <c r="D157" s="35"/>
      <c r="E157" s="25"/>
      <c r="F157" s="26"/>
    </row>
    <row r="158" spans="1:6" ht="12.75">
      <c r="A158" s="37"/>
      <c r="B158" s="38"/>
      <c r="C158" s="27">
        <v>139</v>
      </c>
      <c r="D158" s="35" t="s">
        <v>410</v>
      </c>
      <c r="E158" s="25"/>
      <c r="F158" s="26"/>
    </row>
    <row r="159" spans="1:6" ht="12.75">
      <c r="A159" s="37"/>
      <c r="B159" s="38"/>
      <c r="C159" s="27">
        <v>140</v>
      </c>
      <c r="D159" s="35" t="s">
        <v>411</v>
      </c>
      <c r="E159" s="25"/>
      <c r="F159" s="26"/>
    </row>
    <row r="160" spans="1:6" ht="12.75">
      <c r="A160" s="37"/>
      <c r="B160" s="38"/>
      <c r="C160" s="27">
        <v>141</v>
      </c>
      <c r="D160" s="35" t="s">
        <v>412</v>
      </c>
      <c r="E160" s="25"/>
      <c r="F160" s="26"/>
    </row>
    <row r="161" spans="1:6" ht="12.75">
      <c r="A161" s="37"/>
      <c r="B161" s="38"/>
      <c r="C161" s="27">
        <v>142</v>
      </c>
      <c r="D161" s="35" t="s">
        <v>413</v>
      </c>
      <c r="E161" s="25"/>
      <c r="F161" s="26"/>
    </row>
    <row r="162" spans="1:6" ht="12.75">
      <c r="A162" s="37"/>
      <c r="B162" s="38"/>
      <c r="C162" s="27">
        <v>143</v>
      </c>
      <c r="D162" s="35" t="s">
        <v>414</v>
      </c>
      <c r="E162" s="25"/>
      <c r="F162" s="26"/>
    </row>
    <row r="163" spans="1:6" ht="12.75">
      <c r="A163" s="37"/>
      <c r="B163" s="38"/>
      <c r="C163" s="27">
        <v>144</v>
      </c>
      <c r="D163" s="35" t="s">
        <v>415</v>
      </c>
      <c r="E163" s="25"/>
      <c r="F163" s="26"/>
    </row>
    <row r="164" spans="1:6" ht="12.75">
      <c r="A164" s="41"/>
      <c r="B164" s="42"/>
      <c r="C164" s="43"/>
      <c r="D164" s="44"/>
      <c r="E164" s="45"/>
      <c r="F164" s="46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4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RogiaFS</dc:creator>
  <cp:keywords/>
  <dc:description/>
  <cp:lastModifiedBy>Сафьянова Любовь Александровна</cp:lastModifiedBy>
  <cp:lastPrinted>2016-08-01T06:08:12Z</cp:lastPrinted>
  <dcterms:created xsi:type="dcterms:W3CDTF">2003-01-28T12:33:10Z</dcterms:created>
  <dcterms:modified xsi:type="dcterms:W3CDTF">2016-10-13T07:38:50Z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